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tinamargari/Library/CloudStorage/GoogleDrive-m.margari@southpole.com/Shared drives/ST Africa AQ Projects/AQ Projects/304190_CSG_Safe Water Tanzania_CP034/4. Validation/1. Real CaseVPA 1/00Validation with VVB/6 Round V Reply/"/>
    </mc:Choice>
  </mc:AlternateContent>
  <xr:revisionPtr revIDLastSave="0" documentId="13_ncr:1_{885F9A2B-D90A-2745-B2C6-907DDF4EC389}" xr6:coauthVersionLast="47" xr6:coauthVersionMax="47" xr10:uidLastSave="{00000000-0000-0000-0000-000000000000}"/>
  <bookViews>
    <workbookView xWindow="-2540" yWindow="-21600" windowWidth="34300" windowHeight="19920" activeTab="1" xr2:uid="{00000000-000D-0000-FFFF-FFFF00000000}"/>
  </bookViews>
  <sheets>
    <sheet name="General data" sheetId="1" r:id="rId1"/>
    <sheet name="ERs" sheetId="2" r:id="rId2"/>
    <sheet name="PEy" sheetId="3" r:id="rId3"/>
    <sheet name="SDG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e/wBVR62UVHNKlVDQmYdnft/zCkDFp1sT5Z/9JWyr8="/>
    </ext>
  </extLst>
</workbook>
</file>

<file path=xl/calcChain.xml><?xml version="1.0" encoding="utf-8"?>
<calcChain xmlns="http://schemas.openxmlformats.org/spreadsheetml/2006/main">
  <c r="D70" i="2" l="1"/>
  <c r="D69" i="2"/>
  <c r="C70" i="2"/>
  <c r="C69" i="2"/>
  <c r="D68" i="2"/>
  <c r="C68" i="2"/>
  <c r="D67" i="2"/>
  <c r="C67" i="2"/>
  <c r="D66" i="2"/>
  <c r="C66" i="2"/>
  <c r="L8" i="2"/>
  <c r="L7" i="2"/>
  <c r="L6" i="2"/>
  <c r="L13" i="2"/>
  <c r="H59" i="2"/>
  <c r="G21" i="2" l="1"/>
  <c r="H19" i="4" l="1"/>
  <c r="H20" i="4" s="1"/>
  <c r="G19" i="4"/>
  <c r="I17" i="4"/>
  <c r="I19" i="4" s="1"/>
  <c r="I20" i="4" s="1"/>
  <c r="C16" i="3"/>
  <c r="B16" i="3"/>
  <c r="C15" i="3"/>
  <c r="E15" i="3" s="1"/>
  <c r="B15" i="3"/>
  <c r="C14" i="3"/>
  <c r="E14" i="3" s="1"/>
  <c r="B14" i="3"/>
  <c r="C13" i="3"/>
  <c r="D9" i="3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E51" i="2"/>
  <c r="E53" i="2" s="1"/>
  <c r="S53" i="2" s="1"/>
  <c r="Q50" i="2"/>
  <c r="P50" i="2"/>
  <c r="E50" i="2"/>
  <c r="S50" i="2" s="1"/>
  <c r="Q49" i="2"/>
  <c r="P49" i="2"/>
  <c r="E49" i="2"/>
  <c r="S49" i="2" s="1"/>
  <c r="S48" i="2"/>
  <c r="Q48" i="2"/>
  <c r="P48" i="2"/>
  <c r="E48" i="2"/>
  <c r="S47" i="2"/>
  <c r="Q47" i="2"/>
  <c r="P47" i="2"/>
  <c r="E47" i="2"/>
  <c r="Q46" i="2"/>
  <c r="P46" i="2"/>
  <c r="E46" i="2"/>
  <c r="S46" i="2" s="1"/>
  <c r="Q45" i="2"/>
  <c r="P45" i="2"/>
  <c r="E45" i="2"/>
  <c r="S45" i="2" s="1"/>
  <c r="S44" i="2"/>
  <c r="Q44" i="2"/>
  <c r="P44" i="2"/>
  <c r="E44" i="2"/>
  <c r="Q43" i="2"/>
  <c r="P43" i="2"/>
  <c r="E43" i="2"/>
  <c r="S43" i="2" s="1"/>
  <c r="Q42" i="2"/>
  <c r="P42" i="2"/>
  <c r="E42" i="2"/>
  <c r="S42" i="2" s="1"/>
  <c r="Q41" i="2"/>
  <c r="P41" i="2"/>
  <c r="E41" i="2"/>
  <c r="S41" i="2" s="1"/>
  <c r="S40" i="2"/>
  <c r="Q40" i="2"/>
  <c r="P40" i="2"/>
  <c r="E40" i="2"/>
  <c r="S39" i="2"/>
  <c r="Q39" i="2"/>
  <c r="P39" i="2"/>
  <c r="E39" i="2"/>
  <c r="Q38" i="2"/>
  <c r="P38" i="2"/>
  <c r="E38" i="2"/>
  <c r="S38" i="2" s="1"/>
  <c r="G30" i="2"/>
  <c r="J29" i="2"/>
  <c r="G29" i="2"/>
  <c r="I29" i="2" s="1"/>
  <c r="J27" i="2"/>
  <c r="K25" i="2"/>
  <c r="R38" i="2" s="1"/>
  <c r="J25" i="2"/>
  <c r="E21" i="2"/>
  <c r="G20" i="2"/>
  <c r="K17" i="2" s="1"/>
  <c r="G19" i="2"/>
  <c r="G18" i="2"/>
  <c r="K15" i="2" s="1"/>
  <c r="G17" i="2"/>
  <c r="G16" i="2"/>
  <c r="K13" i="2" s="1"/>
  <c r="G15" i="2"/>
  <c r="G14" i="2"/>
  <c r="G13" i="2"/>
  <c r="G12" i="2"/>
  <c r="K11" i="2"/>
  <c r="G11" i="2"/>
  <c r="K10" i="2"/>
  <c r="G10" i="2"/>
  <c r="G9" i="2"/>
  <c r="K7" i="2" s="1"/>
  <c r="D39" i="2" s="1"/>
  <c r="K8" i="2"/>
  <c r="G8" i="2"/>
  <c r="G7" i="2"/>
  <c r="K6" i="2"/>
  <c r="D38" i="2" s="1"/>
  <c r="G6" i="2"/>
  <c r="B26" i="1"/>
  <c r="B19" i="1"/>
  <c r="B9" i="1"/>
  <c r="E7" i="1"/>
  <c r="D15" i="3" l="1"/>
  <c r="F15" i="3" s="1"/>
  <c r="H15" i="3" s="1"/>
  <c r="I15" i="3" s="1"/>
  <c r="J15" i="3" s="1"/>
  <c r="L15" i="3" s="1"/>
  <c r="D40" i="2"/>
  <c r="L9" i="2"/>
  <c r="G39" i="2"/>
  <c r="F39" i="2"/>
  <c r="H39" i="2" s="1"/>
  <c r="B20" i="1"/>
  <c r="B14" i="1"/>
  <c r="B17" i="1" s="1"/>
  <c r="K26" i="2"/>
  <c r="S51" i="2"/>
  <c r="L11" i="2"/>
  <c r="D43" i="2" s="1"/>
  <c r="E52" i="2"/>
  <c r="T38" i="2"/>
  <c r="U38" i="2"/>
  <c r="E16" i="3"/>
  <c r="D16" i="3"/>
  <c r="F16" i="3" s="1"/>
  <c r="H16" i="3" s="1"/>
  <c r="I16" i="3" s="1"/>
  <c r="J16" i="3" s="1"/>
  <c r="L16" i="3" s="1"/>
  <c r="D14" i="3"/>
  <c r="F14" i="3" s="1"/>
  <c r="H14" i="3" s="1"/>
  <c r="E55" i="2"/>
  <c r="G38" i="2"/>
  <c r="F38" i="2"/>
  <c r="H38" i="2" s="1"/>
  <c r="I14" i="3" l="1"/>
  <c r="J14" i="3" s="1"/>
  <c r="L14" i="3" s="1"/>
  <c r="F66" i="2" s="1"/>
  <c r="F67" i="2" s="1"/>
  <c r="F68" i="2" s="1"/>
  <c r="F69" i="2" s="1"/>
  <c r="F70" i="2" s="1"/>
  <c r="K27" i="2"/>
  <c r="R39" i="2"/>
  <c r="B18" i="1"/>
  <c r="V38" i="2"/>
  <c r="E54" i="2"/>
  <c r="S52" i="2"/>
  <c r="E57" i="2"/>
  <c r="S57" i="2" s="1"/>
  <c r="S55" i="2"/>
  <c r="F43" i="2"/>
  <c r="G43" i="2"/>
  <c r="D41" i="2"/>
  <c r="L10" i="2"/>
  <c r="G40" i="2"/>
  <c r="F40" i="2"/>
  <c r="H40" i="2" s="1"/>
  <c r="I39" i="2" l="1"/>
  <c r="I40" i="2"/>
  <c r="I38" i="2"/>
  <c r="W38" i="2"/>
  <c r="T39" i="2"/>
  <c r="V39" i="2" s="1"/>
  <c r="W39" i="2" s="1"/>
  <c r="U39" i="2"/>
  <c r="S54" i="2"/>
  <c r="E56" i="2"/>
  <c r="D42" i="2"/>
  <c r="L12" i="2"/>
  <c r="F41" i="2"/>
  <c r="G41" i="2"/>
  <c r="H43" i="2"/>
  <c r="I43" i="2" s="1"/>
  <c r="R44" i="2"/>
  <c r="R40" i="2"/>
  <c r="R46" i="2"/>
  <c r="R45" i="2"/>
  <c r="R41" i="2"/>
  <c r="K28" i="2"/>
  <c r="K29" i="2" s="1"/>
  <c r="R42" i="2"/>
  <c r="R43" i="2"/>
  <c r="T45" i="2" l="1"/>
  <c r="U45" i="2"/>
  <c r="F42" i="2"/>
  <c r="G42" i="2"/>
  <c r="E58" i="2"/>
  <c r="S58" i="2" s="1"/>
  <c r="S56" i="2"/>
  <c r="U40" i="2"/>
  <c r="T40" i="2"/>
  <c r="V40" i="2" s="1"/>
  <c r="W40" i="2" s="1"/>
  <c r="T44" i="2"/>
  <c r="U44" i="2"/>
  <c r="D44" i="2"/>
  <c r="U42" i="2"/>
  <c r="T42" i="2"/>
  <c r="V42" i="2" s="1"/>
  <c r="W42" i="2" s="1"/>
  <c r="T41" i="2"/>
  <c r="V41" i="2" s="1"/>
  <c r="W41" i="2" s="1"/>
  <c r="U41" i="2"/>
  <c r="T46" i="2"/>
  <c r="U46" i="2"/>
  <c r="U43" i="2"/>
  <c r="T43" i="2"/>
  <c r="V43" i="2" s="1"/>
  <c r="W43" i="2" s="1"/>
  <c r="R52" i="2"/>
  <c r="R48" i="2"/>
  <c r="R49" i="2"/>
  <c r="R50" i="2"/>
  <c r="R51" i="2"/>
  <c r="K30" i="2"/>
  <c r="R47" i="2"/>
  <c r="H41" i="2"/>
  <c r="I41" i="2" s="1"/>
  <c r="T48" i="2" l="1"/>
  <c r="U48" i="2"/>
  <c r="T49" i="2"/>
  <c r="U49" i="2"/>
  <c r="R54" i="2"/>
  <c r="T52" i="2"/>
  <c r="U52" i="2"/>
  <c r="U47" i="2"/>
  <c r="T47" i="2"/>
  <c r="V47" i="2" s="1"/>
  <c r="W47" i="2" s="1"/>
  <c r="D45" i="2"/>
  <c r="L14" i="2"/>
  <c r="G44" i="2"/>
  <c r="F44" i="2"/>
  <c r="H44" i="2" s="1"/>
  <c r="I44" i="2" s="1"/>
  <c r="H42" i="2"/>
  <c r="I42" i="2" s="1"/>
  <c r="R53" i="2"/>
  <c r="T51" i="2"/>
  <c r="U51" i="2"/>
  <c r="V46" i="2"/>
  <c r="W46" i="2" s="1"/>
  <c r="T50" i="2"/>
  <c r="U50" i="2"/>
  <c r="V44" i="2"/>
  <c r="W44" i="2" s="1"/>
  <c r="V45" i="2"/>
  <c r="W45" i="2" s="1"/>
  <c r="T53" i="2" l="1"/>
  <c r="U53" i="2"/>
  <c r="R55" i="2"/>
  <c r="V52" i="2"/>
  <c r="W52" i="2" s="1"/>
  <c r="R56" i="2"/>
  <c r="T54" i="2"/>
  <c r="U54" i="2"/>
  <c r="V50" i="2"/>
  <c r="W50" i="2" s="1"/>
  <c r="D46" i="2"/>
  <c r="L15" i="2"/>
  <c r="V49" i="2"/>
  <c r="W49" i="2" s="1"/>
  <c r="F45" i="2"/>
  <c r="G45" i="2"/>
  <c r="V48" i="2"/>
  <c r="W48" i="2" s="1"/>
  <c r="V51" i="2"/>
  <c r="W51" i="2" s="1"/>
  <c r="V54" i="2" l="1"/>
  <c r="W54" i="2" s="1"/>
  <c r="R58" i="2"/>
  <c r="U56" i="2"/>
  <c r="T56" i="2"/>
  <c r="V56" i="2" s="1"/>
  <c r="W56" i="2" s="1"/>
  <c r="T55" i="2"/>
  <c r="R57" i="2"/>
  <c r="U55" i="2"/>
  <c r="L16" i="2"/>
  <c r="L17" i="2" s="1"/>
  <c r="D47" i="2"/>
  <c r="G46" i="2"/>
  <c r="F46" i="2"/>
  <c r="H46" i="2" s="1"/>
  <c r="I46" i="2" s="1"/>
  <c r="V53" i="2"/>
  <c r="W53" i="2" s="1"/>
  <c r="H45" i="2"/>
  <c r="I45" i="2" s="1"/>
  <c r="D48" i="2" l="1"/>
  <c r="L18" i="2"/>
  <c r="D49" i="2" s="1"/>
  <c r="T57" i="2"/>
  <c r="V57" i="2" s="1"/>
  <c r="W57" i="2" s="1"/>
  <c r="U57" i="2"/>
  <c r="V55" i="2"/>
  <c r="W55" i="2" s="1"/>
  <c r="U58" i="2"/>
  <c r="T58" i="2"/>
  <c r="V58" i="2" s="1"/>
  <c r="W58" i="2" s="1"/>
  <c r="G47" i="2"/>
  <c r="F47" i="2"/>
  <c r="D56" i="2" l="1"/>
  <c r="D52" i="2"/>
  <c r="F49" i="2"/>
  <c r="D53" i="2"/>
  <c r="D58" i="2"/>
  <c r="D54" i="2"/>
  <c r="D50" i="2"/>
  <c r="D57" i="2"/>
  <c r="D55" i="2"/>
  <c r="D51" i="2"/>
  <c r="G49" i="2"/>
  <c r="H47" i="2"/>
  <c r="I47" i="2" s="1"/>
  <c r="G48" i="2"/>
  <c r="F48" i="2"/>
  <c r="H48" i="2" s="1"/>
  <c r="I48" i="2" s="1"/>
  <c r="F57" i="2" l="1"/>
  <c r="G57" i="2"/>
  <c r="F50" i="2"/>
  <c r="G50" i="2"/>
  <c r="F54" i="2"/>
  <c r="G54" i="2"/>
  <c r="F58" i="2"/>
  <c r="G58" i="2"/>
  <c r="F53" i="2"/>
  <c r="G53" i="2"/>
  <c r="H49" i="2"/>
  <c r="I49" i="2" s="1"/>
  <c r="F51" i="2"/>
  <c r="G51" i="2"/>
  <c r="G52" i="2"/>
  <c r="F52" i="2"/>
  <c r="H52" i="2" s="1"/>
  <c r="I52" i="2" s="1"/>
  <c r="F55" i="2"/>
  <c r="H55" i="2" s="1"/>
  <c r="I55" i="2" s="1"/>
  <c r="E69" i="2" s="1"/>
  <c r="H69" i="2" s="1"/>
  <c r="G55" i="2"/>
  <c r="G56" i="2"/>
  <c r="F56" i="2"/>
  <c r="H56" i="2" s="1"/>
  <c r="I56" i="2" s="1"/>
  <c r="H58" i="2" l="1"/>
  <c r="I58" i="2" s="1"/>
  <c r="H54" i="2"/>
  <c r="I54" i="2" s="1"/>
  <c r="H51" i="2"/>
  <c r="I51" i="2" s="1"/>
  <c r="E67" i="2" s="1"/>
  <c r="H67" i="2" s="1"/>
  <c r="H50" i="2"/>
  <c r="I50" i="2" s="1"/>
  <c r="E66" i="2" s="1"/>
  <c r="H66" i="2" s="1"/>
  <c r="H53" i="2"/>
  <c r="I53" i="2" s="1"/>
  <c r="E68" i="2" s="1"/>
  <c r="H68" i="2" s="1"/>
  <c r="H57" i="2"/>
  <c r="I57" i="2" s="1"/>
  <c r="E70" i="2" s="1"/>
  <c r="H70" i="2" s="1"/>
  <c r="H73" i="2" l="1"/>
  <c r="H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ID#AAABJoX_3Nw
Tim Quast    (2024-04-29 16:38:46)
@m.margari@southpole.com is this a separate document?
------
ID#AAABMmkPoLQ
Martina Margari    (2024-04-30 07:29:33)
no
------
ID#AAABMmS2PYY
Tim Quast    (2024-04-30 08:35:15)
then for instance how was 𝑄𝑃𝑊p	 5.5 Liters/person/day defined? Based on which reasoning</t>
        </r>
      </text>
    </comment>
    <comment ref="E3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ID#AAABJoX_3NU
Tim Quast    (2024-04-29 14:50:57)
@m.margari@southpole.com was  this report only conducted by seed ecology or in partnership with CS/SP? 
In which circumstances does the standard/meth allow these reports vs default values? https://cdm.unfccc.int/sunsetcms/storage/contents/stored-file-20231012184345703/MP92_EA07_Information%20Note_fNRB%20values_collated.pdf
------
ID#AAABJoX_3NY
Martina Margari    (2024-04-29 14:57:35)
seedecology has conducted the study for us using standard guidelines. the approach has been already validated by the VVB
------
ID#AAABJoX_3Nc
Tim Quast    (2024-04-29 15:20:36)
ok , so pending approval by GS then?
------
ID#AAABMmkPoLM
Martina Margari    (2024-04-30 07:27:32)
yes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M64+yt69pc1iA+HJwMFf5yN7IA=="/>
    </ext>
  </extLst>
</comments>
</file>

<file path=xl/sharedStrings.xml><?xml version="1.0" encoding="utf-8"?>
<sst xmlns="http://schemas.openxmlformats.org/spreadsheetml/2006/main" count="351" uniqueCount="230">
  <si>
    <t>Parameter</t>
  </si>
  <si>
    <t>Value</t>
  </si>
  <si>
    <t>Unit</t>
  </si>
  <si>
    <t>Description</t>
  </si>
  <si>
    <t>Source of data</t>
  </si>
  <si>
    <t>𝐻𝐻𝑝,𝑦</t>
  </si>
  <si>
    <t>See the sub-page ERs</t>
  </si>
  <si>
    <t>Number</t>
  </si>
  <si>
    <t>Households</t>
  </si>
  <si>
    <t xml:space="preserve">End-Users Census </t>
  </si>
  <si>
    <t>𝐻𝑁𝑝,𝑦</t>
  </si>
  <si>
    <t>Number of individuals per premises type p</t>
  </si>
  <si>
    <t>Baseline Survey 2022</t>
  </si>
  <si>
    <t>Schools</t>
  </si>
  <si>
    <t>Letters from schools representatives</t>
  </si>
  <si>
    <t xml:space="preserve">Number of individuals per premises type p (boarding schools). </t>
  </si>
  <si>
    <r>
      <rPr>
        <sz val="14"/>
        <color rgb="FF4D4D4B"/>
        <rFont val="Calibri"/>
        <family val="2"/>
      </rPr>
      <t>x</t>
    </r>
    <r>
      <rPr>
        <vertAlign val="subscript"/>
        <sz val="14"/>
        <color rgb="FF4D4D4B"/>
        <rFont val="Calibri"/>
        <family val="2"/>
      </rPr>
      <t>wood</t>
    </r>
    <r>
      <rPr>
        <sz val="14"/>
        <color rgb="FF4D4D4B"/>
        <rFont val="Calibri"/>
        <family val="2"/>
      </rPr>
      <t xml:space="preserve"> </t>
    </r>
  </si>
  <si>
    <t>Percentage</t>
  </si>
  <si>
    <t>household, school) in year y</t>
  </si>
  <si>
    <r>
      <rPr>
        <sz val="14"/>
        <color rgb="FF4D4D4B"/>
        <rFont val="Calibri"/>
        <family val="2"/>
      </rPr>
      <t>x</t>
    </r>
    <r>
      <rPr>
        <vertAlign val="subscript"/>
        <sz val="14"/>
        <color rgb="FF4D4D4B"/>
        <rFont val="Calibri"/>
        <family val="2"/>
      </rPr>
      <t>charcoal</t>
    </r>
    <r>
      <rPr>
        <sz val="14"/>
        <color rgb="FF4D4D4B"/>
        <rFont val="Calibri"/>
        <family val="2"/>
      </rPr>
      <t xml:space="preserve"> </t>
    </r>
  </si>
  <si>
    <t xml:space="preserve">Percentage of charcoal use in target population </t>
  </si>
  <si>
    <r>
      <rPr>
        <sz val="14"/>
        <color rgb="FF4D4D4C"/>
        <rFont val="Calibri"/>
        <family val="2"/>
      </rPr>
      <t>EF</t>
    </r>
    <r>
      <rPr>
        <vertAlign val="subscript"/>
        <sz val="14"/>
        <color rgb="FF4D4D4C"/>
        <rFont val="Calibri"/>
        <family val="2"/>
      </rPr>
      <t>b,wood,CO2</t>
    </r>
  </si>
  <si>
    <t xml:space="preserve">tCO2e/TJ </t>
  </si>
  <si>
    <t>CO2 emission factor from use of firewood</t>
  </si>
  <si>
    <t>Default value of applied methodology (IPCC)</t>
  </si>
  <si>
    <r>
      <rPr>
        <sz val="14"/>
        <color rgb="FF4D4D4C"/>
        <rFont val="Calibri"/>
        <family val="2"/>
      </rPr>
      <t>EF</t>
    </r>
    <r>
      <rPr>
        <vertAlign val="subscript"/>
        <sz val="14"/>
        <color rgb="FF4D4D4C"/>
        <rFont val="Calibri"/>
        <family val="2"/>
      </rPr>
      <t>b,charcoal,CO2</t>
    </r>
  </si>
  <si>
    <t>CO2 emission factor from use of charcoal</t>
  </si>
  <si>
    <r>
      <rPr>
        <sz val="14"/>
        <color rgb="FF4D4D4C"/>
        <rFont val="Calibri"/>
        <family val="2"/>
      </rPr>
      <t>EF</t>
    </r>
    <r>
      <rPr>
        <vertAlign val="subscript"/>
        <sz val="14"/>
        <color rgb="FF4D4D4C"/>
        <rFont val="Calibri"/>
        <family val="2"/>
      </rPr>
      <t>b,wood,nonCO2</t>
    </r>
    <r>
      <rPr>
        <sz val="14"/>
        <color rgb="FF4D4D4C"/>
        <rFont val="Calibri"/>
        <family val="2"/>
      </rPr>
      <t xml:space="preserve"> </t>
    </r>
  </si>
  <si>
    <t>Non-CO2 emission factor from use of firewood</t>
  </si>
  <si>
    <r>
      <rPr>
        <sz val="14"/>
        <color rgb="FF4D4D4C"/>
        <rFont val="Calibri"/>
        <family val="2"/>
      </rPr>
      <t>EF</t>
    </r>
    <r>
      <rPr>
        <vertAlign val="subscript"/>
        <sz val="14"/>
        <color rgb="FF4D4D4C"/>
        <rFont val="Calibri"/>
        <family val="2"/>
      </rPr>
      <t>b,charcoal,nonCO2</t>
    </r>
    <r>
      <rPr>
        <sz val="14"/>
        <color rgb="FF4D4D4C"/>
        <rFont val="Calibri"/>
        <family val="2"/>
      </rPr>
      <t xml:space="preserve"> </t>
    </r>
  </si>
  <si>
    <t>Non-CO2 emission factor from use of charcoal</t>
  </si>
  <si>
    <r>
      <rPr>
        <sz val="12"/>
        <color rgb="FF4D4D4C"/>
        <rFont val="Verdana"/>
        <family val="2"/>
      </rPr>
      <t>η</t>
    </r>
    <r>
      <rPr>
        <vertAlign val="subscript"/>
        <sz val="12"/>
        <color rgb="FF4D4D4C"/>
        <rFont val="Verdana"/>
        <family val="2"/>
      </rPr>
      <t>wb</t>
    </r>
  </si>
  <si>
    <t>Weighted average efficiency of the baseline water boiling devices</t>
  </si>
  <si>
    <t>Default value of applied methodology</t>
  </si>
  <si>
    <r>
      <rPr>
        <sz val="12"/>
        <color rgb="FF4D4D4C"/>
        <rFont val="Verdana"/>
        <family val="2"/>
      </rPr>
      <t>C</t>
    </r>
    <r>
      <rPr>
        <vertAlign val="subscript"/>
        <sz val="12"/>
        <color rgb="FF4D4D4C"/>
        <rFont val="Verdana"/>
        <family val="2"/>
      </rPr>
      <t>b</t>
    </r>
  </si>
  <si>
    <t>Proportion of project end-users who in the baseline were already using safe water, either from an improved water source, or from a water treatment method other than boiling</t>
  </si>
  <si>
    <t>Baseline survey 2022</t>
  </si>
  <si>
    <r>
      <rPr>
        <sz val="12"/>
        <color rgb="FF4D4D4C"/>
        <rFont val="Verdana"/>
        <family val="2"/>
      </rPr>
      <t>q</t>
    </r>
    <r>
      <rPr>
        <vertAlign val="subscript"/>
        <sz val="12"/>
        <color rgb="FF4D4D4C"/>
        <rFont val="Verdana"/>
        <family val="2"/>
      </rPr>
      <t>i</t>
    </r>
  </si>
  <si>
    <t>L/h</t>
  </si>
  <si>
    <t xml:space="preserve">Capacity of the household or institutional water treatment technology </t>
  </si>
  <si>
    <t>Manufacturer specifications</t>
  </si>
  <si>
    <t>𝑆𝐸𝑤,𝑏,c</t>
  </si>
  <si>
    <t>kJ/L</t>
  </si>
  <si>
    <t>Default amount of energy required to obtain 1 L of water after 5 minutes of boiling from a first principles approach</t>
  </si>
  <si>
    <t>Calculated as per the applied methodology</t>
  </si>
  <si>
    <t>𝐸𝐹𝑏</t>
  </si>
  <si>
    <t>tCO2e/L</t>
  </si>
  <si>
    <t>Emission factor for the use of fuel to obtain safe water
in the baseline</t>
  </si>
  <si>
    <t>EF b w</t>
  </si>
  <si>
    <t>EF b ch</t>
  </si>
  <si>
    <t>𝑋𝑐𝑙𝑒𝑎𝑛𝑏𝑜𝑖𝑙,𝑦</t>
  </si>
  <si>
    <t>Proportion of project end-users that boil safe (treated, or from
safe supply) water after installation of project technology in year y</t>
  </si>
  <si>
    <t>Estimated Ex Ante</t>
  </si>
  <si>
    <t>𝑀𝑞,𝑦</t>
  </si>
  <si>
    <t>Fraction</t>
  </si>
  <si>
    <t>Modifier for the water quality in year y</t>
  </si>
  <si>
    <t>𝑄𝑚,𝑦</t>
  </si>
  <si>
    <t>L/y</t>
  </si>
  <si>
    <t>Monitored quantity of safe water provided by the project in year y</t>
  </si>
  <si>
    <t>𝑄𝑃𝑊p</t>
  </si>
  <si>
    <t>Liters/person/day</t>
  </si>
  <si>
    <t>Volume of drinking water per person per day for premises type p</t>
  </si>
  <si>
    <t>Volume of drinking water per person per day for premises type Schools</t>
  </si>
  <si>
    <t>𝐷𝑂𝑝,𝑦</t>
  </si>
  <si>
    <t>Days</t>
  </si>
  <si>
    <t>Days the project technology is operational for endusers in premises p in year y</t>
  </si>
  <si>
    <t>𝑁𝑝,𝑦</t>
  </si>
  <si>
    <t>Accumulated number of premises type p with at least one individual project technology in year y</t>
  </si>
  <si>
    <t>𝑡𝑝,𝑦</t>
  </si>
  <si>
    <t>Hours per day</t>
  </si>
  <si>
    <t>Usage time of the project technology by premises type p in year y</t>
  </si>
  <si>
    <t>𝐿𝐸𝑦</t>
  </si>
  <si>
    <t>tCO2e/y</t>
  </si>
  <si>
    <t>Leakage emissions during year y</t>
  </si>
  <si>
    <t>𝑄𝑝𝑜𝑝,𝑦</t>
  </si>
  <si>
    <t>Quantity of safe drinking water that could be consumed by project end-users in year y</t>
  </si>
  <si>
    <t>Quantity of safe drinking water that could be consumed by project end-users in year y (Boarding schools).</t>
  </si>
  <si>
    <t>𝑄𝑦</t>
  </si>
  <si>
    <r>
      <rPr>
        <sz val="12"/>
        <color theme="1"/>
        <rFont val="Calibri"/>
        <family val="2"/>
      </rPr>
      <t>f</t>
    </r>
    <r>
      <rPr>
        <vertAlign val="subscript"/>
        <sz val="12"/>
        <color theme="1"/>
        <rFont val="Calibri"/>
        <family val="2"/>
      </rPr>
      <t>NRB,i,y</t>
    </r>
  </si>
  <si>
    <t>Non-renewability status of woody biomass fuel in scenario i during the year y</t>
  </si>
  <si>
    <t>Tanzania_fNRB Report_25 February 2024 v1.0</t>
  </si>
  <si>
    <t xml:space="preserve"> 𝐸𝐶𝑝,𝑦 </t>
  </si>
  <si>
    <t xml:space="preserve">See the sub-page PEy </t>
  </si>
  <si>
    <t>kWh</t>
  </si>
  <si>
    <r>
      <rPr>
        <sz val="11"/>
        <color rgb="FF3C3C3B"/>
        <rFont val="Verdana"/>
        <family val="2"/>
      </rPr>
      <t xml:space="preserve">Quantity of electricity that is used by the project during year </t>
    </r>
    <r>
      <rPr>
        <i/>
        <sz val="11"/>
        <color rgb="FF3C3C3B"/>
        <rFont val="Verdana"/>
        <family val="2"/>
      </rPr>
      <t>y</t>
    </r>
  </si>
  <si>
    <r>
      <rPr>
        <i/>
        <sz val="11"/>
        <color rgb="FF4D4D4B"/>
        <rFont val="Verdana"/>
        <family val="2"/>
      </rPr>
      <t>EF</t>
    </r>
    <r>
      <rPr>
        <i/>
        <vertAlign val="subscript"/>
        <sz val="11"/>
        <color rgb="FF4D4D4B"/>
        <rFont val="Verdana"/>
        <family val="2"/>
      </rPr>
      <t>ec</t>
    </r>
  </si>
  <si>
    <r>
      <rPr>
        <sz val="11"/>
        <color rgb="FF3C3C3B"/>
        <rFont val="Verdana"/>
        <family val="2"/>
      </rPr>
      <t>tCO</t>
    </r>
    <r>
      <rPr>
        <sz val="7"/>
        <color rgb="FF3C3C3B"/>
        <rFont val="Verdana"/>
        <family val="2"/>
      </rPr>
      <t>2</t>
    </r>
    <r>
      <rPr>
        <sz val="11"/>
        <color rgb="FF3C3C3B"/>
        <rFont val="Verdana"/>
        <family val="2"/>
      </rPr>
      <t>/kWh</t>
    </r>
  </si>
  <si>
    <t>Emission factor associated with the electricity use</t>
  </si>
  <si>
    <t>Default 0.0008 tCO2/kWh if annual consumption is less than 250 kWh/year/household or institution</t>
  </si>
  <si>
    <r>
      <rPr>
        <i/>
        <sz val="11"/>
        <color rgb="FF4D4D4B"/>
        <rFont val="Verdana"/>
        <family val="2"/>
      </rPr>
      <t>TDL</t>
    </r>
    <r>
      <rPr>
        <i/>
        <vertAlign val="subscript"/>
        <sz val="11"/>
        <color rgb="FF4D4D4B"/>
        <rFont val="Verdana"/>
        <family val="2"/>
      </rPr>
      <t>EC</t>
    </r>
  </si>
  <si>
    <t>Transmission and distribution losses associated with the electricity use</t>
  </si>
  <si>
    <t>VILLAGE/ WATER SCHEME</t>
  </si>
  <si>
    <t>DISTRICT</t>
  </si>
  <si>
    <r>
      <rPr>
        <b/>
        <sz val="14"/>
        <color theme="1"/>
        <rFont val="Calibri"/>
        <family val="2"/>
      </rPr>
      <t>𝐻𝑁</t>
    </r>
    <r>
      <rPr>
        <sz val="8"/>
        <color rgb="FF3C3C3B"/>
        <rFont val="Helvetica"/>
        <family val="2"/>
      </rPr>
      <t>𝑝,𝑦</t>
    </r>
  </si>
  <si>
    <t>𝐻𝐻𝑝,𝑦 × 𝐻𝑁𝑝,𝑦</t>
  </si>
  <si>
    <t>Crediting period start</t>
  </si>
  <si>
    <t>New end-users</t>
  </si>
  <si>
    <t>Cumulative end-users</t>
  </si>
  <si>
    <t>Days/month</t>
  </si>
  <si>
    <t>Namalulu</t>
  </si>
  <si>
    <t>Simanjiro</t>
  </si>
  <si>
    <t>January</t>
  </si>
  <si>
    <t>Loiborsiret</t>
  </si>
  <si>
    <t>February</t>
  </si>
  <si>
    <t>Sukuro</t>
  </si>
  <si>
    <t>March</t>
  </si>
  <si>
    <t>Loiborsoit B</t>
  </si>
  <si>
    <t>31/10-29/11</t>
  </si>
  <si>
    <t>April</t>
  </si>
  <si>
    <t>Lormolijoi</t>
  </si>
  <si>
    <t>30/11/2022-09/12</t>
  </si>
  <si>
    <t>May</t>
  </si>
  <si>
    <t>Irkiushboir</t>
  </si>
  <si>
    <t>Kiteto</t>
  </si>
  <si>
    <t>June</t>
  </si>
  <si>
    <t>Makame</t>
  </si>
  <si>
    <t>Jan - 22 march</t>
  </si>
  <si>
    <t>July</t>
  </si>
  <si>
    <t>Ndedo</t>
  </si>
  <si>
    <t>August</t>
  </si>
  <si>
    <t>Kimotorok</t>
  </si>
  <si>
    <t xml:space="preserve">September </t>
  </si>
  <si>
    <t>Ngabolo</t>
  </si>
  <si>
    <t>October</t>
  </si>
  <si>
    <t xml:space="preserve">Shauri Moyo Kisangaji </t>
  </si>
  <si>
    <t>Babati</t>
  </si>
  <si>
    <t>26/03-22/05/2023</t>
  </si>
  <si>
    <t xml:space="preserve">November </t>
  </si>
  <si>
    <t xml:space="preserve">Arri - Harsha </t>
  </si>
  <si>
    <t>Mbulu</t>
  </si>
  <si>
    <t>December</t>
  </si>
  <si>
    <t xml:space="preserve">Tlawi - Jaranjar - Silaloda -Guneneda </t>
  </si>
  <si>
    <t xml:space="preserve">Dongobesh </t>
  </si>
  <si>
    <t xml:space="preserve">Erri </t>
  </si>
  <si>
    <t>Village</t>
  </si>
  <si>
    <t>District</t>
  </si>
  <si>
    <t>Number of Boarding school</t>
  </si>
  <si>
    <t>Number of students in the boarding</t>
  </si>
  <si>
    <t xml:space="preserve">Loiborsiret </t>
  </si>
  <si>
    <t xml:space="preserve">Sukuro </t>
  </si>
  <si>
    <t xml:space="preserve">Ndedo </t>
  </si>
  <si>
    <t xml:space="preserve">Makame </t>
  </si>
  <si>
    <t>31/10/2022-25/03/2023</t>
  </si>
  <si>
    <t>Tlaw</t>
  </si>
  <si>
    <t>Dongobesh</t>
  </si>
  <si>
    <t>Period to be monitored</t>
  </si>
  <si>
    <t>Number of persons using the project boreholes</t>
  </si>
  <si>
    <t>Number of operational days</t>
  </si>
  <si>
    <t>Qpop</t>
  </si>
  <si>
    <t>Qm</t>
  </si>
  <si>
    <t>Qy</t>
  </si>
  <si>
    <t>BEb,y</t>
  </si>
  <si>
    <t>Project year</t>
  </si>
  <si>
    <t>From</t>
  </si>
  <si>
    <t>To</t>
  </si>
  <si>
    <t>Baseline estimate</t>
  </si>
  <si>
    <t>Project estimate</t>
  </si>
  <si>
    <t>Leakage</t>
  </si>
  <si>
    <t>Net benefit (ERy)</t>
  </si>
  <si>
    <t>tCO2e/yr</t>
  </si>
  <si>
    <t>MP1</t>
  </si>
  <si>
    <t>MP2</t>
  </si>
  <si>
    <t>MP3</t>
  </si>
  <si>
    <t>MP4</t>
  </si>
  <si>
    <t>MP5</t>
  </si>
  <si>
    <t>Max days using back uo</t>
  </si>
  <si>
    <t>Water schemes using Backup system</t>
  </si>
  <si>
    <t>Qpop L/y</t>
  </si>
  <si>
    <t>Qm L/y</t>
  </si>
  <si>
    <t>Qy L/y</t>
  </si>
  <si>
    <t>Total production Backup (m3)</t>
  </si>
  <si>
    <r>
      <rPr>
        <sz val="11"/>
        <color theme="1"/>
        <rFont val="Calibri"/>
        <family val="2"/>
      </rPr>
      <t>𝑃𝐸</t>
    </r>
    <r>
      <rPr>
        <sz val="8"/>
        <color rgb="FF3C3C3B"/>
        <rFont val="Helvetica"/>
        <family val="2"/>
      </rPr>
      <t>𝑒𝑐,𝑝,𝑦 </t>
    </r>
  </si>
  <si>
    <r>
      <rPr>
        <sz val="11"/>
        <color rgb="FF4D4D4B"/>
        <rFont val="Verdana"/>
        <family val="2"/>
      </rPr>
      <t>PE</t>
    </r>
    <r>
      <rPr>
        <vertAlign val="subscript"/>
        <sz val="11"/>
        <color rgb="FF4D4D4B"/>
        <rFont val="Verdana"/>
        <family val="2"/>
      </rPr>
      <t>ff,p,y</t>
    </r>
  </si>
  <si>
    <r>
      <rPr>
        <sz val="11"/>
        <color rgb="FF4D4D4B"/>
        <rFont val="Verdana"/>
        <family val="2"/>
      </rPr>
      <t>PE</t>
    </r>
    <r>
      <rPr>
        <vertAlign val="subscript"/>
        <sz val="11"/>
        <color rgb="FF4D4D4B"/>
        <rFont val="Verdana"/>
        <family val="2"/>
      </rPr>
      <t>y</t>
    </r>
  </si>
  <si>
    <t>Water Scheme Name</t>
  </si>
  <si>
    <t>OIKOS Responsible for Following Up DATA collection</t>
  </si>
  <si>
    <t>Name of Field Technician from CBWSO or Pump attendant</t>
  </si>
  <si>
    <t>Mobile Numder</t>
  </si>
  <si>
    <t>CBWSO Name</t>
  </si>
  <si>
    <t>Number of people employed in the scheme</t>
  </si>
  <si>
    <t>Number of employee</t>
  </si>
  <si>
    <t xml:space="preserve">Female </t>
  </si>
  <si>
    <t xml:space="preserve">Male </t>
  </si>
  <si>
    <t>Ngabolo WS</t>
  </si>
  <si>
    <t>Nosim Noah</t>
  </si>
  <si>
    <t>Abdallah Manyehe</t>
  </si>
  <si>
    <t>0621778450</t>
  </si>
  <si>
    <t>ENABOOISHU</t>
  </si>
  <si>
    <t>Makame WS Taikunini BH 1</t>
  </si>
  <si>
    <t>KAIDIS</t>
  </si>
  <si>
    <t>Ndedo Water Project WB borehole</t>
  </si>
  <si>
    <t>ENABOOSHU</t>
  </si>
  <si>
    <t>Ndedo Water Project Oikos borehole</t>
  </si>
  <si>
    <t>Irkiushboir Water Project</t>
  </si>
  <si>
    <t>Yahya Chongowe</t>
  </si>
  <si>
    <t>0622424578</t>
  </si>
  <si>
    <t>Namalulu water project</t>
  </si>
  <si>
    <t>Sukuro WS</t>
  </si>
  <si>
    <t>Mohamed Y. Salim</t>
  </si>
  <si>
    <t>0695 332 486</t>
  </si>
  <si>
    <t>KONASUKI</t>
  </si>
  <si>
    <t>Loiborsoit B WS</t>
  </si>
  <si>
    <t>Lormolijoi water project</t>
  </si>
  <si>
    <t>Loiborsiret water project</t>
  </si>
  <si>
    <t>Hemedi Mfaume</t>
  </si>
  <si>
    <t>0747 912 130</t>
  </si>
  <si>
    <t>LOINAKI</t>
  </si>
  <si>
    <t>Shauri Moyo Kisangaji water supply sheme</t>
  </si>
  <si>
    <t>Anwari Mussa</t>
  </si>
  <si>
    <t>0714995804</t>
  </si>
  <si>
    <t>KISANGAJI</t>
  </si>
  <si>
    <t>Erri water supply sheme</t>
  </si>
  <si>
    <t>William Daffi</t>
  </si>
  <si>
    <t>0762478501</t>
  </si>
  <si>
    <t>KIRU</t>
  </si>
  <si>
    <t>Tlawi - Jaranjar - Silaloda -Guneneda water Supply scheme</t>
  </si>
  <si>
    <t>Salmon Mgaya</t>
  </si>
  <si>
    <t>PAULO ALEXANDER</t>
  </si>
  <si>
    <t>0624703516</t>
  </si>
  <si>
    <t>ENDAYAYA</t>
  </si>
  <si>
    <t>Dongobesh water Supply scheme</t>
  </si>
  <si>
    <t>EDWIN EMANUEL</t>
  </si>
  <si>
    <t>0620164114</t>
  </si>
  <si>
    <t>DONGOBESH</t>
  </si>
  <si>
    <t>Arri - Harsha water Supply scheme</t>
  </si>
  <si>
    <t>REGNARD MARTINE</t>
  </si>
  <si>
    <t>0783216323</t>
  </si>
  <si>
    <t>YAIDA</t>
  </si>
  <si>
    <t>Monitoring Period</t>
  </si>
  <si>
    <t>Quantity of electricity that is required for the production of 1 m3 of water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</si>
</sst>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??_-;_-@"/>
    <numFmt numFmtId="165" formatCode="_-* #,##0.000_-;\-* #,##0.000_-;_-* &quot;-&quot;??_-;_-@"/>
    <numFmt numFmtId="166" formatCode="_-* #,##0.000000_-;\-* #,##0.000000_-;_-* &quot;-&quot;??_-;_-@"/>
    <numFmt numFmtId="167" formatCode="_-* #,##0.00_-;\-* #,##0.00_-;_-* &quot;-&quot;??_-;_-@"/>
    <numFmt numFmtId="168" formatCode="_-* #,##0.0_-;\-* #,##0.0_-;_-* &quot;-&quot;??_-;_-@"/>
    <numFmt numFmtId="169" formatCode="0.00000"/>
    <numFmt numFmtId="170" formatCode="_-* #,##0\ _€_-;\-* #,##0\ _€_-;_-* &quot;-&quot;??\ _€_-;_-@"/>
  </numFmts>
  <fonts count="3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4"/>
      <color rgb="FF4D4D4B"/>
      <name val="Calibri"/>
      <family val="2"/>
    </font>
    <font>
      <sz val="14"/>
      <color rgb="FF4D4D4C"/>
      <name val="Calibri"/>
      <family val="2"/>
    </font>
    <font>
      <sz val="12"/>
      <color rgb="FF4D4D4C"/>
      <name val="Verdana"/>
      <family val="2"/>
    </font>
    <font>
      <b/>
      <sz val="12"/>
      <color theme="1"/>
      <name val="Calibri"/>
      <family val="2"/>
    </font>
    <font>
      <sz val="12"/>
      <color rgb="FF4D4D4B"/>
      <name val="Calibri"/>
      <family val="2"/>
    </font>
    <font>
      <sz val="11"/>
      <color theme="1"/>
      <name val="Calibri"/>
      <family val="2"/>
    </font>
    <font>
      <sz val="11"/>
      <color rgb="FF3C3C3B"/>
      <name val="Verdana"/>
      <family val="2"/>
    </font>
    <font>
      <i/>
      <sz val="11"/>
      <color rgb="FF4D4D4B"/>
      <name val="Verdana"/>
      <family val="2"/>
    </font>
    <font>
      <sz val="11"/>
      <color rgb="FF4D4D4B"/>
      <name val="Verdana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9223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7F7F7F"/>
      <name val="Calibri"/>
      <family val="2"/>
    </font>
    <font>
      <i/>
      <sz val="11"/>
      <color rgb="FF7F7F7F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4"/>
      <color rgb="FF4D4D4B"/>
      <name val="Calibri"/>
      <family val="2"/>
    </font>
    <font>
      <vertAlign val="subscript"/>
      <sz val="14"/>
      <color rgb="FF4D4D4C"/>
      <name val="Calibri"/>
      <family val="2"/>
    </font>
    <font>
      <vertAlign val="subscript"/>
      <sz val="12"/>
      <color rgb="FF4D4D4C"/>
      <name val="Verdana"/>
      <family val="2"/>
    </font>
    <font>
      <vertAlign val="subscript"/>
      <sz val="12"/>
      <color theme="1"/>
      <name val="Calibri"/>
      <family val="2"/>
    </font>
    <font>
      <i/>
      <sz val="11"/>
      <color rgb="FF3C3C3B"/>
      <name val="Verdana"/>
      <family val="2"/>
    </font>
    <font>
      <i/>
      <vertAlign val="subscript"/>
      <sz val="11"/>
      <color rgb="FF4D4D4B"/>
      <name val="Verdana"/>
      <family val="2"/>
    </font>
    <font>
      <sz val="7"/>
      <color rgb="FF3C3C3B"/>
      <name val="Verdana"/>
      <family val="2"/>
    </font>
    <font>
      <sz val="8"/>
      <color rgb="FF3C3C3B"/>
      <name val="Helvetica"/>
      <family val="2"/>
    </font>
    <font>
      <vertAlign val="subscript"/>
      <sz val="11"/>
      <color rgb="FF4D4D4B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ADBE1"/>
        <bgColor rgb="FFFADBE1"/>
      </patternFill>
    </fill>
    <fill>
      <patternFill patternType="solid">
        <fgColor rgb="FFD1F6E4"/>
        <bgColor rgb="FFD1F6E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/>
    <xf numFmtId="9" fontId="2" fillId="0" borderId="1" xfId="0" applyNumberFormat="1" applyFont="1" applyBorder="1" applyAlignment="1">
      <alignment vertical="top" wrapText="1"/>
    </xf>
    <xf numFmtId="0" fontId="4" fillId="0" borderId="1" xfId="0" applyFont="1" applyBorder="1"/>
    <xf numFmtId="164" fontId="2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165" fontId="2" fillId="0" borderId="1" xfId="0" applyNumberFormat="1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166" fontId="6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7" fillId="0" borderId="1" xfId="0" applyFont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wrapText="1"/>
    </xf>
    <xf numFmtId="9" fontId="8" fillId="0" borderId="1" xfId="0" applyNumberFormat="1" applyFont="1" applyBorder="1"/>
    <xf numFmtId="0" fontId="9" fillId="0" borderId="0" xfId="0" applyFont="1"/>
    <xf numFmtId="0" fontId="8" fillId="0" borderId="0" xfId="0" applyFont="1" applyAlignment="1">
      <alignment horizontal="left" wrapText="1"/>
    </xf>
    <xf numFmtId="0" fontId="8" fillId="0" borderId="0" xfId="0" applyFont="1"/>
    <xf numFmtId="169" fontId="8" fillId="0" borderId="0" xfId="0" applyNumberFormat="1" applyFont="1"/>
    <xf numFmtId="0" fontId="12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164" fontId="8" fillId="0" borderId="0" xfId="0" applyNumberFormat="1" applyFont="1"/>
    <xf numFmtId="0" fontId="1" fillId="0" borderId="0" xfId="0" applyFont="1" applyAlignment="1">
      <alignment horizontal="right" wrapText="1"/>
    </xf>
    <xf numFmtId="164" fontId="8" fillId="0" borderId="1" xfId="0" applyNumberFormat="1" applyFont="1" applyBorder="1" applyAlignment="1">
      <alignment horizontal="center" vertical="center"/>
    </xf>
    <xf numFmtId="14" fontId="8" fillId="0" borderId="2" xfId="0" applyNumberFormat="1" applyFont="1" applyBorder="1"/>
    <xf numFmtId="14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/>
    <xf numFmtId="164" fontId="8" fillId="0" borderId="1" xfId="0" applyNumberFormat="1" applyFont="1" applyBorder="1"/>
    <xf numFmtId="0" fontId="14" fillId="0" borderId="5" xfId="0" applyFont="1" applyBorder="1"/>
    <xf numFmtId="0" fontId="14" fillId="0" borderId="6" xfId="0" applyFont="1" applyBorder="1"/>
    <xf numFmtId="0" fontId="8" fillId="0" borderId="7" xfId="0" applyFont="1" applyBorder="1"/>
    <xf numFmtId="14" fontId="8" fillId="0" borderId="1" xfId="0" applyNumberFormat="1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right" vertical="center" wrapText="1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Font="1" applyAlignment="1">
      <alignment horizontal="right" wrapText="1"/>
    </xf>
    <xf numFmtId="3" fontId="1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/>
    <xf numFmtId="14" fontId="8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8" fillId="4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wrapText="1"/>
    </xf>
    <xf numFmtId="164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 wrapText="1"/>
    </xf>
    <xf numFmtId="17" fontId="16" fillId="0" borderId="0" xfId="0" applyNumberFormat="1" applyFont="1" applyAlignment="1">
      <alignment horizontal="right" wrapText="1"/>
    </xf>
    <xf numFmtId="17" fontId="8" fillId="0" borderId="0" xfId="0" applyNumberFormat="1" applyFont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7" fontId="8" fillId="0" borderId="0" xfId="0" applyNumberFormat="1" applyFont="1"/>
    <xf numFmtId="2" fontId="8" fillId="0" borderId="1" xfId="0" applyNumberFormat="1" applyFont="1" applyBorder="1"/>
    <xf numFmtId="0" fontId="20" fillId="0" borderId="0" xfId="0" applyFont="1"/>
    <xf numFmtId="9" fontId="8" fillId="0" borderId="0" xfId="0" applyNumberFormat="1" applyFont="1"/>
    <xf numFmtId="0" fontId="8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170" fontId="8" fillId="0" borderId="0" xfId="0" applyNumberFormat="1" applyFont="1"/>
    <xf numFmtId="0" fontId="1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2" xfId="0" quotePrefix="1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8" fillId="0" borderId="5" xfId="0" applyFont="1" applyBorder="1"/>
    <xf numFmtId="0" fontId="8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quotePrefix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6" borderId="3" xfId="0" quotePrefix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164" fontId="0" fillId="0" borderId="0" xfId="0" applyNumberFormat="1"/>
    <xf numFmtId="0" fontId="1" fillId="0" borderId="10" xfId="0" applyFont="1" applyBorder="1" applyAlignment="1">
      <alignment horizontal="center" vertical="center" wrapText="1"/>
    </xf>
    <xf numFmtId="0" fontId="21" fillId="0" borderId="5" xfId="0" applyFont="1" applyBorder="1"/>
    <xf numFmtId="0" fontId="13" fillId="0" borderId="7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2" xfId="0" applyFont="1" applyBorder="1"/>
    <xf numFmtId="0" fontId="17" fillId="6" borderId="10" xfId="0" applyFont="1" applyFill="1" applyBorder="1" applyAlignment="1">
      <alignment horizontal="center" vertical="center"/>
    </xf>
    <xf numFmtId="0" fontId="21" fillId="0" borderId="13" xfId="0" applyFont="1" applyBorder="1"/>
    <xf numFmtId="0" fontId="8" fillId="6" borderId="10" xfId="0" applyFont="1" applyFill="1" applyBorder="1" applyAlignment="1">
      <alignment horizontal="center" vertical="center"/>
    </xf>
    <xf numFmtId="0" fontId="8" fillId="6" borderId="10" xfId="0" quotePrefix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8" fillId="0" borderId="4" xfId="0" applyFont="1" applyBorder="1"/>
    <xf numFmtId="164" fontId="8" fillId="0" borderId="4" xfId="0" applyNumberFormat="1" applyFont="1" applyBorder="1"/>
    <xf numFmtId="0" fontId="20" fillId="0" borderId="15" xfId="0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/>
    <xf numFmtId="0" fontId="8" fillId="0" borderId="15" xfId="0" applyFont="1" applyBorder="1"/>
    <xf numFmtId="14" fontId="0" fillId="0" borderId="15" xfId="0" applyNumberFormat="1" applyBorder="1"/>
    <xf numFmtId="0" fontId="8" fillId="0" borderId="15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/>
    <xf numFmtId="0" fontId="8" fillId="0" borderId="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9</xdr:row>
      <xdr:rowOff>0</xdr:rowOff>
    </xdr:from>
    <xdr:ext cx="265747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6C67B"/>
      </a:accent1>
      <a:accent2>
        <a:srgbClr val="EA4E6D"/>
      </a:accent2>
      <a:accent3>
        <a:srgbClr val="80848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3"/>
  <sheetViews>
    <sheetView workbookViewId="0">
      <selection activeCell="E55" sqref="E55"/>
    </sheetView>
  </sheetViews>
  <sheetFormatPr baseColWidth="10" defaultColWidth="14.5" defaultRowHeight="15" customHeight="1" x14ac:dyDescent="0.2"/>
  <cols>
    <col min="1" max="1" width="27.5" customWidth="1"/>
    <col min="2" max="2" width="31.6640625" customWidth="1"/>
    <col min="3" max="3" width="17.33203125" customWidth="1"/>
    <col min="4" max="4" width="82.5" customWidth="1"/>
    <col min="5" max="5" width="96.5" customWidth="1"/>
    <col min="6" max="6" width="8.6640625" customWidth="1"/>
    <col min="7" max="7" width="10.1640625" customWidth="1"/>
    <col min="8" max="26" width="8.6640625" customWidth="1"/>
  </cols>
  <sheetData>
    <row r="3" spans="1:5" ht="16" x14ac:dyDescent="0.2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</row>
    <row r="4" spans="1:5" ht="17" x14ac:dyDescent="0.2">
      <c r="A4" s="3" t="s">
        <v>5</v>
      </c>
      <c r="B4" s="4" t="s">
        <v>6</v>
      </c>
      <c r="C4" s="4" t="s">
        <v>7</v>
      </c>
      <c r="D4" s="5" t="s">
        <v>8</v>
      </c>
      <c r="E4" s="5" t="s">
        <v>9</v>
      </c>
    </row>
    <row r="5" spans="1:5" ht="17" x14ac:dyDescent="0.2">
      <c r="A5" s="3" t="s">
        <v>10</v>
      </c>
      <c r="B5" s="4" t="s">
        <v>6</v>
      </c>
      <c r="C5" s="4" t="s">
        <v>7</v>
      </c>
      <c r="D5" s="3" t="s">
        <v>11</v>
      </c>
      <c r="E5" s="6" t="s">
        <v>12</v>
      </c>
    </row>
    <row r="6" spans="1:5" ht="17" x14ac:dyDescent="0.2">
      <c r="A6" s="3" t="s">
        <v>5</v>
      </c>
      <c r="B6" s="4" t="s">
        <v>6</v>
      </c>
      <c r="C6" s="4" t="s">
        <v>7</v>
      </c>
      <c r="D6" s="5" t="s">
        <v>13</v>
      </c>
      <c r="E6" s="5" t="s">
        <v>14</v>
      </c>
    </row>
    <row r="7" spans="1:5" ht="17" x14ac:dyDescent="0.2">
      <c r="A7" s="3" t="s">
        <v>10</v>
      </c>
      <c r="B7" s="4" t="s">
        <v>6</v>
      </c>
      <c r="C7" s="4" t="s">
        <v>7</v>
      </c>
      <c r="D7" s="3" t="s">
        <v>15</v>
      </c>
      <c r="E7" s="5" t="str">
        <f>+E6</f>
        <v>Letters from schools representatives</v>
      </c>
    </row>
    <row r="8" spans="1:5" ht="19" x14ac:dyDescent="0.25">
      <c r="A8" s="7" t="s">
        <v>16</v>
      </c>
      <c r="B8" s="8">
        <v>0.94</v>
      </c>
      <c r="C8" s="4" t="s">
        <v>17</v>
      </c>
      <c r="D8" s="5" t="s">
        <v>18</v>
      </c>
      <c r="E8" s="6" t="s">
        <v>12</v>
      </c>
    </row>
    <row r="9" spans="1:5" ht="19" x14ac:dyDescent="0.25">
      <c r="A9" s="7" t="s">
        <v>19</v>
      </c>
      <c r="B9" s="8">
        <f>1-B8</f>
        <v>6.0000000000000053E-2</v>
      </c>
      <c r="C9" s="4" t="s">
        <v>17</v>
      </c>
      <c r="D9" s="5" t="s">
        <v>20</v>
      </c>
      <c r="E9" s="6" t="s">
        <v>12</v>
      </c>
    </row>
    <row r="10" spans="1:5" ht="19" x14ac:dyDescent="0.25">
      <c r="A10" s="9" t="s">
        <v>21</v>
      </c>
      <c r="B10" s="10">
        <v>112</v>
      </c>
      <c r="C10" s="3" t="s">
        <v>22</v>
      </c>
      <c r="D10" s="5" t="s">
        <v>23</v>
      </c>
      <c r="E10" s="6" t="s">
        <v>24</v>
      </c>
    </row>
    <row r="11" spans="1:5" ht="19" x14ac:dyDescent="0.25">
      <c r="A11" s="9" t="s">
        <v>25</v>
      </c>
      <c r="B11" s="10">
        <v>165.22</v>
      </c>
      <c r="C11" s="3" t="s">
        <v>22</v>
      </c>
      <c r="D11" s="5" t="s">
        <v>26</v>
      </c>
      <c r="E11" s="6" t="s">
        <v>24</v>
      </c>
    </row>
    <row r="12" spans="1:5" ht="19" x14ac:dyDescent="0.25">
      <c r="A12" s="9" t="s">
        <v>27</v>
      </c>
      <c r="B12" s="10">
        <v>9.4600000000000009</v>
      </c>
      <c r="C12" s="3" t="s">
        <v>22</v>
      </c>
      <c r="D12" s="5" t="s">
        <v>28</v>
      </c>
      <c r="E12" s="6" t="s">
        <v>24</v>
      </c>
    </row>
    <row r="13" spans="1:5" ht="19" x14ac:dyDescent="0.25">
      <c r="A13" s="9" t="s">
        <v>29</v>
      </c>
      <c r="B13" s="10">
        <v>44.83</v>
      </c>
      <c r="C13" s="3" t="s">
        <v>22</v>
      </c>
      <c r="D13" s="5" t="s">
        <v>30</v>
      </c>
      <c r="E13" s="6" t="s">
        <v>24</v>
      </c>
    </row>
    <row r="14" spans="1:5" ht="18" x14ac:dyDescent="0.25">
      <c r="A14" s="11" t="s">
        <v>31</v>
      </c>
      <c r="B14" s="12">
        <f>(10*B8+20*B9)/100</f>
        <v>0.106</v>
      </c>
      <c r="C14" s="3" t="s">
        <v>17</v>
      </c>
      <c r="D14" s="5" t="s">
        <v>32</v>
      </c>
      <c r="E14" s="6" t="s">
        <v>33</v>
      </c>
    </row>
    <row r="15" spans="1:5" ht="34" x14ac:dyDescent="0.25">
      <c r="A15" s="11" t="s">
        <v>34</v>
      </c>
      <c r="B15" s="13">
        <v>0.03</v>
      </c>
      <c r="C15" s="3" t="s">
        <v>17</v>
      </c>
      <c r="D15" s="5" t="s">
        <v>35</v>
      </c>
      <c r="E15" s="6" t="s">
        <v>36</v>
      </c>
    </row>
    <row r="16" spans="1:5" ht="18" x14ac:dyDescent="0.25">
      <c r="A16" s="11" t="s">
        <v>37</v>
      </c>
      <c r="B16" s="4" t="s">
        <v>6</v>
      </c>
      <c r="C16" s="3" t="s">
        <v>38</v>
      </c>
      <c r="D16" s="5" t="s">
        <v>39</v>
      </c>
      <c r="E16" s="6" t="s">
        <v>40</v>
      </c>
    </row>
    <row r="17" spans="1:5" ht="34" x14ac:dyDescent="0.2">
      <c r="A17" s="3" t="s">
        <v>41</v>
      </c>
      <c r="B17" s="10">
        <f>360.83/B14</f>
        <v>3404.0566037735848</v>
      </c>
      <c r="C17" s="3" t="s">
        <v>42</v>
      </c>
      <c r="D17" s="5" t="s">
        <v>43</v>
      </c>
      <c r="E17" s="6" t="s">
        <v>44</v>
      </c>
    </row>
    <row r="18" spans="1:5" ht="34" x14ac:dyDescent="0.2">
      <c r="A18" s="14" t="s">
        <v>45</v>
      </c>
      <c r="B18" s="15">
        <f>B17*(B19+B20)/1000000000</f>
        <v>3.6398764252887925E-4</v>
      </c>
      <c r="C18" s="3" t="s">
        <v>46</v>
      </c>
      <c r="D18" s="5" t="s">
        <v>47</v>
      </c>
      <c r="E18" s="6" t="s">
        <v>44</v>
      </c>
    </row>
    <row r="19" spans="1:5" ht="16" x14ac:dyDescent="0.2">
      <c r="A19" s="3" t="s">
        <v>48</v>
      </c>
      <c r="B19" s="16">
        <f>B8*(B10*B34+B12)</f>
        <v>96.032655999999989</v>
      </c>
      <c r="C19" s="3"/>
      <c r="D19" s="5"/>
      <c r="E19" s="6"/>
    </row>
    <row r="20" spans="1:5" ht="16" x14ac:dyDescent="0.2">
      <c r="A20" s="3" t="s">
        <v>49</v>
      </c>
      <c r="B20" s="16">
        <f>B9*(B11*B34+B13)</f>
        <v>10.894955640000008</v>
      </c>
      <c r="C20" s="3"/>
      <c r="D20" s="5"/>
      <c r="E20" s="6"/>
    </row>
    <row r="21" spans="1:5" ht="34" x14ac:dyDescent="0.2">
      <c r="A21" s="3" t="s">
        <v>50</v>
      </c>
      <c r="B21" s="10">
        <v>0.1</v>
      </c>
      <c r="C21" s="3" t="s">
        <v>17</v>
      </c>
      <c r="D21" s="5" t="s">
        <v>51</v>
      </c>
      <c r="E21" s="6" t="s">
        <v>52</v>
      </c>
    </row>
    <row r="22" spans="1:5" ht="17" x14ac:dyDescent="0.2">
      <c r="A22" s="3" t="s">
        <v>53</v>
      </c>
      <c r="B22" s="16">
        <v>1</v>
      </c>
      <c r="C22" s="3" t="s">
        <v>54</v>
      </c>
      <c r="D22" s="5" t="s">
        <v>55</v>
      </c>
      <c r="E22" s="6" t="s">
        <v>52</v>
      </c>
    </row>
    <row r="23" spans="1:5" ht="17" x14ac:dyDescent="0.2">
      <c r="A23" s="3" t="s">
        <v>56</v>
      </c>
      <c r="B23" s="4" t="s">
        <v>6</v>
      </c>
      <c r="C23" s="3" t="s">
        <v>57</v>
      </c>
      <c r="D23" s="5" t="s">
        <v>58</v>
      </c>
      <c r="E23" s="6" t="s">
        <v>52</v>
      </c>
    </row>
    <row r="24" spans="1:5" ht="17" x14ac:dyDescent="0.2">
      <c r="A24" s="3" t="s">
        <v>59</v>
      </c>
      <c r="B24" s="17">
        <v>5.5</v>
      </c>
      <c r="C24" s="3" t="s">
        <v>60</v>
      </c>
      <c r="D24" s="5" t="s">
        <v>61</v>
      </c>
      <c r="E24" s="6" t="s">
        <v>52</v>
      </c>
    </row>
    <row r="25" spans="1:5" ht="17" x14ac:dyDescent="0.2">
      <c r="A25" s="3"/>
      <c r="B25" s="10">
        <v>4</v>
      </c>
      <c r="C25" s="3" t="s">
        <v>60</v>
      </c>
      <c r="D25" s="5" t="s">
        <v>62</v>
      </c>
      <c r="E25" s="6"/>
    </row>
    <row r="26" spans="1:5" ht="17" x14ac:dyDescent="0.2">
      <c r="A26" s="3" t="s">
        <v>63</v>
      </c>
      <c r="B26" s="10">
        <f>365*B27</f>
        <v>346.75</v>
      </c>
      <c r="C26" s="3" t="s">
        <v>64</v>
      </c>
      <c r="D26" s="5" t="s">
        <v>65</v>
      </c>
      <c r="E26" s="6" t="s">
        <v>52</v>
      </c>
    </row>
    <row r="27" spans="1:5" ht="16" x14ac:dyDescent="0.2">
      <c r="A27" s="3"/>
      <c r="B27" s="16">
        <v>0.95</v>
      </c>
      <c r="C27" s="3"/>
      <c r="D27" s="5"/>
      <c r="E27" s="6"/>
    </row>
    <row r="28" spans="1:5" ht="17" x14ac:dyDescent="0.2">
      <c r="A28" s="3" t="s">
        <v>66</v>
      </c>
      <c r="B28" s="18" t="s">
        <v>6</v>
      </c>
      <c r="C28" s="3" t="s">
        <v>7</v>
      </c>
      <c r="D28" s="5" t="s">
        <v>67</v>
      </c>
      <c r="E28" s="6" t="s">
        <v>52</v>
      </c>
    </row>
    <row r="29" spans="1:5" ht="17" x14ac:dyDescent="0.2">
      <c r="A29" s="3" t="s">
        <v>68</v>
      </c>
      <c r="B29" s="10">
        <v>24</v>
      </c>
      <c r="C29" s="3" t="s">
        <v>69</v>
      </c>
      <c r="D29" s="5" t="s">
        <v>70</v>
      </c>
      <c r="E29" s="6" t="s">
        <v>52</v>
      </c>
    </row>
    <row r="30" spans="1:5" ht="17" x14ac:dyDescent="0.2">
      <c r="A30" s="19" t="s">
        <v>71</v>
      </c>
      <c r="B30" s="10">
        <v>0</v>
      </c>
      <c r="C30" s="3" t="s">
        <v>72</v>
      </c>
      <c r="D30" s="5" t="s">
        <v>73</v>
      </c>
      <c r="E30" s="6" t="s">
        <v>52</v>
      </c>
    </row>
    <row r="31" spans="1:5" ht="17" x14ac:dyDescent="0.2">
      <c r="A31" s="3" t="s">
        <v>74</v>
      </c>
      <c r="C31" s="20" t="s">
        <v>57</v>
      </c>
      <c r="D31" s="5" t="s">
        <v>75</v>
      </c>
      <c r="E31" s="6" t="s">
        <v>52</v>
      </c>
    </row>
    <row r="32" spans="1:5" ht="34" x14ac:dyDescent="0.2">
      <c r="A32" s="3" t="s">
        <v>74</v>
      </c>
      <c r="B32" s="4" t="s">
        <v>6</v>
      </c>
      <c r="C32" s="20" t="s">
        <v>57</v>
      </c>
      <c r="D32" s="5" t="s">
        <v>76</v>
      </c>
      <c r="E32" s="6" t="s">
        <v>52</v>
      </c>
    </row>
    <row r="33" spans="1:5" ht="17" x14ac:dyDescent="0.2">
      <c r="A33" s="3" t="s">
        <v>77</v>
      </c>
      <c r="B33" s="4" t="s">
        <v>6</v>
      </c>
      <c r="C33" s="20" t="s">
        <v>57</v>
      </c>
      <c r="D33" s="5" t="s">
        <v>58</v>
      </c>
      <c r="E33" s="6" t="s">
        <v>52</v>
      </c>
    </row>
    <row r="34" spans="1:5" ht="18" x14ac:dyDescent="0.25">
      <c r="A34" s="21" t="s">
        <v>78</v>
      </c>
      <c r="B34" s="22">
        <v>0.82769999999999999</v>
      </c>
      <c r="C34" s="3" t="s">
        <v>54</v>
      </c>
      <c r="D34" s="18" t="s">
        <v>79</v>
      </c>
      <c r="E34" s="23" t="s">
        <v>80</v>
      </c>
    </row>
    <row r="35" spans="1:5" x14ac:dyDescent="0.2">
      <c r="A35" s="24"/>
      <c r="D35" s="25"/>
    </row>
    <row r="36" spans="1:5" ht="17" x14ac:dyDescent="0.2">
      <c r="A36" s="26" t="s">
        <v>81</v>
      </c>
      <c r="B36" s="4" t="s">
        <v>82</v>
      </c>
      <c r="C36" s="27" t="s">
        <v>83</v>
      </c>
      <c r="D36" s="27" t="s">
        <v>84</v>
      </c>
      <c r="E36" s="5" t="s">
        <v>52</v>
      </c>
    </row>
    <row r="37" spans="1:5" ht="16" x14ac:dyDescent="0.2">
      <c r="A37" s="28" t="s">
        <v>85</v>
      </c>
      <c r="B37" s="29">
        <v>8.0000000000000004E-4</v>
      </c>
      <c r="C37" s="27" t="s">
        <v>86</v>
      </c>
      <c r="D37" s="27" t="s">
        <v>87</v>
      </c>
      <c r="E37" s="30" t="s">
        <v>88</v>
      </c>
    </row>
    <row r="38" spans="1:5" ht="17" x14ac:dyDescent="0.2">
      <c r="A38" s="28" t="s">
        <v>89</v>
      </c>
      <c r="B38" s="31">
        <v>0.2</v>
      </c>
      <c r="C38" s="3" t="s">
        <v>17</v>
      </c>
      <c r="D38" s="32" t="s">
        <v>90</v>
      </c>
      <c r="E38" s="5" t="s">
        <v>33</v>
      </c>
    </row>
    <row r="39" spans="1:5" x14ac:dyDescent="0.2">
      <c r="A39" s="33"/>
      <c r="C39" s="33"/>
      <c r="D39" s="32"/>
      <c r="E39" s="34"/>
    </row>
    <row r="40" spans="1:5" ht="15.75" customHeight="1" x14ac:dyDescent="0.2">
      <c r="A40" s="33"/>
      <c r="D40" s="25"/>
    </row>
    <row r="41" spans="1:5" x14ac:dyDescent="0.2">
      <c r="A41" s="33"/>
      <c r="D41" s="25"/>
    </row>
    <row r="42" spans="1:5" x14ac:dyDescent="0.2">
      <c r="A42" s="33"/>
      <c r="B42" s="34"/>
      <c r="D42" s="25"/>
    </row>
    <row r="53" spans="2:2" x14ac:dyDescent="0.2">
      <c r="B53" s="35"/>
    </row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ADBE1"/>
  </sheetPr>
  <dimension ref="A5:Z1000"/>
  <sheetViews>
    <sheetView tabSelected="1" zoomScale="142" workbookViewId="0">
      <selection activeCell="E8" sqref="E8"/>
    </sheetView>
  </sheetViews>
  <sheetFormatPr baseColWidth="10" defaultColWidth="14.5" defaultRowHeight="15" customHeight="1" x14ac:dyDescent="0.2"/>
  <cols>
    <col min="1" max="1" width="8.83203125" customWidth="1"/>
    <col min="2" max="2" width="9" customWidth="1"/>
    <col min="3" max="3" width="11.5" customWidth="1"/>
    <col min="4" max="4" width="11.83203125" customWidth="1"/>
    <col min="5" max="5" width="20.33203125" customWidth="1"/>
    <col min="6" max="6" width="23.83203125" customWidth="1"/>
    <col min="7" max="8" width="25.5" customWidth="1"/>
    <col min="9" max="9" width="20.1640625" customWidth="1"/>
    <col min="10" max="10" width="9.1640625" customWidth="1"/>
    <col min="11" max="11" width="18.5" customWidth="1"/>
    <col min="12" max="12" width="17.1640625" customWidth="1"/>
    <col min="13" max="13" width="16.6640625" customWidth="1"/>
    <col min="14" max="15" width="11" customWidth="1"/>
    <col min="16" max="16" width="8.83203125" customWidth="1"/>
    <col min="17" max="17" width="19" customWidth="1"/>
    <col min="18" max="18" width="15" customWidth="1"/>
    <col min="19" max="19" width="22.33203125" customWidth="1"/>
    <col min="20" max="20" width="19.5" customWidth="1"/>
    <col min="21" max="21" width="17.83203125" customWidth="1"/>
    <col min="22" max="22" width="20" customWidth="1"/>
    <col min="23" max="26" width="8.83203125" customWidth="1"/>
  </cols>
  <sheetData>
    <row r="5" spans="1:20" ht="34" x14ac:dyDescent="0.25">
      <c r="B5" s="25"/>
      <c r="C5" s="36" t="s">
        <v>91</v>
      </c>
      <c r="D5" s="36" t="s">
        <v>92</v>
      </c>
      <c r="E5" s="37" t="s">
        <v>5</v>
      </c>
      <c r="F5" s="38" t="s">
        <v>93</v>
      </c>
      <c r="G5" s="38" t="s">
        <v>94</v>
      </c>
      <c r="H5" s="39" t="s">
        <v>95</v>
      </c>
      <c r="J5" s="39"/>
      <c r="K5" s="40" t="s">
        <v>96</v>
      </c>
      <c r="L5" s="40" t="s">
        <v>97</v>
      </c>
      <c r="N5" s="41"/>
      <c r="O5" s="42" t="s">
        <v>98</v>
      </c>
    </row>
    <row r="6" spans="1:20" x14ac:dyDescent="0.2">
      <c r="A6" s="43"/>
      <c r="B6" s="44">
        <v>1</v>
      </c>
      <c r="C6" s="26" t="s">
        <v>99</v>
      </c>
      <c r="D6" s="26" t="s">
        <v>100</v>
      </c>
      <c r="E6" s="34">
        <v>264</v>
      </c>
      <c r="F6" s="26">
        <v>5.08</v>
      </c>
      <c r="G6" s="45">
        <f t="shared" ref="G6:G20" si="0">E6*F6</f>
        <v>1341.1200000000001</v>
      </c>
      <c r="H6" s="46">
        <v>44862</v>
      </c>
      <c r="J6" s="47">
        <v>44862</v>
      </c>
      <c r="K6" s="48">
        <f>G6+G7+G8</f>
        <v>4184.16</v>
      </c>
      <c r="L6" s="49">
        <f>K6</f>
        <v>4184.16</v>
      </c>
      <c r="N6" s="50" t="s">
        <v>101</v>
      </c>
      <c r="O6" s="51">
        <v>31</v>
      </c>
    </row>
    <row r="7" spans="1:20" x14ac:dyDescent="0.2">
      <c r="A7" s="43"/>
      <c r="B7" s="44">
        <v>2</v>
      </c>
      <c r="C7" s="26" t="s">
        <v>102</v>
      </c>
      <c r="D7" s="26" t="s">
        <v>100</v>
      </c>
      <c r="E7" s="52">
        <v>537</v>
      </c>
      <c r="F7" s="26">
        <v>5</v>
      </c>
      <c r="G7" s="45">
        <f t="shared" si="0"/>
        <v>2685</v>
      </c>
      <c r="H7" s="46">
        <v>44862</v>
      </c>
      <c r="J7" s="47">
        <v>44863</v>
      </c>
      <c r="K7" s="48">
        <f>+G9+G10</f>
        <v>1800.36</v>
      </c>
      <c r="L7" s="49">
        <f>K7+L6</f>
        <v>5984.5199999999995</v>
      </c>
      <c r="N7" s="50" t="s">
        <v>103</v>
      </c>
      <c r="O7" s="51">
        <v>28</v>
      </c>
    </row>
    <row r="8" spans="1:20" x14ac:dyDescent="0.2">
      <c r="A8" s="43"/>
      <c r="B8" s="44">
        <v>3</v>
      </c>
      <c r="C8" s="26" t="s">
        <v>104</v>
      </c>
      <c r="D8" s="26" t="s">
        <v>100</v>
      </c>
      <c r="E8" s="52">
        <v>36</v>
      </c>
      <c r="F8" s="26">
        <v>4.3899999999999997</v>
      </c>
      <c r="G8" s="45">
        <f t="shared" si="0"/>
        <v>158.04</v>
      </c>
      <c r="H8" s="46">
        <v>44862</v>
      </c>
      <c r="J8" s="47">
        <v>44864</v>
      </c>
      <c r="K8" s="48">
        <f>+G11+G12+G13</f>
        <v>5588.82</v>
      </c>
      <c r="L8" s="49">
        <f>L7+K8</f>
        <v>11573.34</v>
      </c>
      <c r="N8" s="50" t="s">
        <v>105</v>
      </c>
      <c r="O8" s="51">
        <v>31</v>
      </c>
    </row>
    <row r="9" spans="1:20" x14ac:dyDescent="0.2">
      <c r="A9" s="43"/>
      <c r="B9" s="44">
        <v>4</v>
      </c>
      <c r="C9" s="26" t="s">
        <v>106</v>
      </c>
      <c r="D9" s="26" t="s">
        <v>100</v>
      </c>
      <c r="E9" s="52">
        <v>216</v>
      </c>
      <c r="F9" s="26">
        <v>4.51</v>
      </c>
      <c r="G9" s="45">
        <f t="shared" si="0"/>
        <v>974.16</v>
      </c>
      <c r="H9" s="46">
        <v>44863</v>
      </c>
      <c r="J9" s="53" t="s">
        <v>107</v>
      </c>
      <c r="K9" s="48">
        <v>0</v>
      </c>
      <c r="L9" s="49">
        <f>+L8</f>
        <v>11573.34</v>
      </c>
      <c r="N9" s="50" t="s">
        <v>108</v>
      </c>
      <c r="O9" s="51">
        <v>30</v>
      </c>
    </row>
    <row r="10" spans="1:20" x14ac:dyDescent="0.2">
      <c r="A10" s="43"/>
      <c r="B10" s="44">
        <v>5</v>
      </c>
      <c r="C10" s="26" t="s">
        <v>109</v>
      </c>
      <c r="D10" s="26" t="s">
        <v>100</v>
      </c>
      <c r="E10" s="52">
        <v>162</v>
      </c>
      <c r="F10" s="26">
        <v>5.0999999999999996</v>
      </c>
      <c r="G10" s="45">
        <f t="shared" si="0"/>
        <v>826.19999999999993</v>
      </c>
      <c r="H10" s="46">
        <v>44863</v>
      </c>
      <c r="J10" s="54" t="s">
        <v>110</v>
      </c>
      <c r="K10" s="48">
        <f t="shared" ref="K10:K11" si="1">+G14</f>
        <v>625.65</v>
      </c>
      <c r="L10" s="49">
        <f>+L9+K10</f>
        <v>12198.99</v>
      </c>
      <c r="N10" s="50" t="s">
        <v>111</v>
      </c>
      <c r="O10" s="51">
        <v>31</v>
      </c>
    </row>
    <row r="11" spans="1:20" x14ac:dyDescent="0.2">
      <c r="A11" s="43"/>
      <c r="B11" s="44">
        <v>6</v>
      </c>
      <c r="C11" s="26" t="s">
        <v>112</v>
      </c>
      <c r="D11" s="26" t="s">
        <v>113</v>
      </c>
      <c r="E11" s="52">
        <v>140</v>
      </c>
      <c r="F11" s="26">
        <v>5.51</v>
      </c>
      <c r="G11" s="45">
        <f t="shared" si="0"/>
        <v>771.4</v>
      </c>
      <c r="H11" s="46">
        <v>44864</v>
      </c>
      <c r="J11" s="55">
        <v>44905</v>
      </c>
      <c r="K11" s="48">
        <f t="shared" si="1"/>
        <v>1336.9299999999998</v>
      </c>
      <c r="L11" s="49">
        <f>+K11+L8</f>
        <v>12910.27</v>
      </c>
      <c r="N11" s="50" t="s">
        <v>114</v>
      </c>
      <c r="O11" s="51">
        <v>30</v>
      </c>
    </row>
    <row r="12" spans="1:20" x14ac:dyDescent="0.2">
      <c r="A12" s="43"/>
      <c r="B12" s="44">
        <v>7</v>
      </c>
      <c r="C12" s="26" t="s">
        <v>115</v>
      </c>
      <c r="D12" s="26" t="s">
        <v>113</v>
      </c>
      <c r="E12" s="52">
        <v>477</v>
      </c>
      <c r="F12" s="26">
        <v>4.71</v>
      </c>
      <c r="G12" s="45">
        <f t="shared" si="0"/>
        <v>2246.67</v>
      </c>
      <c r="H12" s="46">
        <v>44864</v>
      </c>
      <c r="J12" s="54" t="s">
        <v>116</v>
      </c>
      <c r="K12" s="26">
        <v>0</v>
      </c>
      <c r="L12" s="49">
        <f>+K11+L10</f>
        <v>13535.92</v>
      </c>
      <c r="N12" s="50" t="s">
        <v>117</v>
      </c>
      <c r="O12" s="51">
        <v>31</v>
      </c>
    </row>
    <row r="13" spans="1:20" x14ac:dyDescent="0.2">
      <c r="A13" s="43"/>
      <c r="B13" s="44">
        <v>8</v>
      </c>
      <c r="C13" s="26" t="s">
        <v>118</v>
      </c>
      <c r="D13" s="26" t="s">
        <v>113</v>
      </c>
      <c r="E13" s="52">
        <v>455</v>
      </c>
      <c r="F13" s="26">
        <v>5.65</v>
      </c>
      <c r="G13" s="45">
        <f t="shared" si="0"/>
        <v>2570.75</v>
      </c>
      <c r="H13" s="46">
        <v>44864</v>
      </c>
      <c r="J13" s="55">
        <v>45008</v>
      </c>
      <c r="K13" s="48">
        <f>+G16</f>
        <v>5965.34</v>
      </c>
      <c r="L13" s="48">
        <f>+L12+K13</f>
        <v>19501.260000000002</v>
      </c>
      <c r="N13" s="50" t="s">
        <v>119</v>
      </c>
      <c r="O13" s="51">
        <v>31</v>
      </c>
    </row>
    <row r="14" spans="1:20" x14ac:dyDescent="0.2">
      <c r="A14" s="43"/>
      <c r="B14" s="44">
        <v>9</v>
      </c>
      <c r="C14" s="26" t="s">
        <v>120</v>
      </c>
      <c r="D14" s="26" t="s">
        <v>100</v>
      </c>
      <c r="E14" s="52">
        <v>129</v>
      </c>
      <c r="F14" s="26">
        <v>4.8499999999999996</v>
      </c>
      <c r="G14" s="45">
        <f t="shared" si="0"/>
        <v>625.65</v>
      </c>
      <c r="H14" s="46">
        <v>44895</v>
      </c>
      <c r="J14" s="55">
        <v>45009</v>
      </c>
      <c r="K14" s="26">
        <v>0</v>
      </c>
      <c r="L14" s="49">
        <f t="shared" ref="L14:L15" si="2">K14+L13</f>
        <v>19501.260000000002</v>
      </c>
      <c r="N14" s="50" t="s">
        <v>121</v>
      </c>
      <c r="O14" s="51">
        <v>30</v>
      </c>
    </row>
    <row r="15" spans="1:20" x14ac:dyDescent="0.2">
      <c r="A15" s="43"/>
      <c r="B15" s="44">
        <v>10</v>
      </c>
      <c r="C15" s="26" t="s">
        <v>122</v>
      </c>
      <c r="D15" s="26" t="s">
        <v>113</v>
      </c>
      <c r="E15" s="52">
        <v>269</v>
      </c>
      <c r="F15" s="26">
        <v>4.97</v>
      </c>
      <c r="G15" s="45">
        <f t="shared" si="0"/>
        <v>1336.9299999999998</v>
      </c>
      <c r="H15" s="46">
        <v>44905</v>
      </c>
      <c r="J15" s="55">
        <v>45010</v>
      </c>
      <c r="K15" s="48">
        <f>+G17+G18+G19</f>
        <v>25515.899999999998</v>
      </c>
      <c r="L15" s="49">
        <f t="shared" si="2"/>
        <v>45017.16</v>
      </c>
      <c r="N15" s="50" t="s">
        <v>123</v>
      </c>
      <c r="O15" s="51">
        <v>31</v>
      </c>
    </row>
    <row r="16" spans="1:20" ht="16" x14ac:dyDescent="0.2">
      <c r="A16" s="43"/>
      <c r="B16" s="44">
        <v>11</v>
      </c>
      <c r="C16" s="56" t="s">
        <v>124</v>
      </c>
      <c r="D16" s="56" t="s">
        <v>125</v>
      </c>
      <c r="E16" s="57">
        <v>1294</v>
      </c>
      <c r="F16" s="26">
        <v>4.6100000000000003</v>
      </c>
      <c r="G16" s="45">
        <f t="shared" si="0"/>
        <v>5965.34</v>
      </c>
      <c r="H16" s="46">
        <v>45008</v>
      </c>
      <c r="J16" s="55" t="s">
        <v>126</v>
      </c>
      <c r="K16" s="48">
        <v>0</v>
      </c>
      <c r="L16" s="49">
        <f>L15+K16</f>
        <v>45017.16</v>
      </c>
      <c r="N16" s="50" t="s">
        <v>127</v>
      </c>
      <c r="O16" s="51">
        <v>30</v>
      </c>
      <c r="T16" s="58"/>
    </row>
    <row r="17" spans="1:20" ht="16" x14ac:dyDescent="0.2">
      <c r="A17" s="43"/>
      <c r="B17" s="44">
        <v>12</v>
      </c>
      <c r="C17" s="56" t="s">
        <v>128</v>
      </c>
      <c r="D17" s="56" t="s">
        <v>129</v>
      </c>
      <c r="E17" s="57">
        <v>1670</v>
      </c>
      <c r="F17" s="26">
        <v>6.02</v>
      </c>
      <c r="G17" s="45">
        <f t="shared" si="0"/>
        <v>10053.4</v>
      </c>
      <c r="H17" s="46">
        <v>45010</v>
      </c>
      <c r="J17" s="55">
        <v>45069</v>
      </c>
      <c r="K17" s="49">
        <f>+G20</f>
        <v>2578.6999999999998</v>
      </c>
      <c r="L17" s="49">
        <f>+L16+K17</f>
        <v>47595.86</v>
      </c>
      <c r="N17" s="50" t="s">
        <v>130</v>
      </c>
      <c r="O17" s="51">
        <v>31</v>
      </c>
      <c r="T17" s="58"/>
    </row>
    <row r="18" spans="1:20" x14ac:dyDescent="0.2">
      <c r="A18" s="43"/>
      <c r="B18" s="44">
        <v>13</v>
      </c>
      <c r="C18" s="26" t="s">
        <v>131</v>
      </c>
      <c r="D18" s="26" t="s">
        <v>129</v>
      </c>
      <c r="E18" s="52">
        <v>1544</v>
      </c>
      <c r="F18" s="26">
        <v>6.13</v>
      </c>
      <c r="G18" s="45">
        <f t="shared" si="0"/>
        <v>9464.7199999999993</v>
      </c>
      <c r="H18" s="46">
        <v>45010</v>
      </c>
      <c r="J18" s="55"/>
      <c r="K18" s="48"/>
      <c r="L18" s="49">
        <f>+L17</f>
        <v>47595.86</v>
      </c>
    </row>
    <row r="19" spans="1:20" x14ac:dyDescent="0.2">
      <c r="A19" s="43"/>
      <c r="B19" s="44">
        <v>14</v>
      </c>
      <c r="C19" s="26" t="s">
        <v>132</v>
      </c>
      <c r="D19" s="26" t="s">
        <v>129</v>
      </c>
      <c r="E19" s="52">
        <v>1149</v>
      </c>
      <c r="F19" s="26">
        <v>5.22</v>
      </c>
      <c r="G19" s="45">
        <f t="shared" si="0"/>
        <v>5997.78</v>
      </c>
      <c r="H19" s="46">
        <v>45010</v>
      </c>
      <c r="K19" s="59"/>
      <c r="L19" s="43"/>
    </row>
    <row r="20" spans="1:20" x14ac:dyDescent="0.2">
      <c r="A20" s="43"/>
      <c r="B20" s="44">
        <v>15</v>
      </c>
      <c r="C20" s="26" t="s">
        <v>133</v>
      </c>
      <c r="D20" s="26" t="s">
        <v>125</v>
      </c>
      <c r="E20" s="52">
        <v>482</v>
      </c>
      <c r="F20" s="26">
        <v>5.35</v>
      </c>
      <c r="G20" s="45">
        <f t="shared" si="0"/>
        <v>2578.6999999999998</v>
      </c>
      <c r="H20" s="46">
        <v>45069</v>
      </c>
      <c r="L20" s="43"/>
    </row>
    <row r="21" spans="1:20" ht="15.75" customHeight="1" x14ac:dyDescent="0.2">
      <c r="B21" s="60"/>
      <c r="C21" s="34"/>
      <c r="D21" s="34"/>
      <c r="E21" s="61">
        <f>SUM(E6:E20)</f>
        <v>8824</v>
      </c>
      <c r="G21" s="61">
        <f>SUM(G6:G20)</f>
        <v>47595.86</v>
      </c>
      <c r="H21" s="34"/>
      <c r="I21" s="62"/>
      <c r="J21" s="34"/>
      <c r="K21" s="43"/>
    </row>
    <row r="22" spans="1:20" ht="15.75" customHeight="1" x14ac:dyDescent="0.2">
      <c r="B22" s="60"/>
      <c r="C22" s="34"/>
      <c r="D22" s="34"/>
      <c r="E22" s="34"/>
      <c r="F22" s="34"/>
      <c r="G22" s="34"/>
      <c r="H22" s="34"/>
      <c r="I22" s="63"/>
      <c r="J22" s="34"/>
      <c r="K22" s="64"/>
    </row>
    <row r="23" spans="1:20" ht="15.75" customHeight="1" x14ac:dyDescent="0.2">
      <c r="B23" s="60"/>
      <c r="C23" s="65"/>
      <c r="D23" s="66"/>
      <c r="E23" s="67"/>
      <c r="F23" s="61"/>
      <c r="G23" s="68"/>
      <c r="H23" s="34"/>
    </row>
    <row r="24" spans="1:20" ht="40.5" customHeight="1" x14ac:dyDescent="0.2">
      <c r="B24" s="60"/>
      <c r="C24" s="69" t="s">
        <v>134</v>
      </c>
      <c r="D24" s="69" t="s">
        <v>135</v>
      </c>
      <c r="E24" s="70" t="s">
        <v>136</v>
      </c>
      <c r="F24" s="70" t="s">
        <v>137</v>
      </c>
      <c r="G24" s="70" t="s">
        <v>95</v>
      </c>
      <c r="H24" s="34"/>
      <c r="I24" s="71"/>
      <c r="J24" s="72" t="s">
        <v>96</v>
      </c>
      <c r="K24" s="72" t="s">
        <v>97</v>
      </c>
    </row>
    <row r="25" spans="1:20" ht="15.75" customHeight="1" x14ac:dyDescent="0.2">
      <c r="B25" s="60"/>
      <c r="C25" s="73" t="s">
        <v>138</v>
      </c>
      <c r="D25" s="74" t="s">
        <v>100</v>
      </c>
      <c r="E25" s="75">
        <v>2</v>
      </c>
      <c r="F25" s="76">
        <v>609</v>
      </c>
      <c r="G25" s="55">
        <v>44862</v>
      </c>
      <c r="H25" s="34"/>
      <c r="I25" s="54">
        <v>44862</v>
      </c>
      <c r="J25" s="49">
        <f>+F25+F26</f>
        <v>776</v>
      </c>
      <c r="K25" s="49">
        <f>+J25</f>
        <v>776</v>
      </c>
    </row>
    <row r="26" spans="1:20" ht="15.75" customHeight="1" x14ac:dyDescent="0.2">
      <c r="B26" s="60"/>
      <c r="C26" s="73" t="s">
        <v>139</v>
      </c>
      <c r="D26" s="74" t="s">
        <v>100</v>
      </c>
      <c r="E26" s="26">
        <v>1</v>
      </c>
      <c r="F26" s="49">
        <v>167</v>
      </c>
      <c r="G26" s="55">
        <v>44862</v>
      </c>
      <c r="H26" s="34"/>
      <c r="I26" s="54">
        <v>44863</v>
      </c>
      <c r="J26" s="26">
        <v>0</v>
      </c>
      <c r="K26" s="49">
        <f>+J26+K25</f>
        <v>776</v>
      </c>
    </row>
    <row r="27" spans="1:20" ht="15.75" customHeight="1" x14ac:dyDescent="0.2">
      <c r="B27" s="60"/>
      <c r="C27" s="73" t="s">
        <v>140</v>
      </c>
      <c r="D27" s="74" t="s">
        <v>113</v>
      </c>
      <c r="E27" s="26">
        <v>2</v>
      </c>
      <c r="F27" s="49">
        <v>1564</v>
      </c>
      <c r="G27" s="55">
        <v>44864</v>
      </c>
      <c r="H27" s="34"/>
      <c r="I27" s="77">
        <v>44864</v>
      </c>
      <c r="J27" s="49">
        <f>+F27+F28</f>
        <v>2347</v>
      </c>
      <c r="K27" s="49">
        <f t="shared" ref="K27:K30" si="3">+K26+J27</f>
        <v>3123</v>
      </c>
    </row>
    <row r="28" spans="1:20" ht="15.75" customHeight="1" x14ac:dyDescent="0.2">
      <c r="B28" s="60"/>
      <c r="C28" s="73" t="s">
        <v>141</v>
      </c>
      <c r="D28" s="74" t="s">
        <v>113</v>
      </c>
      <c r="E28" s="26">
        <v>1</v>
      </c>
      <c r="F28" s="49">
        <v>783</v>
      </c>
      <c r="G28" s="55">
        <v>44864</v>
      </c>
      <c r="H28" s="34"/>
      <c r="I28" s="77" t="s">
        <v>142</v>
      </c>
      <c r="J28" s="26">
        <v>0</v>
      </c>
      <c r="K28" s="49">
        <f t="shared" si="3"/>
        <v>3123</v>
      </c>
      <c r="L28" s="78"/>
      <c r="M28" s="78"/>
      <c r="N28" s="78"/>
    </row>
    <row r="29" spans="1:20" ht="15.75" customHeight="1" x14ac:dyDescent="0.2">
      <c r="B29" s="60"/>
      <c r="C29" s="26" t="s">
        <v>143</v>
      </c>
      <c r="D29" s="26" t="s">
        <v>129</v>
      </c>
      <c r="E29" s="26">
        <v>1</v>
      </c>
      <c r="F29" s="49">
        <v>512</v>
      </c>
      <c r="G29" s="47">
        <f t="shared" ref="G29:G30" si="4">+H18</f>
        <v>45010</v>
      </c>
      <c r="H29" s="34"/>
      <c r="I29" s="79">
        <f>+G29</f>
        <v>45010</v>
      </c>
      <c r="J29" s="45">
        <f>+F29+F30</f>
        <v>1333</v>
      </c>
      <c r="K29" s="49">
        <f t="shared" si="3"/>
        <v>4456</v>
      </c>
      <c r="L29" s="78"/>
      <c r="M29" s="78"/>
      <c r="N29" s="78"/>
    </row>
    <row r="30" spans="1:20" ht="15.75" customHeight="1" x14ac:dyDescent="0.2">
      <c r="B30" s="60"/>
      <c r="C30" s="26" t="s">
        <v>144</v>
      </c>
      <c r="D30" s="26" t="s">
        <v>129</v>
      </c>
      <c r="E30" s="26">
        <v>3</v>
      </c>
      <c r="F30" s="49">
        <v>821</v>
      </c>
      <c r="G30" s="55">
        <f t="shared" si="4"/>
        <v>45010</v>
      </c>
      <c r="H30" s="34"/>
      <c r="I30" s="80"/>
      <c r="J30" s="26"/>
      <c r="K30" s="49">
        <f t="shared" si="3"/>
        <v>4456</v>
      </c>
      <c r="L30" s="78"/>
      <c r="M30" s="78"/>
      <c r="N30" s="78"/>
    </row>
    <row r="31" spans="1:20" ht="15.75" customHeight="1" x14ac:dyDescent="0.2">
      <c r="B31" s="60"/>
      <c r="G31" s="34"/>
      <c r="H31" s="68"/>
      <c r="L31" s="78"/>
      <c r="M31" s="78"/>
      <c r="N31" s="78"/>
    </row>
    <row r="32" spans="1:20" ht="15.75" customHeight="1" x14ac:dyDescent="0.2">
      <c r="B32" s="60"/>
      <c r="F32" s="43"/>
      <c r="K32" s="78"/>
      <c r="L32" s="78"/>
      <c r="M32" s="78"/>
      <c r="N32" s="78"/>
    </row>
    <row r="33" spans="1:26" ht="15.75" customHeight="1" x14ac:dyDescent="0.2">
      <c r="B33" s="60"/>
      <c r="C33" s="65"/>
      <c r="D33" s="66"/>
      <c r="E33" s="67"/>
      <c r="F33" s="81"/>
      <c r="G33" s="82"/>
      <c r="H33" s="34"/>
      <c r="I33" s="83"/>
      <c r="J33" s="84"/>
      <c r="K33" s="78"/>
      <c r="N33" s="78"/>
    </row>
    <row r="34" spans="1:26" ht="15.75" customHeight="1" x14ac:dyDescent="0.2">
      <c r="B34" s="60"/>
      <c r="C34" s="65"/>
      <c r="D34" s="66"/>
      <c r="E34" s="67"/>
      <c r="F34" s="81"/>
      <c r="G34" s="82"/>
      <c r="H34" s="34"/>
      <c r="I34" s="83"/>
      <c r="J34" s="84"/>
      <c r="K34" s="78"/>
      <c r="M34" s="78"/>
      <c r="N34" s="78"/>
    </row>
    <row r="35" spans="1:26" ht="15.75" customHeight="1" x14ac:dyDescent="0.2">
      <c r="B35" s="60"/>
      <c r="H35" s="34"/>
      <c r="I35" s="83"/>
      <c r="J35" s="84"/>
      <c r="K35" s="78"/>
      <c r="L35" s="78"/>
      <c r="M35" s="78"/>
      <c r="N35" s="78"/>
      <c r="O35" s="85"/>
      <c r="P35" s="86"/>
    </row>
    <row r="36" spans="1:26" ht="87" customHeight="1" x14ac:dyDescent="0.2">
      <c r="B36" s="87" t="s">
        <v>145</v>
      </c>
      <c r="C36" s="87"/>
      <c r="D36" s="87" t="s">
        <v>146</v>
      </c>
      <c r="E36" s="87" t="s">
        <v>147</v>
      </c>
      <c r="F36" s="87" t="s">
        <v>148</v>
      </c>
      <c r="G36" s="87" t="s">
        <v>149</v>
      </c>
      <c r="H36" s="87" t="s">
        <v>150</v>
      </c>
      <c r="I36" s="88" t="s">
        <v>151</v>
      </c>
      <c r="J36" s="89"/>
      <c r="K36" s="89"/>
      <c r="L36" s="89"/>
      <c r="M36" s="34"/>
      <c r="O36" s="90" t="s">
        <v>152</v>
      </c>
      <c r="P36" s="90" t="s">
        <v>145</v>
      </c>
      <c r="Q36" s="90"/>
      <c r="R36" s="90" t="s">
        <v>146</v>
      </c>
      <c r="S36" s="90" t="s">
        <v>147</v>
      </c>
      <c r="T36" s="90" t="s">
        <v>148</v>
      </c>
      <c r="U36" s="90" t="s">
        <v>149</v>
      </c>
      <c r="V36" s="90" t="s">
        <v>150</v>
      </c>
      <c r="W36" s="90" t="s">
        <v>151</v>
      </c>
    </row>
    <row r="37" spans="1:26" ht="15.75" customHeight="1" x14ac:dyDescent="0.2">
      <c r="A37" s="34"/>
      <c r="B37" s="91" t="s">
        <v>153</v>
      </c>
      <c r="C37" s="91" t="s">
        <v>154</v>
      </c>
      <c r="D37" s="91"/>
      <c r="E37" s="91"/>
      <c r="F37" s="91"/>
      <c r="G37" s="91"/>
      <c r="H37" s="91"/>
      <c r="I37" s="92"/>
      <c r="J37" s="93"/>
      <c r="K37" s="93"/>
      <c r="L37" s="93"/>
      <c r="M37" s="34"/>
      <c r="N37" s="34"/>
      <c r="O37" s="94"/>
      <c r="P37" s="94" t="s">
        <v>153</v>
      </c>
      <c r="Q37" s="94" t="s">
        <v>154</v>
      </c>
      <c r="R37" s="94"/>
      <c r="S37" s="94"/>
      <c r="T37" s="94"/>
      <c r="U37" s="94"/>
      <c r="V37" s="94"/>
      <c r="W37" s="94"/>
      <c r="X37" s="34"/>
      <c r="Y37" s="34"/>
      <c r="Z37" s="34"/>
    </row>
    <row r="38" spans="1:26" ht="15.75" customHeight="1" x14ac:dyDescent="0.2">
      <c r="A38" s="34"/>
      <c r="B38" s="58">
        <v>44862</v>
      </c>
      <c r="C38" s="58">
        <v>44862</v>
      </c>
      <c r="D38" s="43">
        <f t="shared" ref="D38:D47" si="5">+L6</f>
        <v>4184.16</v>
      </c>
      <c r="E38" s="67">
        <f>1*'General data'!$B$27</f>
        <v>0.95</v>
      </c>
      <c r="F38" s="43">
        <f>D38*'General data'!$B$24*E38</f>
        <v>21862.235999999997</v>
      </c>
      <c r="G38" s="43">
        <f t="shared" ref="G38:G57" si="6">25*D38*E38</f>
        <v>99373.799999999988</v>
      </c>
      <c r="H38" s="43">
        <f t="shared" ref="H38:H58" si="7">MIN(F38:G38)</f>
        <v>21862.235999999997</v>
      </c>
      <c r="I38" s="67">
        <f>'General data'!$B$18*(1-'General data'!$B$15-'General data'!$B$21)*H38*'General data'!$B$22</f>
        <v>6.9230978555834941</v>
      </c>
      <c r="J38" s="34"/>
      <c r="K38" s="34"/>
      <c r="L38" s="43"/>
      <c r="M38" s="34"/>
      <c r="N38" s="34"/>
      <c r="O38" s="95"/>
      <c r="P38" s="58">
        <f t="shared" ref="P38:Q38" si="8">+B38</f>
        <v>44862</v>
      </c>
      <c r="Q38" s="58">
        <f t="shared" si="8"/>
        <v>44862</v>
      </c>
      <c r="R38" s="43">
        <f t="shared" ref="R38:R39" si="9">+K25</f>
        <v>776</v>
      </c>
      <c r="S38" s="67">
        <f t="shared" ref="S38:S58" si="10">+E38</f>
        <v>0.95</v>
      </c>
      <c r="T38" s="43">
        <f>R38*'General data'!$B$25*S38</f>
        <v>2948.7999999999997</v>
      </c>
      <c r="U38" s="43">
        <f t="shared" ref="U38:U58" si="11">R38*S38*25</f>
        <v>18430</v>
      </c>
      <c r="V38" s="43">
        <f t="shared" ref="V38:V58" si="12">MIN(T38:U38)</f>
        <v>2948.7999999999997</v>
      </c>
      <c r="W38" s="43">
        <f>'General data'!$B$18*(1-'General data'!$B$15-'General data'!$B$21)*V38*'General data'!$B$22</f>
        <v>0.93379428145156829</v>
      </c>
      <c r="X38" s="34"/>
      <c r="Y38" s="34"/>
      <c r="Z38" s="34"/>
    </row>
    <row r="39" spans="1:26" ht="15.75" customHeight="1" x14ac:dyDescent="0.2">
      <c r="A39" s="34"/>
      <c r="B39" s="58">
        <v>44863</v>
      </c>
      <c r="C39" s="58">
        <v>44863</v>
      </c>
      <c r="D39" s="43">
        <f t="shared" si="5"/>
        <v>5984.5199999999995</v>
      </c>
      <c r="E39" s="67">
        <f>1*'General data'!$B$27</f>
        <v>0.95</v>
      </c>
      <c r="F39" s="43">
        <f>D39*'General data'!$B$24*E39</f>
        <v>31269.116999999998</v>
      </c>
      <c r="G39" s="43">
        <f t="shared" si="6"/>
        <v>142132.35</v>
      </c>
      <c r="H39" s="43">
        <f t="shared" si="7"/>
        <v>31269.116999999998</v>
      </c>
      <c r="I39" s="43">
        <f>'General data'!$B$18*(1-'General data'!$B$15-'General data'!$B$21)*H39*'General data'!$B$22</f>
        <v>9.901967797287039</v>
      </c>
      <c r="J39" s="34"/>
      <c r="K39" s="34"/>
      <c r="L39" s="43"/>
      <c r="M39" s="34"/>
      <c r="N39" s="34"/>
      <c r="O39" s="95"/>
      <c r="P39" s="58">
        <f t="shared" ref="P39:Q39" si="13">+B39</f>
        <v>44863</v>
      </c>
      <c r="Q39" s="58">
        <f t="shared" si="13"/>
        <v>44863</v>
      </c>
      <c r="R39" s="43">
        <f t="shared" si="9"/>
        <v>776</v>
      </c>
      <c r="S39" s="67">
        <f t="shared" si="10"/>
        <v>0.95</v>
      </c>
      <c r="T39" s="43">
        <f>R39*'General data'!$B$25*S39</f>
        <v>2948.7999999999997</v>
      </c>
      <c r="U39" s="43">
        <f t="shared" si="11"/>
        <v>18430</v>
      </c>
      <c r="V39" s="43">
        <f t="shared" si="12"/>
        <v>2948.7999999999997</v>
      </c>
      <c r="W39" s="43">
        <f>'General data'!$B$18*(1-'General data'!$B$15-'General data'!$B$21)*V39*'General data'!$B$22</f>
        <v>0.93379428145156829</v>
      </c>
      <c r="X39" s="34"/>
      <c r="Y39" s="34"/>
      <c r="Z39" s="34"/>
    </row>
    <row r="40" spans="1:26" ht="15.75" customHeight="1" x14ac:dyDescent="0.2">
      <c r="A40" s="34"/>
      <c r="B40" s="58">
        <v>44864</v>
      </c>
      <c r="C40" s="58">
        <v>44864</v>
      </c>
      <c r="D40" s="43">
        <f t="shared" si="5"/>
        <v>11573.34</v>
      </c>
      <c r="E40" s="67">
        <f>1*'General data'!$B$27</f>
        <v>0.95</v>
      </c>
      <c r="F40" s="43">
        <f>D40*'General data'!$B$24*E40</f>
        <v>60470.701500000003</v>
      </c>
      <c r="G40" s="43">
        <f t="shared" si="6"/>
        <v>274866.82500000001</v>
      </c>
      <c r="H40" s="43">
        <f t="shared" si="7"/>
        <v>60470.701500000003</v>
      </c>
      <c r="I40" s="43">
        <f>'General data'!$B$18*(1-'General data'!$B$15-'General data'!$B$21)*H40*'General data'!$B$22</f>
        <v>19.14921163051573</v>
      </c>
      <c r="J40" s="34"/>
      <c r="K40" s="34"/>
      <c r="L40" s="43"/>
      <c r="M40" s="34"/>
      <c r="N40" s="34"/>
      <c r="O40" s="95"/>
      <c r="P40" s="58">
        <f t="shared" ref="P40:Q40" si="14">+B40</f>
        <v>44864</v>
      </c>
      <c r="Q40" s="58">
        <f t="shared" si="14"/>
        <v>44864</v>
      </c>
      <c r="R40" s="43">
        <f t="shared" ref="R40:R46" si="15">+$K$27</f>
        <v>3123</v>
      </c>
      <c r="S40" s="67">
        <f t="shared" si="10"/>
        <v>0.95</v>
      </c>
      <c r="T40" s="43">
        <f>R40*'General data'!$B$25*S40</f>
        <v>11867.4</v>
      </c>
      <c r="U40" s="43">
        <f t="shared" si="11"/>
        <v>74171.25</v>
      </c>
      <c r="V40" s="43">
        <f t="shared" si="12"/>
        <v>11867.4</v>
      </c>
      <c r="W40" s="43">
        <f>'General data'!$B$18*(1-'General data'!$B$15-'General data'!$B$21)*V40*'General data'!$B$22</f>
        <v>3.7580406455840825</v>
      </c>
      <c r="X40" s="34"/>
      <c r="Y40" s="34"/>
      <c r="Z40" s="34"/>
    </row>
    <row r="41" spans="1:26" ht="15.75" customHeight="1" x14ac:dyDescent="0.2">
      <c r="A41" s="34"/>
      <c r="B41" s="58">
        <v>44865</v>
      </c>
      <c r="C41" s="58">
        <v>44894</v>
      </c>
      <c r="D41" s="43">
        <f t="shared" si="5"/>
        <v>11573.34</v>
      </c>
      <c r="E41" s="67">
        <f>(1+29)*'General data'!$B$27</f>
        <v>28.5</v>
      </c>
      <c r="F41" s="43">
        <f>D41*'General data'!$B$24*E41</f>
        <v>1814121.0450000002</v>
      </c>
      <c r="G41" s="43">
        <f t="shared" si="6"/>
        <v>8246004.75</v>
      </c>
      <c r="H41" s="43">
        <f t="shared" si="7"/>
        <v>1814121.0450000002</v>
      </c>
      <c r="I41" s="43">
        <f>'General data'!$B$18*(1-'General data'!$B$15-'General data'!$B$21)*H41*'General data'!$B$22</f>
        <v>574.47634891547193</v>
      </c>
      <c r="J41" s="34"/>
      <c r="K41" s="34"/>
      <c r="L41" s="43"/>
      <c r="M41" s="34"/>
      <c r="N41" s="34"/>
      <c r="O41" s="95"/>
      <c r="P41" s="58">
        <f t="shared" ref="P41:Q41" si="16">+B41</f>
        <v>44865</v>
      </c>
      <c r="Q41" s="58">
        <f t="shared" si="16"/>
        <v>44894</v>
      </c>
      <c r="R41" s="43">
        <f t="shared" si="15"/>
        <v>3123</v>
      </c>
      <c r="S41" s="67">
        <f t="shared" si="10"/>
        <v>28.5</v>
      </c>
      <c r="T41" s="43">
        <f>R41*'General data'!$B$25*S41</f>
        <v>356022</v>
      </c>
      <c r="U41" s="43">
        <f t="shared" si="11"/>
        <v>2225137.5</v>
      </c>
      <c r="V41" s="43">
        <f t="shared" si="12"/>
        <v>356022</v>
      </c>
      <c r="W41" s="43">
        <f>'General data'!$B$18*(1-'General data'!$B$15-'General data'!$B$21)*V41*'General data'!$B$22</f>
        <v>112.74121936752248</v>
      </c>
      <c r="X41" s="34"/>
      <c r="Y41" s="34"/>
      <c r="Z41" s="34"/>
    </row>
    <row r="42" spans="1:26" ht="15.75" customHeight="1" x14ac:dyDescent="0.2">
      <c r="A42" s="34"/>
      <c r="B42" s="58">
        <v>44895</v>
      </c>
      <c r="C42" s="58">
        <v>44904</v>
      </c>
      <c r="D42" s="43">
        <f t="shared" si="5"/>
        <v>12198.99</v>
      </c>
      <c r="E42" s="67">
        <f>(1+9)*'General data'!$B$27</f>
        <v>9.5</v>
      </c>
      <c r="F42" s="43">
        <f>D42*'General data'!$B$24*E42</f>
        <v>637397.22749999992</v>
      </c>
      <c r="G42" s="43">
        <f t="shared" si="6"/>
        <v>2897260.125</v>
      </c>
      <c r="H42" s="43">
        <f t="shared" si="7"/>
        <v>637397.22749999992</v>
      </c>
      <c r="I42" s="43">
        <f>'General data'!$B$18*(1-'General data'!$B$15-'General data'!$B$21)*H42*'General data'!$B$22</f>
        <v>201.84410134718675</v>
      </c>
      <c r="J42" s="34"/>
      <c r="K42" s="34"/>
      <c r="L42" s="43"/>
      <c r="M42" s="34"/>
      <c r="N42" s="34"/>
      <c r="O42" s="95"/>
      <c r="P42" s="58">
        <f t="shared" ref="P42:Q42" si="17">+B42</f>
        <v>44895</v>
      </c>
      <c r="Q42" s="58">
        <f t="shared" si="17"/>
        <v>44904</v>
      </c>
      <c r="R42" s="43">
        <f t="shared" si="15"/>
        <v>3123</v>
      </c>
      <c r="S42" s="67">
        <f t="shared" si="10"/>
        <v>9.5</v>
      </c>
      <c r="T42" s="43">
        <f>R42*'General data'!$B$25*S42</f>
        <v>118674</v>
      </c>
      <c r="U42" s="43">
        <f t="shared" si="11"/>
        <v>741712.5</v>
      </c>
      <c r="V42" s="43">
        <f t="shared" si="12"/>
        <v>118674</v>
      </c>
      <c r="W42" s="43">
        <f>'General data'!$B$18*(1-'General data'!$B$15-'General data'!$B$21)*V42*'General data'!$B$22</f>
        <v>37.58040645584083</v>
      </c>
      <c r="X42" s="34"/>
      <c r="Y42" s="34"/>
      <c r="Z42" s="34"/>
    </row>
    <row r="43" spans="1:26" ht="15.75" customHeight="1" x14ac:dyDescent="0.2">
      <c r="A43" s="34"/>
      <c r="B43" s="58">
        <v>44905</v>
      </c>
      <c r="C43" s="58">
        <v>44926</v>
      </c>
      <c r="D43" s="43">
        <f t="shared" si="5"/>
        <v>12910.27</v>
      </c>
      <c r="E43" s="67">
        <f>(31-10)*'General data'!$B$27</f>
        <v>19.95</v>
      </c>
      <c r="F43" s="43">
        <f>D43*'General data'!$B$24*E43</f>
        <v>1416579.3757499999</v>
      </c>
      <c r="G43" s="43">
        <f t="shared" si="6"/>
        <v>6438997.1624999996</v>
      </c>
      <c r="H43" s="43">
        <f t="shared" si="7"/>
        <v>1416579.3757499999</v>
      </c>
      <c r="I43" s="43">
        <f>'General data'!$B$18*(1-'General data'!$B$15-'General data'!$B$21)*H43*'General data'!$B$22</f>
        <v>448.58712706781824</v>
      </c>
      <c r="J43" s="34"/>
      <c r="K43" s="34"/>
      <c r="L43" s="43"/>
      <c r="M43" s="34"/>
      <c r="N43" s="34"/>
      <c r="O43" s="95"/>
      <c r="P43" s="58">
        <f t="shared" ref="P43:Q43" si="18">+B43</f>
        <v>44905</v>
      </c>
      <c r="Q43" s="58">
        <f t="shared" si="18"/>
        <v>44926</v>
      </c>
      <c r="R43" s="43">
        <f t="shared" si="15"/>
        <v>3123</v>
      </c>
      <c r="S43" s="67">
        <f t="shared" si="10"/>
        <v>19.95</v>
      </c>
      <c r="T43" s="43">
        <f>R43*'General data'!$B$25*S43</f>
        <v>249215.4</v>
      </c>
      <c r="U43" s="43">
        <f t="shared" si="11"/>
        <v>1557596.25</v>
      </c>
      <c r="V43" s="43">
        <f t="shared" si="12"/>
        <v>249215.4</v>
      </c>
      <c r="W43" s="43">
        <f>'General data'!$B$18*(1-'General data'!$B$15-'General data'!$B$21)*V43*'General data'!$B$22</f>
        <v>78.918853557265734</v>
      </c>
      <c r="X43" s="34"/>
      <c r="Y43" s="34"/>
      <c r="Z43" s="34"/>
    </row>
    <row r="44" spans="1:26" ht="19.5" customHeight="1" x14ac:dyDescent="0.2">
      <c r="A44" s="34"/>
      <c r="B44" s="58">
        <v>44927</v>
      </c>
      <c r="C44" s="58">
        <v>45007</v>
      </c>
      <c r="D44" s="43">
        <f t="shared" si="5"/>
        <v>13535.92</v>
      </c>
      <c r="E44" s="67">
        <f>(O6+O7+22)*'General data'!$B$27</f>
        <v>76.95</v>
      </c>
      <c r="F44" s="43">
        <f>D44*'General data'!$B$24*E44</f>
        <v>5728739.7419999996</v>
      </c>
      <c r="G44" s="43">
        <f t="shared" si="6"/>
        <v>26039726.100000001</v>
      </c>
      <c r="H44" s="43">
        <f t="shared" si="7"/>
        <v>5728739.7419999996</v>
      </c>
      <c r="I44" s="43">
        <f>'General data'!$B$18*(1-'General data'!$B$15-'General data'!$B$21)*H44*'General data'!$B$22</f>
        <v>1814.1157118163094</v>
      </c>
      <c r="J44" s="34"/>
      <c r="K44" s="34"/>
      <c r="L44" s="43"/>
      <c r="M44" s="34"/>
      <c r="N44" s="34"/>
      <c r="O44" s="95"/>
      <c r="P44" s="58">
        <f t="shared" ref="P44:Q44" si="19">+B44</f>
        <v>44927</v>
      </c>
      <c r="Q44" s="58">
        <f t="shared" si="19"/>
        <v>45007</v>
      </c>
      <c r="R44" s="43">
        <f t="shared" si="15"/>
        <v>3123</v>
      </c>
      <c r="S44" s="67">
        <f t="shared" si="10"/>
        <v>76.95</v>
      </c>
      <c r="T44" s="43">
        <f>R44*'General data'!$B$25*S44</f>
        <v>961259.4</v>
      </c>
      <c r="U44" s="43">
        <f t="shared" si="11"/>
        <v>6007871.25</v>
      </c>
      <c r="V44" s="43">
        <f t="shared" si="12"/>
        <v>961259.4</v>
      </c>
      <c r="W44" s="43">
        <f>'General data'!$B$18*(1-'General data'!$B$15-'General data'!$B$21)*V44*'General data'!$B$22</f>
        <v>304.4012922923107</v>
      </c>
      <c r="X44" s="34"/>
      <c r="Y44" s="34"/>
      <c r="Z44" s="34"/>
    </row>
    <row r="45" spans="1:26" ht="15.75" customHeight="1" x14ac:dyDescent="0.2">
      <c r="A45" s="34"/>
      <c r="B45" s="58">
        <v>45008</v>
      </c>
      <c r="C45" s="58">
        <v>45008</v>
      </c>
      <c r="D45" s="43">
        <f t="shared" si="5"/>
        <v>19501.260000000002</v>
      </c>
      <c r="E45" s="67">
        <f>1*'General data'!$B$27</f>
        <v>0.95</v>
      </c>
      <c r="F45" s="43">
        <f>D45*'General data'!$B$24*E45</f>
        <v>101894.08350000001</v>
      </c>
      <c r="G45" s="43">
        <f t="shared" si="6"/>
        <v>463154.92500000005</v>
      </c>
      <c r="H45" s="43">
        <f t="shared" si="7"/>
        <v>101894.08350000001</v>
      </c>
      <c r="I45" s="43">
        <f>'General data'!$B$18*(1-'General data'!$B$15-'General data'!$B$21)*H45*'General data'!$B$22</f>
        <v>32.266722899501026</v>
      </c>
      <c r="J45" s="34"/>
      <c r="K45" s="34"/>
      <c r="L45" s="43"/>
      <c r="M45" s="34"/>
      <c r="N45" s="34"/>
      <c r="O45" s="95"/>
      <c r="P45" s="58">
        <f t="shared" ref="P45:Q45" si="20">+B45</f>
        <v>45008</v>
      </c>
      <c r="Q45" s="58">
        <f t="shared" si="20"/>
        <v>45008</v>
      </c>
      <c r="R45" s="43">
        <f t="shared" si="15"/>
        <v>3123</v>
      </c>
      <c r="S45" s="67">
        <f t="shared" si="10"/>
        <v>0.95</v>
      </c>
      <c r="T45" s="43">
        <f>R45*'General data'!$B$25*S45</f>
        <v>11867.4</v>
      </c>
      <c r="U45" s="43">
        <f t="shared" si="11"/>
        <v>74171.25</v>
      </c>
      <c r="V45" s="43">
        <f t="shared" si="12"/>
        <v>11867.4</v>
      </c>
      <c r="W45" s="43">
        <f>'General data'!$B$18*(1-'General data'!$B$15-'General data'!$B$21)*V45*'General data'!$B$22</f>
        <v>3.7580406455840825</v>
      </c>
      <c r="X45" s="34"/>
      <c r="Y45" s="34"/>
      <c r="Z45" s="34"/>
    </row>
    <row r="46" spans="1:26" ht="15.75" customHeight="1" x14ac:dyDescent="0.2">
      <c r="A46" s="34"/>
      <c r="B46" s="58">
        <v>45009</v>
      </c>
      <c r="C46" s="58">
        <v>45009</v>
      </c>
      <c r="D46" s="43">
        <f t="shared" si="5"/>
        <v>19501.260000000002</v>
      </c>
      <c r="E46" s="67">
        <f>1*'General data'!$B$27</f>
        <v>0.95</v>
      </c>
      <c r="F46" s="43">
        <f>D46*'General data'!$B$24*E46</f>
        <v>101894.08350000001</v>
      </c>
      <c r="G46" s="43">
        <f t="shared" si="6"/>
        <v>463154.92500000005</v>
      </c>
      <c r="H46" s="43">
        <f t="shared" si="7"/>
        <v>101894.08350000001</v>
      </c>
      <c r="I46" s="43">
        <f>'General data'!$B$18*(1-'General data'!$B$15-'General data'!$B$21)*H46*'General data'!$B$22</f>
        <v>32.266722899501026</v>
      </c>
      <c r="J46" s="34"/>
      <c r="K46" s="34"/>
      <c r="L46" s="43"/>
      <c r="M46" s="34"/>
      <c r="N46" s="34"/>
      <c r="O46" s="95"/>
      <c r="P46" s="58">
        <f t="shared" ref="P46:Q46" si="21">+B46</f>
        <v>45009</v>
      </c>
      <c r="Q46" s="58">
        <f t="shared" si="21"/>
        <v>45009</v>
      </c>
      <c r="R46" s="43">
        <f t="shared" si="15"/>
        <v>3123</v>
      </c>
      <c r="S46" s="67">
        <f t="shared" si="10"/>
        <v>0.95</v>
      </c>
      <c r="T46" s="43">
        <f>R46*'General data'!$B$25*S46</f>
        <v>11867.4</v>
      </c>
      <c r="U46" s="43">
        <f t="shared" si="11"/>
        <v>74171.25</v>
      </c>
      <c r="V46" s="43">
        <f t="shared" si="12"/>
        <v>11867.4</v>
      </c>
      <c r="W46" s="43">
        <f>'General data'!$B$18*(1-'General data'!$B$15-'General data'!$B$21)*V46*'General data'!$B$22</f>
        <v>3.7580406455840825</v>
      </c>
      <c r="X46" s="34"/>
      <c r="Y46" s="34"/>
      <c r="Z46" s="34"/>
    </row>
    <row r="47" spans="1:26" ht="15.75" customHeight="1" x14ac:dyDescent="0.2">
      <c r="A47" s="34"/>
      <c r="B47" s="58">
        <v>45010</v>
      </c>
      <c r="C47" s="58">
        <v>45010</v>
      </c>
      <c r="D47" s="43">
        <f t="shared" si="5"/>
        <v>45017.16</v>
      </c>
      <c r="E47" s="67">
        <f>1*'General data'!$B$27</f>
        <v>0.95</v>
      </c>
      <c r="F47" s="43">
        <f>D47*'General data'!$B$24*E47</f>
        <v>235214.66099999999</v>
      </c>
      <c r="G47" s="43">
        <f t="shared" si="6"/>
        <v>1069157.55</v>
      </c>
      <c r="H47" s="43">
        <f t="shared" si="7"/>
        <v>235214.66099999999</v>
      </c>
      <c r="I47" s="43">
        <f>'General data'!$B$18*(1-'General data'!$B$15-'General data'!$B$21)*H47*'General data'!$B$22</f>
        <v>74.485250052688968</v>
      </c>
      <c r="J47" s="34"/>
      <c r="K47" s="34"/>
      <c r="L47" s="43"/>
      <c r="M47" s="34"/>
      <c r="N47" s="34"/>
      <c r="O47" s="95"/>
      <c r="P47" s="58">
        <f t="shared" ref="P47:Q47" si="22">+B47</f>
        <v>45010</v>
      </c>
      <c r="Q47" s="58">
        <f t="shared" si="22"/>
        <v>45010</v>
      </c>
      <c r="R47" s="43">
        <f t="shared" ref="R47:R52" si="23">+$K$29</f>
        <v>4456</v>
      </c>
      <c r="S47" s="67">
        <f t="shared" si="10"/>
        <v>0.95</v>
      </c>
      <c r="T47" s="43">
        <f>R47*'General data'!$B$25*S47</f>
        <v>16932.8</v>
      </c>
      <c r="U47" s="43">
        <f t="shared" si="11"/>
        <v>105830</v>
      </c>
      <c r="V47" s="43">
        <f t="shared" si="12"/>
        <v>16932.8</v>
      </c>
      <c r="W47" s="43">
        <f>'General data'!$B$18*(1-'General data'!$B$15-'General data'!$B$21)*V47*'General data'!$B$22</f>
        <v>5.3620970594693151</v>
      </c>
      <c r="X47" s="34"/>
      <c r="Y47" s="34"/>
      <c r="Z47" s="34"/>
    </row>
    <row r="48" spans="1:26" ht="15.75" customHeight="1" x14ac:dyDescent="0.2">
      <c r="A48" s="34"/>
      <c r="B48" s="58">
        <v>45011</v>
      </c>
      <c r="C48" s="58">
        <v>373786</v>
      </c>
      <c r="D48" s="43">
        <f t="shared" ref="D48:D49" si="24">+L17</f>
        <v>47595.86</v>
      </c>
      <c r="E48" s="67">
        <f>(22+O9+6)*'General data'!$B$27</f>
        <v>55.099999999999994</v>
      </c>
      <c r="F48" s="43">
        <f>D48*'General data'!$B$24*E48</f>
        <v>14423925.373</v>
      </c>
      <c r="G48" s="43">
        <f t="shared" si="6"/>
        <v>65563297.149999991</v>
      </c>
      <c r="H48" s="43">
        <f t="shared" si="7"/>
        <v>14423925.373</v>
      </c>
      <c r="I48" s="43">
        <f>'General data'!$B$18*(1-'General data'!$B$15-'General data'!$B$21)*H48*'General data'!$B$22</f>
        <v>4567.6136155017566</v>
      </c>
      <c r="J48" s="34"/>
      <c r="K48" s="34"/>
      <c r="L48" s="43"/>
      <c r="M48" s="34"/>
      <c r="N48" s="34"/>
      <c r="O48" s="95"/>
      <c r="P48" s="58">
        <f t="shared" ref="P48:Q48" si="25">+B48</f>
        <v>45011</v>
      </c>
      <c r="Q48" s="58">
        <f t="shared" si="25"/>
        <v>373786</v>
      </c>
      <c r="R48" s="43">
        <f t="shared" si="23"/>
        <v>4456</v>
      </c>
      <c r="S48" s="67">
        <f t="shared" si="10"/>
        <v>55.099999999999994</v>
      </c>
      <c r="T48" s="43">
        <f>R48*'General data'!$B$25*S48</f>
        <v>982102.39999999991</v>
      </c>
      <c r="U48" s="43">
        <f t="shared" si="11"/>
        <v>6138139.9999999991</v>
      </c>
      <c r="V48" s="43">
        <f t="shared" si="12"/>
        <v>982102.39999999991</v>
      </c>
      <c r="W48" s="43">
        <f>'General data'!$B$18*(1-'General data'!$B$15-'General data'!$B$21)*V48*'General data'!$B$22</f>
        <v>311.00162944922027</v>
      </c>
      <c r="X48" s="34"/>
      <c r="Y48" s="34"/>
      <c r="Z48" s="34"/>
    </row>
    <row r="49" spans="1:26" ht="15.75" customHeight="1" x14ac:dyDescent="0.2">
      <c r="A49" s="34"/>
      <c r="B49" s="58">
        <v>45069</v>
      </c>
      <c r="C49" s="58">
        <v>45069</v>
      </c>
      <c r="D49" s="43">
        <f t="shared" si="24"/>
        <v>47595.86</v>
      </c>
      <c r="E49" s="67">
        <f>1*'General data'!$B$27</f>
        <v>0.95</v>
      </c>
      <c r="F49" s="43">
        <f>D49*'General data'!$B$24*E49</f>
        <v>248688.36850000001</v>
      </c>
      <c r="G49" s="43">
        <f t="shared" si="6"/>
        <v>1130401.675</v>
      </c>
      <c r="H49" s="43">
        <f t="shared" si="7"/>
        <v>248688.36850000001</v>
      </c>
      <c r="I49" s="43">
        <f>'General data'!$B$18*(1-'General data'!$B$15-'General data'!$B$21)*H49*'General data'!$B$22</f>
        <v>78.751958887961337</v>
      </c>
      <c r="J49" s="34"/>
      <c r="K49" s="34"/>
      <c r="L49" s="43"/>
      <c r="M49" s="34"/>
      <c r="N49" s="34"/>
      <c r="O49" s="95"/>
      <c r="P49" s="58">
        <f t="shared" ref="P49:Q49" si="26">+B49</f>
        <v>45069</v>
      </c>
      <c r="Q49" s="58">
        <f t="shared" si="26"/>
        <v>45069</v>
      </c>
      <c r="R49" s="43">
        <f t="shared" si="23"/>
        <v>4456</v>
      </c>
      <c r="S49" s="67">
        <f t="shared" si="10"/>
        <v>0.95</v>
      </c>
      <c r="T49" s="43">
        <f>R49*'General data'!$B$25*S49</f>
        <v>16932.8</v>
      </c>
      <c r="U49" s="43">
        <f t="shared" si="11"/>
        <v>105830</v>
      </c>
      <c r="V49" s="43">
        <f t="shared" si="12"/>
        <v>16932.8</v>
      </c>
      <c r="W49" s="43">
        <f>'General data'!$B$18*(1-'General data'!$B$15-'General data'!$B$21)*V49*'General data'!$B$22</f>
        <v>5.3620970594693151</v>
      </c>
      <c r="X49" s="34"/>
      <c r="Y49" s="34"/>
      <c r="Z49" s="34"/>
    </row>
    <row r="50" spans="1:26" ht="15.75" customHeight="1" x14ac:dyDescent="0.2">
      <c r="A50" s="34"/>
      <c r="B50" s="58">
        <v>45070</v>
      </c>
      <c r="C50" s="58">
        <v>45226</v>
      </c>
      <c r="D50" s="43">
        <f t="shared" ref="D50:D58" si="27">+$D$49</f>
        <v>47595.86</v>
      </c>
      <c r="E50" s="67">
        <f>(8+O11+O12+O13+O14+27)*'General data'!$B$27</f>
        <v>149.15</v>
      </c>
      <c r="F50" s="43">
        <f>D50*'General data'!$B$24*E50</f>
        <v>39044073.854500003</v>
      </c>
      <c r="G50" s="43">
        <f t="shared" si="6"/>
        <v>177473062.97499999</v>
      </c>
      <c r="H50" s="43">
        <f t="shared" si="7"/>
        <v>39044073.854500003</v>
      </c>
      <c r="I50" s="43">
        <f>'General data'!$B$18*(1-'General data'!$B$15-'General data'!$B$21)*H50*'General data'!$B$22</f>
        <v>12364.057545409929</v>
      </c>
      <c r="J50" s="34"/>
      <c r="K50" s="34"/>
      <c r="L50" s="43"/>
      <c r="M50" s="34"/>
      <c r="N50" s="34"/>
      <c r="O50" s="95"/>
      <c r="P50" s="58">
        <f t="shared" ref="P50:Q50" si="28">+B50</f>
        <v>45070</v>
      </c>
      <c r="Q50" s="58">
        <f t="shared" si="28"/>
        <v>45226</v>
      </c>
      <c r="R50" s="43">
        <f t="shared" si="23"/>
        <v>4456</v>
      </c>
      <c r="S50" s="67">
        <f t="shared" si="10"/>
        <v>149.15</v>
      </c>
      <c r="T50" s="43">
        <f>R50*'General data'!$B$25*S50</f>
        <v>2658449.6</v>
      </c>
      <c r="U50" s="43">
        <f t="shared" si="11"/>
        <v>16615310</v>
      </c>
      <c r="V50" s="43">
        <f t="shared" si="12"/>
        <v>2658449.6</v>
      </c>
      <c r="W50" s="43">
        <f>'General data'!$B$18*(1-'General data'!$B$15-'General data'!$B$21)*V50*'General data'!$B$22</f>
        <v>841.84923833668256</v>
      </c>
      <c r="X50" s="34"/>
      <c r="Y50" s="34"/>
      <c r="Z50" s="34"/>
    </row>
    <row r="51" spans="1:26" ht="15.75" customHeight="1" x14ac:dyDescent="0.2">
      <c r="A51" s="34"/>
      <c r="B51" s="58">
        <v>45227</v>
      </c>
      <c r="C51" s="58">
        <v>45291</v>
      </c>
      <c r="D51" s="43">
        <f t="shared" si="27"/>
        <v>47595.86</v>
      </c>
      <c r="E51" s="67">
        <f>(4+O16+O17)*'General data'!$B$27</f>
        <v>61.75</v>
      </c>
      <c r="F51" s="43">
        <f>D51*'General data'!$B$24*E51</f>
        <v>16164743.952500001</v>
      </c>
      <c r="G51" s="43">
        <f t="shared" si="6"/>
        <v>73476108.875</v>
      </c>
      <c r="H51" s="43">
        <f t="shared" si="7"/>
        <v>16164743.952500001</v>
      </c>
      <c r="I51" s="43">
        <f>'General data'!$B$18*(1-'General data'!$B$15-'General data'!$B$21)*H51*'General data'!$B$22</f>
        <v>5118.877327717486</v>
      </c>
      <c r="J51" s="34"/>
      <c r="K51" s="34"/>
      <c r="L51" s="43"/>
      <c r="M51" s="34"/>
      <c r="N51" s="34"/>
      <c r="O51" s="34"/>
      <c r="P51" s="58">
        <f t="shared" ref="P51:Q51" si="29">+B51</f>
        <v>45227</v>
      </c>
      <c r="Q51" s="58">
        <f t="shared" si="29"/>
        <v>45291</v>
      </c>
      <c r="R51" s="43">
        <f t="shared" si="23"/>
        <v>4456</v>
      </c>
      <c r="S51" s="67">
        <f t="shared" si="10"/>
        <v>61.75</v>
      </c>
      <c r="T51" s="43">
        <f>R51*'General data'!$B$25*S51</f>
        <v>1100632</v>
      </c>
      <c r="U51" s="43">
        <f t="shared" si="11"/>
        <v>6878950</v>
      </c>
      <c r="V51" s="43">
        <f t="shared" si="12"/>
        <v>1100632</v>
      </c>
      <c r="W51" s="43">
        <f>'General data'!$B$18*(1-'General data'!$B$15-'General data'!$B$21)*V51*'General data'!$B$22</f>
        <v>348.53630886550553</v>
      </c>
      <c r="X51" s="34"/>
      <c r="Y51" s="34"/>
      <c r="Z51" s="34"/>
    </row>
    <row r="52" spans="1:26" ht="15.75" customHeight="1" x14ac:dyDescent="0.2">
      <c r="A52" s="34"/>
      <c r="B52" s="58">
        <v>45292</v>
      </c>
      <c r="C52" s="58">
        <v>45592</v>
      </c>
      <c r="D52" s="43">
        <f t="shared" si="27"/>
        <v>47595.86</v>
      </c>
      <c r="E52" s="67">
        <f>(365-E51)*'General data'!$B$27</f>
        <v>288.08749999999998</v>
      </c>
      <c r="F52" s="43">
        <f>D52*'General data'!$B$24*E52</f>
        <v>75414747.747624993</v>
      </c>
      <c r="G52" s="43">
        <f t="shared" si="6"/>
        <v>342794307.94374996</v>
      </c>
      <c r="H52" s="43">
        <f t="shared" si="7"/>
        <v>75414747.747624993</v>
      </c>
      <c r="I52" s="43">
        <f>'General data'!$B$18*(1-'General data'!$B$15-'General data'!$B$21)*H52*'General data'!$B$22</f>
        <v>23881.531532774272</v>
      </c>
      <c r="J52" s="34"/>
      <c r="K52" s="34"/>
      <c r="L52" s="43"/>
      <c r="M52" s="34"/>
      <c r="N52" s="34"/>
      <c r="O52" s="95"/>
      <c r="P52" s="58">
        <f t="shared" ref="P52:Q52" si="30">+B52</f>
        <v>45292</v>
      </c>
      <c r="Q52" s="58">
        <f t="shared" si="30"/>
        <v>45592</v>
      </c>
      <c r="R52" s="43">
        <f t="shared" si="23"/>
        <v>4456</v>
      </c>
      <c r="S52" s="67">
        <f t="shared" si="10"/>
        <v>288.08749999999998</v>
      </c>
      <c r="T52" s="43">
        <f>R52*'General data'!$B$25*S52</f>
        <v>5134871.5999999996</v>
      </c>
      <c r="U52" s="43">
        <f t="shared" si="11"/>
        <v>32092947.499999996</v>
      </c>
      <c r="V52" s="43">
        <f t="shared" si="12"/>
        <v>5134871.5999999996</v>
      </c>
      <c r="W52" s="43">
        <f>'General data'!$B$18*(1-'General data'!$B$15-'General data'!$B$21)*V52*'General data'!$B$22</f>
        <v>1626.0559332840699</v>
      </c>
      <c r="X52" s="34"/>
      <c r="Y52" s="34"/>
      <c r="Z52" s="34"/>
    </row>
    <row r="53" spans="1:26" ht="15.75" customHeight="1" x14ac:dyDescent="0.2">
      <c r="A53" s="34"/>
      <c r="B53" s="58">
        <v>45593</v>
      </c>
      <c r="C53" s="58">
        <v>45657</v>
      </c>
      <c r="D53" s="43">
        <f t="shared" si="27"/>
        <v>47595.86</v>
      </c>
      <c r="E53" s="67">
        <f t="shared" ref="E53:E58" si="31">+E51</f>
        <v>61.75</v>
      </c>
      <c r="F53" s="43">
        <f>D53*'General data'!$B$24*E53</f>
        <v>16164743.952500001</v>
      </c>
      <c r="G53" s="43">
        <f t="shared" si="6"/>
        <v>73476108.875</v>
      </c>
      <c r="H53" s="43">
        <f t="shared" si="7"/>
        <v>16164743.952500001</v>
      </c>
      <c r="I53" s="43">
        <f>'General data'!$B$18*(1-'General data'!$B$15-'General data'!$B$21)*H53*'General data'!$B$22</f>
        <v>5118.877327717486</v>
      </c>
      <c r="J53" s="34"/>
      <c r="K53" s="34"/>
      <c r="L53" s="43"/>
      <c r="M53" s="34"/>
      <c r="N53" s="34"/>
      <c r="O53" s="34"/>
      <c r="P53" s="58">
        <f t="shared" ref="P53:Q53" si="32">+B53</f>
        <v>45593</v>
      </c>
      <c r="Q53" s="58">
        <f t="shared" si="32"/>
        <v>45657</v>
      </c>
      <c r="R53" s="43">
        <f t="shared" ref="R53:R58" si="33">+R51</f>
        <v>4456</v>
      </c>
      <c r="S53" s="67">
        <f t="shared" si="10"/>
        <v>61.75</v>
      </c>
      <c r="T53" s="43">
        <f>R53*'General data'!$B$25*S53</f>
        <v>1100632</v>
      </c>
      <c r="U53" s="43">
        <f t="shared" si="11"/>
        <v>6878950</v>
      </c>
      <c r="V53" s="43">
        <f t="shared" si="12"/>
        <v>1100632</v>
      </c>
      <c r="W53" s="43">
        <f>'General data'!$B$18*(1-'General data'!$B$15-'General data'!$B$21)*V53*'General data'!$B$22</f>
        <v>348.53630886550553</v>
      </c>
      <c r="X53" s="34"/>
      <c r="Y53" s="34"/>
      <c r="Z53" s="34"/>
    </row>
    <row r="54" spans="1:26" ht="15.75" customHeight="1" x14ac:dyDescent="0.2">
      <c r="A54" s="34"/>
      <c r="B54" s="58">
        <v>45658</v>
      </c>
      <c r="C54" s="58">
        <v>45957</v>
      </c>
      <c r="D54" s="43">
        <f t="shared" si="27"/>
        <v>47595.86</v>
      </c>
      <c r="E54" s="67">
        <f t="shared" si="31"/>
        <v>288.08749999999998</v>
      </c>
      <c r="F54" s="43">
        <f>D54*'General data'!$B$24*E54</f>
        <v>75414747.747624993</v>
      </c>
      <c r="G54" s="43">
        <f t="shared" si="6"/>
        <v>342794307.94374996</v>
      </c>
      <c r="H54" s="43">
        <f t="shared" si="7"/>
        <v>75414747.747624993</v>
      </c>
      <c r="I54" s="43">
        <f>'General data'!$B$18*(1-'General data'!$B$15-'General data'!$B$21)*H54*'General data'!$B$22</f>
        <v>23881.531532774272</v>
      </c>
      <c r="J54" s="34"/>
      <c r="K54" s="34"/>
      <c r="L54" s="43"/>
      <c r="M54" s="34"/>
      <c r="N54" s="34"/>
      <c r="O54" s="95"/>
      <c r="P54" s="58">
        <f t="shared" ref="P54:Q54" si="34">+B54</f>
        <v>45658</v>
      </c>
      <c r="Q54" s="58">
        <f t="shared" si="34"/>
        <v>45957</v>
      </c>
      <c r="R54" s="43">
        <f t="shared" si="33"/>
        <v>4456</v>
      </c>
      <c r="S54" s="67">
        <f t="shared" si="10"/>
        <v>288.08749999999998</v>
      </c>
      <c r="T54" s="43">
        <f>R54*'General data'!$B$25*S54</f>
        <v>5134871.5999999996</v>
      </c>
      <c r="U54" s="43">
        <f t="shared" si="11"/>
        <v>32092947.499999996</v>
      </c>
      <c r="V54" s="43">
        <f t="shared" si="12"/>
        <v>5134871.5999999996</v>
      </c>
      <c r="W54" s="43">
        <f>'General data'!$B$18*(1-'General data'!$B$15-'General data'!$B$21)*V54*'General data'!$B$22</f>
        <v>1626.0559332840699</v>
      </c>
      <c r="X54" s="34"/>
      <c r="Y54" s="34"/>
      <c r="Z54" s="34"/>
    </row>
    <row r="55" spans="1:26" ht="15.75" customHeight="1" x14ac:dyDescent="0.2">
      <c r="A55" s="34"/>
      <c r="B55" s="58">
        <v>45958</v>
      </c>
      <c r="C55" s="58">
        <v>46022</v>
      </c>
      <c r="D55" s="43">
        <f t="shared" si="27"/>
        <v>47595.86</v>
      </c>
      <c r="E55" s="67">
        <f t="shared" si="31"/>
        <v>61.75</v>
      </c>
      <c r="F55" s="43">
        <f>D55*'General data'!$B$24*E55</f>
        <v>16164743.952500001</v>
      </c>
      <c r="G55" s="43">
        <f t="shared" si="6"/>
        <v>73476108.875</v>
      </c>
      <c r="H55" s="43">
        <f t="shared" si="7"/>
        <v>16164743.952500001</v>
      </c>
      <c r="I55" s="43">
        <f>'General data'!$B$18*(1-'General data'!$B$15-'General data'!$B$21)*H55*'General data'!$B$22</f>
        <v>5118.877327717486</v>
      </c>
      <c r="J55" s="34"/>
      <c r="K55" s="34"/>
      <c r="L55" s="43"/>
      <c r="M55" s="34"/>
      <c r="N55" s="34"/>
      <c r="O55" s="34"/>
      <c r="P55" s="58">
        <f t="shared" ref="P55:Q55" si="35">+B55</f>
        <v>45958</v>
      </c>
      <c r="Q55" s="58">
        <f t="shared" si="35"/>
        <v>46022</v>
      </c>
      <c r="R55" s="43">
        <f t="shared" si="33"/>
        <v>4456</v>
      </c>
      <c r="S55" s="67">
        <f t="shared" si="10"/>
        <v>61.75</v>
      </c>
      <c r="T55" s="43">
        <f>R55*'General data'!$B$25*S55</f>
        <v>1100632</v>
      </c>
      <c r="U55" s="43">
        <f t="shared" si="11"/>
        <v>6878950</v>
      </c>
      <c r="V55" s="43">
        <f t="shared" si="12"/>
        <v>1100632</v>
      </c>
      <c r="W55" s="43">
        <f>'General data'!$B$18*(1-'General data'!$B$15-'General data'!$B$21)*V55*'General data'!$B$22</f>
        <v>348.53630886550553</v>
      </c>
      <c r="X55" s="34"/>
      <c r="Y55" s="34"/>
      <c r="Z55" s="34"/>
    </row>
    <row r="56" spans="1:26" ht="15.75" customHeight="1" x14ac:dyDescent="0.2">
      <c r="A56" s="34"/>
      <c r="B56" s="58">
        <v>46023</v>
      </c>
      <c r="C56" s="58">
        <v>46322</v>
      </c>
      <c r="D56" s="43">
        <f t="shared" si="27"/>
        <v>47595.86</v>
      </c>
      <c r="E56" s="67">
        <f t="shared" si="31"/>
        <v>288.08749999999998</v>
      </c>
      <c r="F56" s="43">
        <f>D56*'General data'!$B$24*E56</f>
        <v>75414747.747624993</v>
      </c>
      <c r="G56" s="43">
        <f t="shared" si="6"/>
        <v>342794307.94374996</v>
      </c>
      <c r="H56" s="43">
        <f t="shared" si="7"/>
        <v>75414747.747624993</v>
      </c>
      <c r="I56" s="43">
        <f>'General data'!$B$18*(1-'General data'!$B$15-'General data'!$B$21)*H56*'General data'!$B$22</f>
        <v>23881.531532774272</v>
      </c>
      <c r="J56" s="34"/>
      <c r="K56" s="34"/>
      <c r="L56" s="43"/>
      <c r="M56" s="96"/>
      <c r="N56" s="34"/>
      <c r="O56" s="95"/>
      <c r="P56" s="58">
        <f t="shared" ref="P56:Q56" si="36">+B56</f>
        <v>46023</v>
      </c>
      <c r="Q56" s="58">
        <f t="shared" si="36"/>
        <v>46322</v>
      </c>
      <c r="R56" s="43">
        <f t="shared" si="33"/>
        <v>4456</v>
      </c>
      <c r="S56" s="67">
        <f t="shared" si="10"/>
        <v>288.08749999999998</v>
      </c>
      <c r="T56" s="43">
        <f>R56*'General data'!$B$25*S56</f>
        <v>5134871.5999999996</v>
      </c>
      <c r="U56" s="43">
        <f t="shared" si="11"/>
        <v>32092947.499999996</v>
      </c>
      <c r="V56" s="43">
        <f t="shared" si="12"/>
        <v>5134871.5999999996</v>
      </c>
      <c r="W56" s="43">
        <f>'General data'!$B$18*(1-'General data'!$B$15-'General data'!$B$21)*V56*'General data'!$B$22</f>
        <v>1626.0559332840699</v>
      </c>
      <c r="X56" s="34"/>
      <c r="Y56" s="34"/>
      <c r="Z56" s="34"/>
    </row>
    <row r="57" spans="1:26" ht="15.75" customHeight="1" x14ac:dyDescent="0.2">
      <c r="A57" s="34"/>
      <c r="B57" s="58">
        <v>46323</v>
      </c>
      <c r="C57" s="58">
        <v>46387</v>
      </c>
      <c r="D57" s="43">
        <f t="shared" si="27"/>
        <v>47595.86</v>
      </c>
      <c r="E57" s="67">
        <f t="shared" si="31"/>
        <v>61.75</v>
      </c>
      <c r="F57" s="43">
        <f>D57*'General data'!$B$24*E57</f>
        <v>16164743.952500001</v>
      </c>
      <c r="G57" s="43">
        <f t="shared" si="6"/>
        <v>73476108.875</v>
      </c>
      <c r="H57" s="43">
        <f t="shared" si="7"/>
        <v>16164743.952500001</v>
      </c>
      <c r="I57" s="43">
        <f>'General data'!$B$18*(1-'General data'!$B$15-'General data'!$B$21)*H57*'General data'!$B$22</f>
        <v>5118.877327717486</v>
      </c>
      <c r="J57" s="34"/>
      <c r="K57" s="34"/>
      <c r="L57" s="43"/>
      <c r="M57" s="34"/>
      <c r="N57" s="34"/>
      <c r="O57" s="34"/>
      <c r="P57" s="58">
        <f t="shared" ref="P57:Q57" si="37">+B57</f>
        <v>46323</v>
      </c>
      <c r="Q57" s="58">
        <f t="shared" si="37"/>
        <v>46387</v>
      </c>
      <c r="R57" s="43">
        <f t="shared" si="33"/>
        <v>4456</v>
      </c>
      <c r="S57" s="67">
        <f t="shared" si="10"/>
        <v>61.75</v>
      </c>
      <c r="T57" s="43">
        <f>R57*'General data'!$B$25*S57</f>
        <v>1100632</v>
      </c>
      <c r="U57" s="43">
        <f t="shared" si="11"/>
        <v>6878950</v>
      </c>
      <c r="V57" s="43">
        <f t="shared" si="12"/>
        <v>1100632</v>
      </c>
      <c r="W57" s="43">
        <f>'General data'!$B$18*(1-'General data'!$B$15-'General data'!$B$21)*V57*'General data'!$B$22</f>
        <v>348.53630886550553</v>
      </c>
      <c r="X57" s="34"/>
      <c r="Y57" s="34"/>
      <c r="Z57" s="34"/>
    </row>
    <row r="58" spans="1:26" ht="15.75" customHeight="1" x14ac:dyDescent="0.2">
      <c r="A58" s="34"/>
      <c r="B58" s="58">
        <v>46388</v>
      </c>
      <c r="C58" s="58">
        <v>46687</v>
      </c>
      <c r="D58" s="43">
        <f t="shared" si="27"/>
        <v>47595.86</v>
      </c>
      <c r="E58" s="67">
        <f t="shared" si="31"/>
        <v>288.08749999999998</v>
      </c>
      <c r="F58" s="43">
        <f>D58*'General data'!$B$24*E58</f>
        <v>75414747.747624993</v>
      </c>
      <c r="G58" s="43">
        <f>25*D58*347</f>
        <v>412894085.5</v>
      </c>
      <c r="H58" s="43">
        <f t="shared" si="7"/>
        <v>75414747.747624993</v>
      </c>
      <c r="I58" s="43">
        <f>'General data'!$B$18*(1-'General data'!$B$15-'General data'!$B$21)*H58*'General data'!$B$22</f>
        <v>23881.531532774272</v>
      </c>
      <c r="J58" s="34"/>
      <c r="K58" s="34"/>
      <c r="L58" s="43"/>
      <c r="M58" s="34"/>
      <c r="N58" s="34"/>
      <c r="O58" s="34"/>
      <c r="P58" s="58">
        <f t="shared" ref="P58:Q58" si="38">+B58</f>
        <v>46388</v>
      </c>
      <c r="Q58" s="58">
        <f t="shared" si="38"/>
        <v>46687</v>
      </c>
      <c r="R58" s="43">
        <f t="shared" si="33"/>
        <v>4456</v>
      </c>
      <c r="S58" s="67">
        <f t="shared" si="10"/>
        <v>288.08749999999998</v>
      </c>
      <c r="T58" s="43">
        <f>R58*'General data'!$B$25*S58</f>
        <v>5134871.5999999996</v>
      </c>
      <c r="U58" s="43">
        <f t="shared" si="11"/>
        <v>32092947.499999996</v>
      </c>
      <c r="V58" s="43">
        <f t="shared" si="12"/>
        <v>5134871.5999999996</v>
      </c>
      <c r="W58" s="43">
        <f>'General data'!$B$18*(1-'General data'!$B$15-'General data'!$B$21)*V58*'General data'!$B$22</f>
        <v>1626.0559332840699</v>
      </c>
      <c r="X58" s="34"/>
      <c r="Y58" s="34"/>
      <c r="Z58" s="34"/>
    </row>
    <row r="59" spans="1:26" ht="15.75" customHeight="1" x14ac:dyDescent="0.2">
      <c r="A59" s="34"/>
      <c r="B59" s="34"/>
      <c r="C59" s="34"/>
      <c r="D59" s="34"/>
      <c r="E59" s="34"/>
      <c r="F59" s="34"/>
      <c r="G59" s="34"/>
      <c r="H59" s="43">
        <f>+H58+H57</f>
        <v>91579491.700124994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>
      <c r="B64" s="137" t="s">
        <v>228</v>
      </c>
      <c r="C64" s="137"/>
      <c r="D64" s="137"/>
      <c r="E64" s="135" t="s">
        <v>155</v>
      </c>
      <c r="F64" s="26" t="s">
        <v>156</v>
      </c>
      <c r="G64" s="26" t="s">
        <v>157</v>
      </c>
      <c r="H64" s="26" t="s">
        <v>158</v>
      </c>
    </row>
    <row r="65" spans="2:9" ht="15.75" customHeight="1" x14ac:dyDescent="0.2">
      <c r="B65" s="138"/>
      <c r="C65" s="139" t="s">
        <v>153</v>
      </c>
      <c r="D65" s="139" t="s">
        <v>154</v>
      </c>
      <c r="E65" s="135" t="s">
        <v>159</v>
      </c>
      <c r="F65" s="26" t="s">
        <v>159</v>
      </c>
      <c r="G65" s="26" t="s">
        <v>159</v>
      </c>
      <c r="H65" s="26" t="s">
        <v>159</v>
      </c>
    </row>
    <row r="66" spans="2:9" ht="15.75" customHeight="1" x14ac:dyDescent="0.2">
      <c r="B66" s="140" t="s">
        <v>160</v>
      </c>
      <c r="C66" s="141">
        <f>+B38</f>
        <v>44862</v>
      </c>
      <c r="D66" s="141">
        <f>+C50</f>
        <v>45226</v>
      </c>
      <c r="E66" s="136">
        <f>SUM(I38:I50)+SUM(W38:W50)</f>
        <v>21934.797926158946</v>
      </c>
      <c r="F66" s="97">
        <f>+SUM(PEy!L14:L16)</f>
        <v>2.3390272994879999</v>
      </c>
      <c r="G66" s="26">
        <v>0</v>
      </c>
      <c r="H66" s="49">
        <f t="shared" ref="H66:H70" si="39">E66-F66-G66</f>
        <v>21932.458898859459</v>
      </c>
      <c r="I66" s="43"/>
    </row>
    <row r="67" spans="2:9" ht="15.75" customHeight="1" x14ac:dyDescent="0.2">
      <c r="B67" s="140" t="s">
        <v>161</v>
      </c>
      <c r="C67" s="141">
        <f>+B51</f>
        <v>45227</v>
      </c>
      <c r="D67" s="141">
        <f>+C52</f>
        <v>45592</v>
      </c>
      <c r="E67" s="136">
        <f>SUM(I51:I52)+SUM(W51:W52)</f>
        <v>30975.00110264133</v>
      </c>
      <c r="F67" s="97">
        <f t="shared" ref="F67:F70" si="40">+F66</f>
        <v>2.3390272994879999</v>
      </c>
      <c r="G67" s="26">
        <v>0</v>
      </c>
      <c r="H67" s="49">
        <f t="shared" si="39"/>
        <v>30972.662075341843</v>
      </c>
    </row>
    <row r="68" spans="2:9" ht="15.75" customHeight="1" x14ac:dyDescent="0.2">
      <c r="B68" s="140" t="s">
        <v>162</v>
      </c>
      <c r="C68" s="141">
        <f>+B53</f>
        <v>45593</v>
      </c>
      <c r="D68" s="141">
        <f>+C54</f>
        <v>45957</v>
      </c>
      <c r="E68" s="136">
        <f>SUM(I53:I54)+SUM(W53:W54)</f>
        <v>30975.00110264133</v>
      </c>
      <c r="F68" s="97">
        <f t="shared" si="40"/>
        <v>2.3390272994879999</v>
      </c>
      <c r="G68" s="26">
        <v>0</v>
      </c>
      <c r="H68" s="49">
        <f t="shared" si="39"/>
        <v>30972.662075341843</v>
      </c>
    </row>
    <row r="69" spans="2:9" ht="15.75" customHeight="1" x14ac:dyDescent="0.2">
      <c r="B69" s="140" t="s">
        <v>163</v>
      </c>
      <c r="C69" s="141">
        <f>+B55</f>
        <v>45958</v>
      </c>
      <c r="D69" s="141">
        <f>+C56</f>
        <v>46322</v>
      </c>
      <c r="E69" s="136">
        <f>SUM(I55:I56)+SUM(W55:W56)</f>
        <v>30975.00110264133</v>
      </c>
      <c r="F69" s="97">
        <f t="shared" si="40"/>
        <v>2.3390272994879999</v>
      </c>
      <c r="G69" s="26">
        <v>0</v>
      </c>
      <c r="H69" s="49">
        <f t="shared" si="39"/>
        <v>30972.662075341843</v>
      </c>
    </row>
    <row r="70" spans="2:9" ht="15.75" customHeight="1" x14ac:dyDescent="0.2">
      <c r="B70" s="140" t="s">
        <v>164</v>
      </c>
      <c r="C70" s="141">
        <f>+B57</f>
        <v>46323</v>
      </c>
      <c r="D70" s="141">
        <f>+C58</f>
        <v>46687</v>
      </c>
      <c r="E70" s="136">
        <f>SUM(I57:I58)+SUM(W57:W58)</f>
        <v>30975.00110264133</v>
      </c>
      <c r="F70" s="97">
        <f t="shared" si="40"/>
        <v>2.3390272994879999</v>
      </c>
      <c r="G70" s="26">
        <v>0</v>
      </c>
      <c r="H70" s="49">
        <f t="shared" si="39"/>
        <v>30972.662075341843</v>
      </c>
    </row>
    <row r="71" spans="2:9" ht="15.75" customHeight="1" x14ac:dyDescent="0.2">
      <c r="H71" s="123">
        <f>SUM(H66:H70)</f>
        <v>145823.10720022683</v>
      </c>
    </row>
    <row r="72" spans="2:9" ht="15.75" customHeight="1" x14ac:dyDescent="0.2">
      <c r="H72" s="43"/>
      <c r="I72" s="43"/>
    </row>
    <row r="73" spans="2:9" ht="15.75" customHeight="1" x14ac:dyDescent="0.2">
      <c r="G73" s="98"/>
      <c r="H73" s="43">
        <f>AVERAGE(H66:H70)</f>
        <v>29164.621440045368</v>
      </c>
      <c r="I73" s="43"/>
    </row>
    <row r="74" spans="2:9" ht="15.75" customHeight="1" x14ac:dyDescent="0.2"/>
    <row r="75" spans="2:9" ht="15.75" customHeight="1" x14ac:dyDescent="0.2">
      <c r="H75" s="98"/>
      <c r="I75" s="43"/>
    </row>
    <row r="76" spans="2:9" ht="15.75" customHeight="1" x14ac:dyDescent="0.2">
      <c r="H76" s="98"/>
      <c r="I76" s="43"/>
    </row>
    <row r="77" spans="2:9" ht="15.75" customHeight="1" x14ac:dyDescent="0.2">
      <c r="H77" s="98"/>
      <c r="I77" s="43"/>
    </row>
    <row r="78" spans="2:9" ht="15.75" customHeight="1" x14ac:dyDescent="0.2">
      <c r="H78" s="98"/>
      <c r="I78" s="43"/>
    </row>
    <row r="79" spans="2:9" ht="15.75" customHeight="1" x14ac:dyDescent="0.2">
      <c r="H79" s="98"/>
      <c r="I79" s="43"/>
    </row>
    <row r="80" spans="2:9" ht="15.75" customHeight="1" x14ac:dyDescent="0.2">
      <c r="I80" s="43"/>
    </row>
    <row r="81" spans="4:4" ht="15.75" customHeight="1" x14ac:dyDescent="0.2">
      <c r="D81" s="43"/>
    </row>
    <row r="82" spans="4:4" ht="15.75" customHeight="1" x14ac:dyDescent="0.2"/>
    <row r="83" spans="4:4" ht="15.75" customHeight="1" x14ac:dyDescent="0.2"/>
    <row r="84" spans="4:4" ht="15.75" customHeight="1" x14ac:dyDescent="0.2"/>
    <row r="85" spans="4:4" ht="15.75" customHeight="1" x14ac:dyDescent="0.2"/>
    <row r="86" spans="4:4" ht="15.75" customHeight="1" x14ac:dyDescent="0.2"/>
    <row r="87" spans="4:4" ht="15.75" customHeight="1" x14ac:dyDescent="0.2"/>
    <row r="88" spans="4:4" ht="15.75" customHeight="1" x14ac:dyDescent="0.2"/>
    <row r="89" spans="4:4" ht="15.75" customHeight="1" x14ac:dyDescent="0.2"/>
    <row r="90" spans="4:4" ht="15.75" customHeight="1" x14ac:dyDescent="0.2"/>
    <row r="91" spans="4:4" ht="15.75" customHeight="1" x14ac:dyDescent="0.2"/>
    <row r="92" spans="4:4" ht="15.75" customHeight="1" x14ac:dyDescent="0.2"/>
    <row r="93" spans="4:4" ht="15.75" customHeight="1" x14ac:dyDescent="0.2"/>
    <row r="94" spans="4:4" ht="15.75" customHeight="1" x14ac:dyDescent="0.2"/>
    <row r="95" spans="4:4" ht="15.75" customHeight="1" x14ac:dyDescent="0.2"/>
    <row r="96" spans="4: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64:D6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zoomScale="108" workbookViewId="0">
      <selection activeCell="F26" sqref="F26"/>
    </sheetView>
  </sheetViews>
  <sheetFormatPr baseColWidth="10" defaultColWidth="14.5" defaultRowHeight="15" customHeight="1" x14ac:dyDescent="0.2"/>
  <cols>
    <col min="1" max="1" width="10.83203125" customWidth="1"/>
    <col min="2" max="2" width="29.6640625" customWidth="1"/>
    <col min="3" max="4" width="10.83203125" customWidth="1"/>
    <col min="5" max="5" width="16" customWidth="1"/>
    <col min="6" max="6" width="21.6640625" customWidth="1"/>
    <col min="7" max="7" width="22.1640625" customWidth="1"/>
    <col min="8" max="8" width="21.6640625" customWidth="1"/>
    <col min="9" max="9" width="20.5" customWidth="1"/>
    <col min="10" max="10" width="7.33203125" customWidth="1"/>
    <col min="11" max="11" width="6.6640625" customWidth="1"/>
    <col min="12" max="12" width="7" customWidth="1"/>
    <col min="13" max="25" width="10.6640625" customWidth="1"/>
  </cols>
  <sheetData>
    <row r="1" spans="1:25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x14ac:dyDescent="0.2">
      <c r="A6" s="34"/>
      <c r="B6" s="34"/>
      <c r="C6" s="34"/>
      <c r="D6" s="34"/>
      <c r="E6" s="34"/>
      <c r="F6" s="34"/>
      <c r="G6" s="34"/>
      <c r="H6" s="14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x14ac:dyDescent="0.2">
      <c r="A7" s="34"/>
      <c r="B7" s="34" t="s">
        <v>64</v>
      </c>
      <c r="C7" s="34">
        <v>365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">
      <c r="A8" s="34"/>
      <c r="B8" s="34"/>
      <c r="C8" s="34"/>
      <c r="D8" s="34"/>
      <c r="E8" s="34"/>
      <c r="F8" s="34"/>
      <c r="G8" s="14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x14ac:dyDescent="0.2">
      <c r="A9" s="34"/>
      <c r="B9" s="34" t="s">
        <v>165</v>
      </c>
      <c r="C9" s="99">
        <v>0.1</v>
      </c>
      <c r="D9" s="67">
        <f>C7*C9</f>
        <v>36.5</v>
      </c>
      <c r="E9" s="34"/>
      <c r="F9" s="34"/>
      <c r="G9" s="14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x14ac:dyDescent="0.2">
      <c r="A10" s="34"/>
      <c r="B10" s="34"/>
      <c r="C10" s="34"/>
      <c r="D10" s="34"/>
      <c r="E10" s="34"/>
      <c r="F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66" customHeight="1" x14ac:dyDescent="0.2">
      <c r="A13" s="34"/>
      <c r="B13" s="34" t="s">
        <v>166</v>
      </c>
      <c r="C13" s="100" t="str">
        <f>+ERs!G5</f>
        <v>𝐻𝐻𝑝,𝑦 × 𝐻𝑁𝑝,𝑦</v>
      </c>
      <c r="D13" s="100" t="s">
        <v>167</v>
      </c>
      <c r="E13" s="100" t="s">
        <v>168</v>
      </c>
      <c r="F13" s="145" t="s">
        <v>169</v>
      </c>
      <c r="G13" s="142" t="s">
        <v>229</v>
      </c>
      <c r="H13" s="146" t="s">
        <v>170</v>
      </c>
      <c r="I13" s="100" t="s">
        <v>81</v>
      </c>
      <c r="J13" s="100" t="s">
        <v>171</v>
      </c>
      <c r="K13" s="101" t="s">
        <v>172</v>
      </c>
      <c r="L13" s="101" t="s">
        <v>173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">
      <c r="A14" s="34"/>
      <c r="B14" s="34" t="str">
        <f>+ERs!C7</f>
        <v>Loiborsiret</v>
      </c>
      <c r="C14" s="43">
        <f>+ERs!G7</f>
        <v>2685</v>
      </c>
      <c r="D14" s="43">
        <f>C14*'General data'!$B$24*$D$9</f>
        <v>539013.75</v>
      </c>
      <c r="E14" s="43">
        <f t="shared" ref="E14:E16" si="0">25*$D$9*C14</f>
        <v>2450062.5</v>
      </c>
      <c r="F14" s="43">
        <f t="shared" ref="F14:F16" si="1">MIN(D14:E14)</f>
        <v>539013.75</v>
      </c>
      <c r="G14" s="34">
        <v>3.2</v>
      </c>
      <c r="H14" s="102">
        <f t="shared" ref="H14:H16" si="2">+F14/1000</f>
        <v>539.01374999999996</v>
      </c>
      <c r="I14" s="102">
        <f>G14*H14</f>
        <v>1724.8440000000001</v>
      </c>
      <c r="J14" s="102">
        <f>I14*'General data'!$B$37*(1+'General data'!$B$38)</f>
        <v>1.6558502400000001</v>
      </c>
      <c r="K14" s="34">
        <v>0</v>
      </c>
      <c r="L14" s="102">
        <f t="shared" ref="L14:L16" si="3">J14+K14</f>
        <v>1.6558502400000001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x14ac:dyDescent="0.2">
      <c r="A15" s="34"/>
      <c r="B15" s="34" t="str">
        <f>+ERs!C8</f>
        <v>Sukuro</v>
      </c>
      <c r="C15" s="43">
        <f>+ERs!G8</f>
        <v>158.04</v>
      </c>
      <c r="D15" s="43">
        <f>C15*'General data'!$B$24*$D$9</f>
        <v>31726.529999999995</v>
      </c>
      <c r="E15" s="43">
        <f t="shared" si="0"/>
        <v>144211.5</v>
      </c>
      <c r="F15" s="43">
        <f t="shared" si="1"/>
        <v>31726.529999999995</v>
      </c>
      <c r="G15" s="34">
        <v>6.86</v>
      </c>
      <c r="H15" s="102">
        <f t="shared" si="2"/>
        <v>31.726529999999997</v>
      </c>
      <c r="I15" s="102">
        <f>G15*H15</f>
        <v>217.6439958</v>
      </c>
      <c r="J15" s="102">
        <f>I15*'General data'!$B$37*(1+'General data'!$B$38)</f>
        <v>0.20893823596799999</v>
      </c>
      <c r="K15" s="34">
        <v>0</v>
      </c>
      <c r="L15" s="102">
        <f t="shared" si="3"/>
        <v>0.20893823596799999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x14ac:dyDescent="0.2">
      <c r="A16" s="34"/>
      <c r="B16" s="34" t="str">
        <f>+ERs!C11</f>
        <v>Irkiushboir</v>
      </c>
      <c r="C16" s="43">
        <f>+ERs!G11</f>
        <v>771.4</v>
      </c>
      <c r="D16" s="43">
        <f>C16*'General data'!$B$24*$D$9</f>
        <v>154858.54999999999</v>
      </c>
      <c r="E16" s="43">
        <f t="shared" si="0"/>
        <v>703902.5</v>
      </c>
      <c r="F16" s="43">
        <f t="shared" si="1"/>
        <v>154858.54999999999</v>
      </c>
      <c r="G16" s="34">
        <v>3.19</v>
      </c>
      <c r="H16" s="102">
        <f t="shared" si="2"/>
        <v>154.85854999999998</v>
      </c>
      <c r="I16" s="102">
        <f>G16*H16</f>
        <v>493.99877449999991</v>
      </c>
      <c r="J16" s="102">
        <f>I16*'General data'!$B$37*(1+'General data'!$B$38)</f>
        <v>0.47423882351999991</v>
      </c>
      <c r="K16" s="34">
        <v>0</v>
      </c>
      <c r="L16" s="102">
        <f t="shared" si="3"/>
        <v>0.47423882351999991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x14ac:dyDescent="0.2">
      <c r="A18" s="34"/>
      <c r="B18" s="34"/>
      <c r="C18" s="34"/>
      <c r="D18" s="34"/>
      <c r="E18" s="34"/>
      <c r="F18" s="34"/>
      <c r="G18" s="34"/>
      <c r="H18" s="34"/>
      <c r="I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ht="15.75" customHeight="1" x14ac:dyDescent="0.2">
      <c r="A21" s="34"/>
      <c r="B21" s="34"/>
      <c r="C21" s="34"/>
      <c r="D21" s="34"/>
      <c r="E21" s="34"/>
      <c r="F21" s="99"/>
      <c r="G21" s="34"/>
      <c r="H21" s="34"/>
      <c r="I21" s="89"/>
      <c r="J21" s="89"/>
      <c r="K21" s="89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ht="15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15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15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spans="1:25" ht="15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spans="1:25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1:25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25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1:25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1:25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1:25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1:25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1:25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1:25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1:25" ht="15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1:25" ht="15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1:25" ht="15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1:25" ht="15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1:25" ht="15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5" ht="15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ht="15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5" ht="15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5" ht="15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5" ht="15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15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ht="15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5" ht="15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:25" ht="15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 ht="15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 ht="15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ht="15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 ht="15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ht="15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ht="15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ht="15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 ht="15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 ht="15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ht="15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ht="15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 ht="15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 ht="15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 ht="15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 ht="15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15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 ht="15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 ht="15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 ht="15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 ht="15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5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 ht="15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 ht="15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1:25" ht="15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 ht="15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1:25" ht="15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 ht="15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1:25" ht="15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 ht="15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1:25" ht="15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5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1:25" ht="15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1:25" ht="15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1:25" ht="15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1:25" ht="15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1:25" ht="15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1:25" ht="15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1:25" ht="15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1:25" ht="15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1:25" ht="15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1:25" ht="15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spans="1:25" ht="15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spans="1:25" ht="15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spans="1:25" ht="15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spans="1:25" ht="15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spans="1:25" ht="15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spans="1:25" ht="15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spans="1:25" ht="15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spans="1:25" ht="15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spans="1:25" ht="15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spans="1:25" ht="15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spans="1:25" ht="15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spans="1:25" ht="15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spans="1:25" ht="15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spans="1:25" ht="15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spans="1:25" ht="15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spans="1:25" ht="15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5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spans="1:25" ht="15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spans="1:25" ht="15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spans="1:25" ht="15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spans="1:25" ht="15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spans="1:25" ht="15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spans="1:25" ht="15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spans="1:25" ht="15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spans="1:25" ht="15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spans="1:25" ht="15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spans="1:25" ht="15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spans="1:25" ht="15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spans="1:25" ht="15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spans="1:25" ht="15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25" ht="15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spans="1:25" ht="15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spans="1:25" ht="15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spans="1:25" ht="15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spans="1:25" ht="15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spans="1:25" ht="15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spans="1:25" ht="15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spans="1:25" ht="15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spans="1:25" ht="15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spans="1:25" ht="15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25" ht="15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spans="1:25" ht="15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spans="1:25" ht="15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spans="1:25" ht="15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spans="1:25" ht="15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spans="1:25" ht="15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5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spans="1:25" ht="15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spans="1:25" ht="15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spans="1:25" ht="15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spans="1:25" ht="15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spans="1:25" ht="15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25" ht="15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spans="1:25" ht="15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spans="1:25" ht="15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spans="1:25" ht="15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spans="1:25" ht="15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spans="1:25" ht="15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1:25" ht="15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1:25" ht="15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5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1:25" ht="15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1:25" ht="15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1:25" ht="15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spans="1:25" ht="15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spans="1:25" ht="15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spans="1:25" ht="15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spans="1:25" ht="15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spans="1:25" ht="15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spans="1:25" ht="15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spans="1:25" ht="15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spans="1:25" ht="15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spans="1:25" ht="15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spans="1:25" ht="15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spans="1:25" ht="15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spans="1:25" ht="15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spans="1:25" ht="15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spans="1:25" ht="15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spans="1:25" ht="15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spans="1:25" ht="15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spans="1:25" ht="15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spans="1:25" ht="15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spans="1:25" ht="15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spans="1:25" ht="15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spans="1:25" ht="15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spans="1:25" ht="15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spans="1:25" ht="15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spans="1:25" ht="15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spans="1:25" ht="15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spans="1:25" ht="15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spans="1:25" ht="15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spans="1:25" ht="15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spans="1:25" ht="15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spans="1:25" ht="15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spans="1:25" ht="15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spans="1:25" ht="15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spans="1:25" ht="15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spans="1:25" ht="15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spans="1:25" ht="15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spans="1:25" ht="15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spans="1:25" ht="15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spans="1:25" ht="15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spans="1:25" ht="15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spans="1:25" ht="15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spans="1:25" ht="15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spans="1:25" ht="15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spans="1:25" ht="15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spans="1:25" ht="15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spans="1:25" ht="15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spans="1:25" ht="15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spans="1:25" ht="15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spans="1:25" ht="15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spans="1:25" ht="15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spans="1:25" ht="15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spans="1:25" ht="15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spans="1:25" ht="15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spans="1:25" ht="15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spans="1:25" ht="15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spans="1:25" ht="15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spans="1:25" ht="15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spans="1:25" ht="15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spans="1:25" ht="15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spans="1:25" ht="15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spans="1:25" ht="15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spans="1:25" ht="15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spans="1:25" ht="15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spans="1:25" ht="15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spans="1:25" ht="15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spans="1:25" ht="15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spans="1:25" ht="15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spans="1:25" ht="15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spans="1:25" ht="15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spans="1:25" ht="15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spans="1:25" ht="15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spans="1:25" ht="15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spans="1:25" ht="15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spans="1:25" ht="15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 ht="15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 ht="15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 ht="15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 ht="15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 ht="15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spans="1:25" ht="15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spans="1:25" ht="15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spans="1:25" ht="15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spans="1:25" ht="15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spans="1:25" ht="15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spans="1:25" ht="15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spans="1:25" ht="15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spans="1:25" ht="15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spans="1:25" ht="15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spans="1:25" ht="15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spans="1:25" ht="15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spans="1:25" ht="15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spans="1:25" ht="15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spans="1:25" ht="15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spans="1:25" ht="15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spans="1:25" ht="15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spans="1:25" ht="15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spans="1:25" ht="15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spans="1:25" ht="15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spans="1:25" ht="15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spans="1:25" ht="15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spans="1:25" ht="15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spans="1:25" ht="15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spans="1:25" ht="15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spans="1:25" ht="15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spans="1:25" ht="15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spans="1:25" ht="15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spans="1:25" ht="15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spans="1:25" ht="15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spans="1:25" ht="15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spans="1:25" ht="15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spans="1:25" ht="15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spans="1:25" ht="15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spans="1:25" ht="15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spans="1:25" ht="15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spans="1:25" ht="15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spans="1:25" ht="15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spans="1:25" ht="15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spans="1:25" ht="15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spans="1:25" ht="15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spans="1:25" ht="15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spans="1:25" ht="15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spans="1:25" ht="15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spans="1:25" ht="15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spans="1:25" ht="15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spans="1:25" ht="15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spans="1:25" ht="15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spans="1:25" ht="15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spans="1:25" ht="15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spans="1:25" ht="15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spans="1:25" ht="15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spans="1:25" ht="15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spans="1:25" ht="15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spans="1:25" ht="15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spans="1:25" ht="15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spans="1:25" ht="15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spans="1:25" ht="15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spans="1:25" ht="15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spans="1:25" ht="15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 ht="15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 ht="15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spans="1:25" ht="15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spans="1:25" ht="15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spans="1:25" ht="15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spans="1:25" ht="15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spans="1:25" ht="15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spans="1:25" ht="15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spans="1:25" ht="15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spans="1:25" ht="15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spans="1:25" ht="15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spans="1:25" ht="15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spans="1:25" ht="15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spans="1:25" ht="15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spans="1:25" ht="15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spans="1:25" ht="15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spans="1:25" ht="15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spans="1:25" ht="15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spans="1:25" ht="15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spans="1:25" ht="15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spans="1:25" ht="15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spans="1:25" ht="15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spans="1:25" ht="15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spans="1:25" ht="15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spans="1:25" ht="15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spans="1:25" ht="15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spans="1:25" ht="15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spans="1:25" ht="15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spans="1:25" ht="15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spans="1:25" ht="15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spans="1:25" ht="15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spans="1:25" ht="15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spans="1:25" ht="15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spans="1:25" ht="15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spans="1:25" ht="15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spans="1:25" ht="15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spans="1:25" ht="15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spans="1:25" ht="15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spans="1:25" ht="15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spans="1:25" ht="15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spans="1:25" ht="15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spans="1:25" ht="15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spans="1:25" ht="15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spans="1:25" ht="15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spans="1:25" ht="15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spans="1:25" ht="15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spans="1:25" ht="15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spans="1:25" ht="15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spans="1:25" ht="15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spans="1:25" ht="15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spans="1:25" ht="15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spans="1:25" ht="15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spans="1:25" ht="15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spans="1:25" ht="15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spans="1:25" ht="15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1:25" ht="15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spans="1:25" ht="15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spans="1:25" ht="15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spans="1:25" ht="15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spans="1:25" ht="15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spans="1:25" ht="15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1:25" ht="15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spans="1:25" ht="15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spans="1:25" ht="15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spans="1:25" ht="15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spans="1:25" ht="15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spans="1:25" ht="15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spans="1:25" ht="15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spans="1:25" ht="15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spans="1:25" ht="15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1:25" ht="15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spans="1:25" ht="15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spans="1:25" ht="15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spans="1:25" ht="15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spans="1:25" ht="15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spans="1:25" ht="15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spans="1:25" ht="15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spans="1:25" ht="15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spans="1:25" ht="15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1:25" ht="15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1:25" ht="15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spans="1:25" ht="15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spans="1:25" ht="15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spans="1:25" ht="15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spans="1:25" ht="15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spans="1:25" ht="15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spans="1:25" ht="15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spans="1:25" ht="15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spans="1:25" ht="15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spans="1:25" ht="15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spans="1:25" ht="15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spans="1:25" ht="15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spans="1:25" ht="15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spans="1:25" ht="15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spans="1:25" ht="15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 ht="15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 ht="15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 ht="15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 ht="15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 ht="15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 ht="15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 ht="15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 ht="15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 ht="15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spans="1:25" ht="15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spans="1:25" ht="15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spans="1:25" ht="15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spans="1:25" ht="15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spans="1:25" ht="15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spans="1:25" ht="15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spans="1:25" ht="15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spans="1:25" ht="15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spans="1:25" ht="15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spans="1:25" ht="15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spans="1:25" ht="15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spans="1:25" ht="15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spans="1:25" ht="15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spans="1:25" ht="15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spans="1:25" ht="15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spans="1:25" ht="15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spans="1:25" ht="15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spans="1:25" ht="15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spans="1:25" ht="15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spans="1:25" ht="15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spans="1:25" ht="15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spans="1:25" ht="15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spans="1:25" ht="15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spans="1:25" ht="15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spans="1:25" ht="15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spans="1:25" ht="15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spans="1:25" ht="15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spans="1:25" ht="15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spans="1:25" ht="15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spans="1:25" ht="15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spans="1:25" ht="15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spans="1:25" ht="15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spans="1:25" ht="15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spans="1:25" ht="15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spans="1:25" ht="15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spans="1:25" ht="15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spans="1:25" ht="15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spans="1:25" ht="15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spans="1:25" ht="15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spans="1:25" ht="15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spans="1:25" ht="15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spans="1:25" ht="15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spans="1:25" ht="15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spans="1:25" ht="15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spans="1:25" ht="15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spans="1:25" ht="15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spans="1:25" ht="15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spans="1:25" ht="15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spans="1:25" ht="15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spans="1:25" ht="15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spans="1:25" ht="15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spans="1:25" ht="15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spans="1:25" ht="15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spans="1:25" ht="15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spans="1:25" ht="15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spans="1:25" ht="15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spans="1:25" ht="15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spans="1:25" ht="15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spans="1:25" ht="15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spans="1:25" ht="15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spans="1:25" ht="15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spans="1:25" ht="15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spans="1:25" ht="15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spans="1:25" ht="15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spans="1:25" ht="15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spans="1:25" ht="15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spans="1:25" ht="15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spans="1:25" ht="15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spans="1:25" ht="15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spans="1:25" ht="15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spans="1:25" ht="15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spans="1:25" ht="15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spans="1:25" ht="15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spans="1:25" ht="15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spans="1:25" ht="15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spans="1:25" ht="15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spans="1:25" ht="15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spans="1:25" ht="15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spans="1:25" ht="15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spans="1:25" ht="15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spans="1:25" ht="15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spans="1:25" ht="15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spans="1:25" ht="15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spans="1:25" ht="15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spans="1:25" ht="15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spans="1:25" ht="15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spans="1:25" ht="15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spans="1:25" ht="15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spans="1:25" ht="15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spans="1:25" ht="15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spans="1:25" ht="15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spans="1:25" ht="15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spans="1:25" ht="15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spans="1:25" ht="15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spans="1:25" ht="15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spans="1:25" ht="15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spans="1:25" ht="15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spans="1:25" ht="15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spans="1:25" ht="15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spans="1:25" ht="15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spans="1:25" ht="15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spans="1:25" ht="15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spans="1:25" ht="15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spans="1:25" ht="15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spans="1:25" ht="15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spans="1:25" ht="15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spans="1:25" ht="15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spans="1:25" ht="15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spans="1:25" ht="15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spans="1:25" ht="15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spans="1:25" ht="15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spans="1:25" ht="15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spans="1:25" ht="15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spans="1:25" ht="15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spans="1:25" ht="15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spans="1:25" ht="15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spans="1:25" ht="15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spans="1:25" ht="15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spans="1:25" ht="15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spans="1:25" ht="15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spans="1:25" ht="15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spans="1:25" ht="15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spans="1:25" ht="15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spans="1:25" ht="15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spans="1:25" ht="15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spans="1:25" ht="15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spans="1:25" ht="15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spans="1:25" ht="15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spans="1:25" ht="15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spans="1:25" ht="15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spans="1:25" ht="15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spans="1:25" ht="15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spans="1:25" ht="15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spans="1:25" ht="15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spans="1:25" ht="15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spans="1:25" ht="15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spans="1:25" ht="15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spans="1:25" ht="15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spans="1:25" ht="15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spans="1:25" ht="15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spans="1:25" ht="15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spans="1:25" ht="15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spans="1:25" ht="15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spans="1:25" ht="15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spans="1:25" ht="15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spans="1:25" ht="15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spans="1:25" ht="15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spans="1:25" ht="15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spans="1:25" ht="15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spans="1:25" ht="15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spans="1:25" ht="15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spans="1:25" ht="15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spans="1:25" ht="15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spans="1:25" ht="15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spans="1:25" ht="15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spans="1:25" ht="15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spans="1:25" ht="15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spans="1:25" ht="15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spans="1:25" ht="15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spans="1:25" ht="15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spans="1:25" ht="15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spans="1:25" ht="15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spans="1:25" ht="15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spans="1:25" ht="15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spans="1:25" ht="15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spans="1:25" ht="15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spans="1:25" ht="15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spans="1:25" ht="15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spans="1:25" ht="15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spans="1:25" ht="15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spans="1:25" ht="15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spans="1:25" ht="15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spans="1:25" ht="15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spans="1:25" ht="15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spans="1:25" ht="15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spans="1:25" ht="15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spans="1:25" ht="15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spans="1:25" ht="15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spans="1:25" ht="15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spans="1:25" ht="15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spans="1:25" ht="15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spans="1:25" ht="15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spans="1:25" ht="15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spans="1:25" ht="15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spans="1:25" ht="15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spans="1:25" ht="15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spans="1:25" ht="15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spans="1:25" ht="15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spans="1:25" ht="15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spans="1:25" ht="15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spans="1:25" ht="15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spans="1:25" ht="15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spans="1:25" ht="15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spans="1:25" ht="15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spans="1:25" ht="15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spans="1:25" ht="15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spans="1:25" ht="15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spans="1:25" ht="15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spans="1:25" ht="15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spans="1:25" ht="15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spans="1:25" ht="15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spans="1:25" ht="15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spans="1:25" ht="15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spans="1:25" ht="15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spans="1:25" ht="15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spans="1:25" ht="15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spans="1:25" ht="15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spans="1:25" ht="15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spans="1:25" ht="15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spans="1:25" ht="15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spans="1:25" ht="15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spans="1:25" ht="15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spans="1:25" ht="15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spans="1:25" ht="15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spans="1:25" ht="15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spans="1:25" ht="15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spans="1:25" ht="15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spans="1:25" ht="15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spans="1:25" ht="15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spans="1:25" ht="15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spans="1:25" ht="15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spans="1:25" ht="15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spans="1:25" ht="15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spans="1:25" ht="15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spans="1:25" ht="15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spans="1:25" ht="15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spans="1:25" ht="15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spans="1:25" ht="15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spans="1:25" ht="15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spans="1:25" ht="15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spans="1:25" ht="15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spans="1:25" ht="15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spans="1:25" ht="15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spans="1:25" ht="15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spans="1:25" ht="15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spans="1:25" ht="15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spans="1:25" ht="15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spans="1:25" ht="15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spans="1:25" ht="15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spans="1:25" ht="15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spans="1:25" ht="15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spans="1:25" ht="15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spans="1:25" ht="15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spans="1:25" ht="15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 ht="15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 ht="15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 ht="15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spans="1:25" ht="15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 ht="15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 ht="15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 ht="15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 ht="15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 ht="15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 ht="15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 ht="15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 ht="15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 ht="15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spans="1:25" ht="15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 ht="15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 ht="15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 ht="15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spans="1:25" ht="15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spans="1:25" ht="15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 ht="15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spans="1:25" ht="15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spans="1:25" ht="15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 ht="15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 ht="15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 ht="15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 ht="15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spans="1:25" ht="15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spans="1:25" ht="15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 ht="15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spans="1:25" ht="15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spans="1:25" ht="15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 ht="15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spans="1:25" ht="15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spans="1:25" ht="15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spans="1:25" ht="15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 ht="15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 ht="15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spans="1:25" ht="15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spans="1:25" ht="15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spans="1:25" ht="15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 ht="15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 ht="15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spans="1:25" ht="15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spans="1:25" ht="15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 ht="15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 ht="15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 ht="15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 ht="15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 ht="15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 ht="15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spans="1:25" ht="15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 ht="15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 ht="15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spans="1:25" ht="15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spans="1:25" ht="15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spans="1:25" ht="15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 ht="15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spans="1:25" ht="15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spans="1:25" ht="15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spans="1:25" ht="15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spans="1:25" ht="15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 ht="15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spans="1:25" ht="15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 ht="15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 ht="15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 ht="15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spans="1:25" ht="15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 ht="15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 ht="15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spans="1:25" ht="15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 ht="15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 ht="15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 ht="15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 ht="15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spans="1:25" ht="15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spans="1:25" ht="15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 ht="15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 ht="15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spans="1:25" ht="15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 ht="15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spans="1:25" ht="15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spans="1:25" ht="15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spans="1:25" ht="15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 ht="15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 ht="15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 ht="15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 ht="15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 ht="15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spans="1:25" ht="15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 ht="15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 ht="15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 ht="15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 ht="15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spans="1:25" ht="15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 ht="15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 ht="15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 ht="15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 ht="15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 ht="15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 ht="15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 ht="15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 ht="15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 ht="15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 ht="15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 ht="15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 ht="15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 ht="15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spans="1:25" ht="15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spans="1:25" ht="15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 ht="15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 ht="15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 ht="15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spans="1:25" ht="15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spans="1:25" ht="15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 spans="1:25" ht="15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spans="1:25" ht="15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spans="1:25" ht="15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spans="1:25" ht="15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spans="1:25" ht="15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spans="1:25" ht="15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spans="1:25" ht="15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spans="1:25" ht="15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spans="1:25" ht="15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 spans="1:25" ht="15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 spans="1:25" ht="15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spans="1:25" ht="15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 spans="1:25" ht="15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 spans="1:25" ht="15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 spans="1:25" ht="15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 spans="1:25" ht="15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 spans="1:25" ht="15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 spans="1:25" ht="15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 spans="1:25" ht="15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 spans="1:25" ht="15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spans="1:25" ht="15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 spans="1:25" ht="15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 spans="1:25" ht="15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 spans="1:25" ht="15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 spans="1:25" ht="15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spans="1:25" ht="15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spans="1:25" ht="15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spans="1:25" ht="15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 spans="1:25" ht="15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spans="1:25" ht="15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 spans="1:25" ht="15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 spans="1:25" ht="15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 spans="1:25" ht="15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spans="1:25" ht="15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 spans="1:25" ht="15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 spans="1:25" ht="15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spans="1:25" ht="15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spans="1:25" ht="15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spans="1:25" ht="15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 spans="1:25" ht="15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 spans="1:25" ht="15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spans="1:25" ht="15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spans="1:25" ht="15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 spans="1:25" ht="15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spans="1:25" ht="15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 spans="1:25" ht="15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 spans="1:25" ht="15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spans="1:25" ht="15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 spans="1:25" ht="15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 spans="1:25" ht="15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spans="1:25" ht="15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 spans="1:25" ht="15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 spans="1:25" ht="15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 spans="1:25" ht="15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 spans="1:25" ht="15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spans="1:25" ht="15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 spans="1:25" ht="15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 spans="1:25" ht="15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 spans="1:25" ht="15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 spans="1:25" ht="15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 spans="1:25" ht="15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spans="1:25" ht="15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spans="1:25" ht="15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 spans="1:25" ht="15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spans="1:25" ht="15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spans="1:25" ht="15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spans="1:25" ht="15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 spans="1:25" ht="15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spans="1:25" ht="15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 spans="1:25" ht="15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 spans="1:25" ht="15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 spans="1:25" ht="15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spans="1:25" ht="15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spans="1:25" ht="15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 spans="1:25" ht="15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spans="1:25" ht="15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 spans="1:25" ht="15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 spans="1:25" ht="15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 spans="1:25" ht="15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spans="1:25" ht="15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 spans="1:25" ht="15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 spans="1:25" ht="15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spans="1:25" ht="15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 spans="1:25" ht="15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 spans="1:25" ht="15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spans="1:25" ht="15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 spans="1:25" ht="15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 spans="1:25" ht="15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spans="1:25" ht="15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 spans="1:25" ht="15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 spans="1:25" ht="15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 spans="1:25" ht="15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spans="1:25" ht="15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 spans="1:25" ht="15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spans="1:25" ht="15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 spans="1:25" ht="15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 spans="1:25" ht="15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 spans="1:25" ht="15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spans="1:25" ht="15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 spans="1:25" ht="15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 spans="1:25" ht="15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 spans="1:25" ht="15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 spans="1:25" ht="15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 spans="1:25" ht="15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spans="1:25" ht="15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 spans="1:25" ht="15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 spans="1:25" ht="15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 spans="1:25" ht="15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 spans="1:25" ht="15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 spans="1:25" ht="15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 spans="1:25" ht="15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 spans="1:25" ht="15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spans="1:25" ht="15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spans="1:25" ht="15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 spans="1:25" ht="15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 spans="1:25" ht="15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 spans="1:25" ht="15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 spans="1:25" ht="15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 spans="1:25" ht="15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 spans="1:25" ht="15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 spans="1:25" ht="15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spans="1:25" ht="15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spans="1:25" ht="15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 spans="1:25" ht="15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spans="1:25" ht="15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spans="1:25" ht="15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spans="1:25" ht="15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spans="1:25" ht="15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 spans="1:25" ht="15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 spans="1:25" ht="15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 spans="1:25" ht="15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 spans="1:25" ht="15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 spans="1:25" ht="15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 spans="1:25" ht="15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 spans="1:25" ht="15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 spans="1:25" ht="15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 spans="1:25" ht="15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 spans="1:25" ht="15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spans="1:25" ht="15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spans="1:25" ht="15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 spans="1:25" ht="15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spans="1:25" ht="15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 spans="1:25" ht="15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spans="1:25" ht="15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 spans="1:25" ht="15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 spans="1:25" ht="15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spans="1:25" ht="15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spans="1:25" ht="15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 spans="1:25" ht="15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 spans="1:25" ht="15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 spans="1:25" ht="15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spans="1:25" ht="15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 spans="1:25" ht="15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 spans="1:25" ht="15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 spans="1:25" ht="15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 spans="1:25" ht="15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spans="1:25" ht="15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spans="1:25" ht="15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spans="1:25" ht="15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spans="1:25" ht="15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 spans="1:25" ht="15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spans="1:25" ht="15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 spans="1:25" ht="15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 spans="1:25" ht="15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 spans="1:25" ht="15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spans="1:25" ht="15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spans="1:25" ht="15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spans="1:25" ht="15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spans="1:25" ht="15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spans="1:25" ht="15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spans="1:25" ht="15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spans="1:25" ht="15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spans="1:25" ht="15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spans="1:25" ht="15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spans="1:25" ht="15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 spans="1:25" ht="15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 spans="1:25" ht="15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 spans="1:25" ht="15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 spans="1:25" ht="15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 spans="1:25" ht="15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 spans="1:25" ht="15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 spans="1:25" ht="15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spans="1:25" ht="15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 spans="1:25" ht="15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 spans="1:25" ht="15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 spans="1:25" ht="15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 spans="1:25" ht="15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 spans="1:25" ht="15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spans="1:25" ht="15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 spans="1:25" ht="15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 spans="1:25" ht="15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 spans="1:25" ht="15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 spans="1:25" ht="15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 spans="1:25" ht="15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 spans="1:25" ht="15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 spans="1:25" ht="15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 spans="1:25" ht="15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 spans="1:25" ht="15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 spans="1:25" ht="15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 spans="1:25" ht="15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 spans="1:25" ht="15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 spans="1:25" ht="15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 spans="1:25" ht="15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 spans="1:25" ht="15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 spans="1:25" ht="15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 spans="1:25" ht="15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 spans="1:25" ht="15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 spans="1:25" ht="15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 spans="1:25" ht="15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 spans="1:25" ht="15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 spans="1:25" ht="15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 spans="1:25" ht="15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 spans="1:25" ht="15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 spans="1:25" ht="15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 spans="1:25" ht="15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 spans="1:25" ht="15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 spans="1:25" ht="15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 spans="1:25" ht="15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 spans="1:25" ht="15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 spans="1:25" ht="15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 spans="1:25" ht="15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 spans="1:25" ht="15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 spans="1:25" ht="15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 spans="1:25" ht="15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 spans="1:25" ht="15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 spans="1:25" ht="15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 spans="1:25" ht="15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 spans="1:25" ht="15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 spans="1:25" ht="15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 spans="1:25" ht="15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 spans="1:25" ht="15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selection sqref="A1:A2"/>
    </sheetView>
  </sheetViews>
  <sheetFormatPr baseColWidth="10" defaultColWidth="14.5" defaultRowHeight="15" customHeight="1" x14ac:dyDescent="0.2"/>
  <cols>
    <col min="1" max="1" width="34" customWidth="1"/>
    <col min="2" max="2" width="17.33203125" customWidth="1"/>
    <col min="3" max="3" width="21.6640625" customWidth="1"/>
    <col min="4" max="4" width="23.6640625" customWidth="1"/>
    <col min="5" max="6" width="17.83203125" customWidth="1"/>
    <col min="7" max="9" width="16.6640625" customWidth="1"/>
    <col min="10" max="23" width="8.6640625" customWidth="1"/>
  </cols>
  <sheetData>
    <row r="1" spans="1:23" ht="53.25" customHeight="1" x14ac:dyDescent="0.2">
      <c r="A1" s="133" t="s">
        <v>174</v>
      </c>
      <c r="B1" s="133" t="s">
        <v>135</v>
      </c>
      <c r="C1" s="124" t="s">
        <v>175</v>
      </c>
      <c r="D1" s="124" t="s">
        <v>176</v>
      </c>
      <c r="E1" s="124" t="s">
        <v>177</v>
      </c>
      <c r="F1" s="124" t="s">
        <v>178</v>
      </c>
      <c r="G1" s="126" t="s">
        <v>179</v>
      </c>
      <c r="H1" s="127"/>
      <c r="I1" s="128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45" customHeight="1" x14ac:dyDescent="0.2">
      <c r="A2" s="125"/>
      <c r="B2" s="125"/>
      <c r="C2" s="125"/>
      <c r="D2" s="125"/>
      <c r="E2" s="125"/>
      <c r="F2" s="125"/>
      <c r="G2" s="104" t="s">
        <v>180</v>
      </c>
      <c r="H2" s="104" t="s">
        <v>181</v>
      </c>
      <c r="I2" s="104" t="s">
        <v>182</v>
      </c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 ht="39.75" customHeight="1" x14ac:dyDescent="0.2">
      <c r="A3" s="105" t="s">
        <v>183</v>
      </c>
      <c r="B3" s="106" t="s">
        <v>113</v>
      </c>
      <c r="C3" s="106" t="s">
        <v>184</v>
      </c>
      <c r="D3" s="106" t="s">
        <v>185</v>
      </c>
      <c r="E3" s="107" t="s">
        <v>186</v>
      </c>
      <c r="F3" s="106" t="s">
        <v>187</v>
      </c>
      <c r="G3" s="108">
        <v>5</v>
      </c>
      <c r="H3" s="108">
        <v>3</v>
      </c>
      <c r="I3" s="108">
        <v>2</v>
      </c>
    </row>
    <row r="4" spans="1:23" ht="39.75" customHeight="1" x14ac:dyDescent="0.2">
      <c r="A4" s="105" t="s">
        <v>188</v>
      </c>
      <c r="B4" s="106" t="s">
        <v>113</v>
      </c>
      <c r="C4" s="106" t="s">
        <v>184</v>
      </c>
      <c r="D4" s="131" t="s">
        <v>185</v>
      </c>
      <c r="E4" s="132" t="s">
        <v>186</v>
      </c>
      <c r="F4" s="131" t="s">
        <v>189</v>
      </c>
      <c r="G4" s="129">
        <v>16</v>
      </c>
      <c r="H4" s="129">
        <v>2</v>
      </c>
      <c r="I4" s="129">
        <v>14</v>
      </c>
    </row>
    <row r="5" spans="1:23" ht="39.75" customHeight="1" x14ac:dyDescent="0.2">
      <c r="A5" s="105" t="s">
        <v>188</v>
      </c>
      <c r="B5" s="106" t="s">
        <v>113</v>
      </c>
      <c r="C5" s="106" t="s">
        <v>184</v>
      </c>
      <c r="D5" s="130"/>
      <c r="E5" s="130"/>
      <c r="F5" s="130"/>
      <c r="G5" s="130"/>
      <c r="H5" s="130"/>
      <c r="I5" s="130"/>
    </row>
    <row r="6" spans="1:23" ht="16" x14ac:dyDescent="0.2">
      <c r="A6" s="105" t="s">
        <v>190</v>
      </c>
      <c r="B6" s="106" t="s">
        <v>113</v>
      </c>
      <c r="C6" s="106" t="s">
        <v>184</v>
      </c>
      <c r="D6" s="131" t="s">
        <v>185</v>
      </c>
      <c r="E6" s="132" t="s">
        <v>186</v>
      </c>
      <c r="F6" s="109" t="s">
        <v>191</v>
      </c>
      <c r="G6" s="134">
        <v>8</v>
      </c>
      <c r="H6" s="134">
        <v>6</v>
      </c>
      <c r="I6" s="134">
        <v>2</v>
      </c>
    </row>
    <row r="7" spans="1:23" ht="39.75" customHeight="1" x14ac:dyDescent="0.2">
      <c r="A7" s="105" t="s">
        <v>192</v>
      </c>
      <c r="B7" s="106" t="s">
        <v>113</v>
      </c>
      <c r="C7" s="106" t="s">
        <v>184</v>
      </c>
      <c r="D7" s="125"/>
      <c r="E7" s="125"/>
      <c r="F7" s="111"/>
      <c r="G7" s="125"/>
      <c r="H7" s="125"/>
      <c r="I7" s="125"/>
    </row>
    <row r="8" spans="1:23" ht="39.75" customHeight="1" x14ac:dyDescent="0.2">
      <c r="A8" s="105" t="s">
        <v>193</v>
      </c>
      <c r="B8" s="106" t="s">
        <v>113</v>
      </c>
      <c r="C8" s="106" t="s">
        <v>184</v>
      </c>
      <c r="D8" s="106" t="s">
        <v>194</v>
      </c>
      <c r="E8" s="107" t="s">
        <v>195</v>
      </c>
      <c r="F8" s="106" t="s">
        <v>189</v>
      </c>
      <c r="G8" s="112">
        <v>5</v>
      </c>
      <c r="H8" s="112">
        <v>3</v>
      </c>
      <c r="I8" s="112">
        <v>2</v>
      </c>
    </row>
    <row r="9" spans="1:23" ht="30" customHeight="1" x14ac:dyDescent="0.2">
      <c r="A9" s="105" t="s">
        <v>196</v>
      </c>
      <c r="B9" s="106" t="s">
        <v>100</v>
      </c>
      <c r="C9" s="106" t="s">
        <v>184</v>
      </c>
      <c r="D9" s="113"/>
      <c r="E9" s="113"/>
      <c r="F9" s="113"/>
      <c r="G9" s="113"/>
      <c r="H9" s="113"/>
      <c r="I9" s="113"/>
    </row>
    <row r="10" spans="1:23" ht="30" customHeight="1" x14ac:dyDescent="0.2">
      <c r="A10" s="105" t="s">
        <v>197</v>
      </c>
      <c r="B10" s="114" t="s">
        <v>100</v>
      </c>
      <c r="C10" s="114" t="s">
        <v>184</v>
      </c>
      <c r="D10" s="115" t="s">
        <v>198</v>
      </c>
      <c r="E10" s="116" t="s">
        <v>199</v>
      </c>
      <c r="F10" s="116" t="s">
        <v>200</v>
      </c>
      <c r="G10" s="110">
        <v>12</v>
      </c>
      <c r="H10" s="110">
        <v>5</v>
      </c>
      <c r="I10" s="110">
        <v>7</v>
      </c>
    </row>
    <row r="11" spans="1:23" ht="53.25" customHeight="1" x14ac:dyDescent="0.2">
      <c r="A11" s="105" t="s">
        <v>201</v>
      </c>
      <c r="B11" s="106" t="s">
        <v>100</v>
      </c>
      <c r="C11" s="106" t="s">
        <v>184</v>
      </c>
      <c r="D11" s="117"/>
      <c r="E11" s="111"/>
      <c r="F11" s="111"/>
      <c r="G11" s="112">
        <v>2</v>
      </c>
      <c r="H11" s="112">
        <v>0</v>
      </c>
      <c r="I11" s="112">
        <v>2</v>
      </c>
    </row>
    <row r="12" spans="1:23" ht="34.5" customHeight="1" x14ac:dyDescent="0.2">
      <c r="A12" s="105" t="s">
        <v>202</v>
      </c>
      <c r="B12" s="106" t="s">
        <v>100</v>
      </c>
      <c r="C12" s="106" t="s">
        <v>184</v>
      </c>
      <c r="D12" s="111"/>
      <c r="E12" s="111"/>
      <c r="F12" s="111"/>
      <c r="G12" s="112">
        <v>5</v>
      </c>
      <c r="H12" s="112">
        <v>3</v>
      </c>
      <c r="I12" s="112">
        <v>2</v>
      </c>
    </row>
    <row r="13" spans="1:23" ht="41.25" customHeight="1" x14ac:dyDescent="0.2">
      <c r="A13" s="105" t="s">
        <v>203</v>
      </c>
      <c r="B13" s="114" t="s">
        <v>100</v>
      </c>
      <c r="C13" s="114" t="s">
        <v>184</v>
      </c>
      <c r="D13" s="115" t="s">
        <v>204</v>
      </c>
      <c r="E13" s="116" t="s">
        <v>205</v>
      </c>
      <c r="F13" s="118" t="s">
        <v>206</v>
      </c>
      <c r="G13" s="119">
        <v>8</v>
      </c>
      <c r="H13" s="110">
        <v>5</v>
      </c>
      <c r="I13" s="110">
        <v>3</v>
      </c>
    </row>
    <row r="14" spans="1:23" ht="41.25" customHeight="1" x14ac:dyDescent="0.2">
      <c r="A14" s="120" t="s">
        <v>207</v>
      </c>
      <c r="B14" s="121" t="s">
        <v>125</v>
      </c>
      <c r="C14" s="121" t="s">
        <v>184</v>
      </c>
      <c r="D14" s="121" t="s">
        <v>208</v>
      </c>
      <c r="E14" s="122" t="s">
        <v>209</v>
      </c>
      <c r="F14" s="122" t="s">
        <v>210</v>
      </c>
      <c r="G14" s="110">
        <v>11</v>
      </c>
      <c r="H14" s="110">
        <v>5</v>
      </c>
      <c r="I14" s="110">
        <v>6</v>
      </c>
    </row>
    <row r="15" spans="1:23" ht="45" customHeight="1" x14ac:dyDescent="0.2">
      <c r="A15" s="120" t="s">
        <v>211</v>
      </c>
      <c r="B15" s="106" t="s">
        <v>125</v>
      </c>
      <c r="C15" s="106" t="s">
        <v>184</v>
      </c>
      <c r="D15" s="106" t="s">
        <v>212</v>
      </c>
      <c r="E15" s="107" t="s">
        <v>213</v>
      </c>
      <c r="F15" s="107" t="s">
        <v>214</v>
      </c>
      <c r="G15" s="112">
        <v>14</v>
      </c>
      <c r="H15" s="112">
        <v>8</v>
      </c>
      <c r="I15" s="112">
        <v>6</v>
      </c>
    </row>
    <row r="16" spans="1:23" ht="15.75" customHeight="1" x14ac:dyDescent="0.2">
      <c r="A16" s="120" t="s">
        <v>215</v>
      </c>
      <c r="B16" s="106" t="s">
        <v>129</v>
      </c>
      <c r="C16" s="106" t="s">
        <v>216</v>
      </c>
      <c r="D16" s="106" t="s">
        <v>217</v>
      </c>
      <c r="E16" s="107" t="s">
        <v>218</v>
      </c>
      <c r="F16" s="106" t="s">
        <v>219</v>
      </c>
      <c r="G16" s="112">
        <v>3</v>
      </c>
      <c r="H16" s="112">
        <v>2</v>
      </c>
      <c r="I16" s="112">
        <v>1</v>
      </c>
    </row>
    <row r="17" spans="1:9" ht="42" customHeight="1" x14ac:dyDescent="0.2">
      <c r="A17" s="120" t="s">
        <v>220</v>
      </c>
      <c r="B17" s="106" t="s">
        <v>129</v>
      </c>
      <c r="C17" s="106" t="s">
        <v>216</v>
      </c>
      <c r="D17" s="106" t="s">
        <v>221</v>
      </c>
      <c r="E17" s="107" t="s">
        <v>222</v>
      </c>
      <c r="F17" s="106" t="s">
        <v>223</v>
      </c>
      <c r="G17" s="112">
        <v>58</v>
      </c>
      <c r="H17" s="112">
        <v>35</v>
      </c>
      <c r="I17" s="112">
        <f>G17-H17</f>
        <v>23</v>
      </c>
    </row>
    <row r="18" spans="1:9" ht="42" customHeight="1" x14ac:dyDescent="0.2">
      <c r="A18" s="120" t="s">
        <v>224</v>
      </c>
      <c r="B18" s="106" t="s">
        <v>129</v>
      </c>
      <c r="C18" s="106" t="s">
        <v>216</v>
      </c>
      <c r="D18" s="106" t="s">
        <v>225</v>
      </c>
      <c r="E18" s="107" t="s">
        <v>226</v>
      </c>
      <c r="F18" s="106" t="s">
        <v>227</v>
      </c>
      <c r="G18" s="112">
        <v>55</v>
      </c>
      <c r="H18" s="112">
        <v>52</v>
      </c>
      <c r="I18" s="112">
        <v>3</v>
      </c>
    </row>
    <row r="19" spans="1:9" ht="15.75" customHeight="1" x14ac:dyDescent="0.2">
      <c r="A19" s="78"/>
      <c r="B19" s="117"/>
      <c r="C19" s="117"/>
      <c r="D19" s="117"/>
      <c r="E19" s="117"/>
      <c r="F19" s="117"/>
      <c r="G19" s="112">
        <f t="shared" ref="G19:I19" si="0">SUM(G3:G18)</f>
        <v>202</v>
      </c>
      <c r="H19" s="112">
        <f t="shared" si="0"/>
        <v>129</v>
      </c>
      <c r="I19" s="112">
        <f t="shared" si="0"/>
        <v>73</v>
      </c>
    </row>
    <row r="20" spans="1:9" ht="15.75" customHeight="1" x14ac:dyDescent="0.2">
      <c r="A20" s="78"/>
      <c r="B20" s="117"/>
      <c r="C20" s="117"/>
      <c r="D20" s="117"/>
      <c r="E20" s="117"/>
      <c r="F20" s="117"/>
      <c r="H20" s="99">
        <f t="shared" ref="H20:I20" si="1">H19/G19</f>
        <v>0.63861386138613863</v>
      </c>
      <c r="I20" s="99">
        <f t="shared" si="1"/>
        <v>0.56589147286821706</v>
      </c>
    </row>
    <row r="21" spans="1:9" ht="15.75" customHeight="1" x14ac:dyDescent="0.2">
      <c r="A21" s="78"/>
      <c r="B21" s="117"/>
      <c r="C21" s="117"/>
      <c r="D21" s="117"/>
      <c r="E21" s="117"/>
      <c r="F21" s="117"/>
    </row>
    <row r="22" spans="1:9" ht="15.75" customHeight="1" x14ac:dyDescent="0.2">
      <c r="A22" s="78"/>
      <c r="B22" s="117"/>
      <c r="C22" s="117"/>
      <c r="D22" s="117"/>
      <c r="E22" s="117"/>
      <c r="F22" s="117"/>
    </row>
    <row r="23" spans="1:9" ht="15.75" customHeight="1" x14ac:dyDescent="0.2">
      <c r="A23" s="78"/>
      <c r="B23" s="117"/>
      <c r="C23" s="117"/>
      <c r="D23" s="117"/>
      <c r="E23" s="117"/>
      <c r="F23" s="117"/>
    </row>
    <row r="24" spans="1:9" ht="15.75" customHeight="1" x14ac:dyDescent="0.2">
      <c r="A24" s="78"/>
      <c r="B24" s="117"/>
      <c r="C24" s="117"/>
      <c r="D24" s="117"/>
      <c r="E24" s="117"/>
      <c r="F24" s="117"/>
    </row>
    <row r="25" spans="1:9" ht="15.75" customHeight="1" x14ac:dyDescent="0.2">
      <c r="A25" s="78"/>
      <c r="B25" s="117"/>
      <c r="C25" s="117"/>
      <c r="D25" s="117"/>
      <c r="E25" s="117"/>
      <c r="F25" s="117"/>
    </row>
    <row r="26" spans="1:9" ht="15.75" customHeight="1" x14ac:dyDescent="0.2">
      <c r="A26" s="78"/>
      <c r="B26" s="117"/>
      <c r="C26" s="117"/>
      <c r="D26" s="117"/>
      <c r="E26" s="117"/>
      <c r="F26" s="117"/>
    </row>
    <row r="27" spans="1:9" ht="15.75" customHeight="1" x14ac:dyDescent="0.2">
      <c r="A27" s="78"/>
      <c r="B27" s="117"/>
      <c r="C27" s="117"/>
      <c r="D27" s="117"/>
      <c r="E27" s="117"/>
      <c r="F27" s="117"/>
    </row>
    <row r="28" spans="1:9" ht="15.75" customHeight="1" x14ac:dyDescent="0.2">
      <c r="A28" s="78"/>
      <c r="B28" s="117"/>
      <c r="C28" s="117"/>
      <c r="D28" s="117"/>
      <c r="E28" s="117"/>
      <c r="F28" s="117"/>
    </row>
    <row r="29" spans="1:9" ht="15.75" customHeight="1" x14ac:dyDescent="0.2">
      <c r="A29" s="78"/>
      <c r="B29" s="117"/>
      <c r="C29" s="117"/>
      <c r="D29" s="117"/>
      <c r="E29" s="117"/>
      <c r="F29" s="117"/>
    </row>
    <row r="30" spans="1:9" ht="15.75" customHeight="1" x14ac:dyDescent="0.2">
      <c r="A30" s="78"/>
      <c r="B30" s="117"/>
      <c r="C30" s="117"/>
      <c r="D30" s="117"/>
      <c r="E30" s="117"/>
      <c r="F30" s="117"/>
    </row>
    <row r="31" spans="1:9" ht="15.75" customHeight="1" x14ac:dyDescent="0.2">
      <c r="A31" s="78"/>
      <c r="B31" s="117"/>
      <c r="C31" s="117"/>
      <c r="D31" s="117"/>
      <c r="E31" s="117"/>
      <c r="F31" s="117"/>
    </row>
    <row r="32" spans="1:9" ht="15.75" customHeight="1" x14ac:dyDescent="0.2">
      <c r="A32" s="78"/>
      <c r="B32" s="117"/>
      <c r="C32" s="117"/>
      <c r="D32" s="117"/>
      <c r="E32" s="117"/>
      <c r="F32" s="117"/>
    </row>
    <row r="33" spans="1:6" ht="15.75" customHeight="1" x14ac:dyDescent="0.2">
      <c r="A33" s="78"/>
      <c r="B33" s="117"/>
      <c r="C33" s="117"/>
      <c r="D33" s="117"/>
      <c r="E33" s="117"/>
      <c r="F33" s="117"/>
    </row>
    <row r="34" spans="1:6" ht="15.75" customHeight="1" x14ac:dyDescent="0.2">
      <c r="A34" s="78"/>
      <c r="B34" s="117"/>
      <c r="C34" s="117"/>
      <c r="D34" s="117"/>
      <c r="E34" s="117"/>
      <c r="F34" s="117"/>
    </row>
    <row r="35" spans="1:6" ht="15.75" customHeight="1" x14ac:dyDescent="0.2">
      <c r="A35" s="78"/>
      <c r="B35" s="117"/>
      <c r="C35" s="117"/>
      <c r="D35" s="117"/>
      <c r="E35" s="117"/>
      <c r="F35" s="117"/>
    </row>
    <row r="36" spans="1:6" ht="15.75" customHeight="1" x14ac:dyDescent="0.2">
      <c r="A36" s="78"/>
      <c r="B36" s="117"/>
      <c r="C36" s="117"/>
      <c r="D36" s="117"/>
      <c r="E36" s="117"/>
      <c r="F36" s="117"/>
    </row>
    <row r="37" spans="1:6" ht="15.75" customHeight="1" x14ac:dyDescent="0.2">
      <c r="A37" s="78"/>
      <c r="B37" s="117"/>
      <c r="C37" s="117"/>
      <c r="D37" s="117"/>
      <c r="E37" s="117"/>
      <c r="F37" s="117"/>
    </row>
    <row r="38" spans="1:6" ht="15.75" customHeight="1" x14ac:dyDescent="0.2">
      <c r="A38" s="78"/>
      <c r="B38" s="117"/>
      <c r="C38" s="117"/>
      <c r="D38" s="117"/>
      <c r="E38" s="117"/>
      <c r="F38" s="117"/>
    </row>
    <row r="39" spans="1:6" ht="15.75" customHeight="1" x14ac:dyDescent="0.2">
      <c r="A39" s="78"/>
      <c r="B39" s="117"/>
      <c r="C39" s="117"/>
      <c r="D39" s="117"/>
      <c r="E39" s="117"/>
      <c r="F39" s="117"/>
    </row>
    <row r="40" spans="1:6" ht="15.75" customHeight="1" x14ac:dyDescent="0.2">
      <c r="A40" s="78"/>
      <c r="B40" s="117"/>
      <c r="C40" s="117"/>
      <c r="D40" s="117"/>
      <c r="E40" s="117"/>
      <c r="F40" s="117"/>
    </row>
    <row r="41" spans="1:6" ht="15.75" customHeight="1" x14ac:dyDescent="0.2">
      <c r="A41" s="78"/>
      <c r="B41" s="117"/>
      <c r="C41" s="117"/>
      <c r="D41" s="117"/>
      <c r="E41" s="117"/>
      <c r="F41" s="117"/>
    </row>
    <row r="42" spans="1:6" ht="15.75" customHeight="1" x14ac:dyDescent="0.2">
      <c r="A42" s="78"/>
      <c r="B42" s="117"/>
      <c r="C42" s="117"/>
      <c r="D42" s="117"/>
      <c r="E42" s="117"/>
      <c r="F42" s="117"/>
    </row>
    <row r="43" spans="1:6" ht="15.75" customHeight="1" x14ac:dyDescent="0.2">
      <c r="A43" s="78"/>
      <c r="B43" s="117"/>
      <c r="C43" s="117"/>
      <c r="D43" s="117"/>
      <c r="E43" s="117"/>
      <c r="F43" s="117"/>
    </row>
    <row r="44" spans="1:6" ht="15.75" customHeight="1" x14ac:dyDescent="0.2">
      <c r="A44" s="78"/>
      <c r="B44" s="117"/>
      <c r="C44" s="117"/>
      <c r="D44" s="117"/>
      <c r="E44" s="117"/>
      <c r="F44" s="117"/>
    </row>
    <row r="45" spans="1:6" ht="15.75" customHeight="1" x14ac:dyDescent="0.2">
      <c r="A45" s="78"/>
      <c r="B45" s="117"/>
      <c r="C45" s="117"/>
      <c r="D45" s="117"/>
      <c r="E45" s="117"/>
      <c r="F45" s="117"/>
    </row>
    <row r="46" spans="1:6" ht="15.75" customHeight="1" x14ac:dyDescent="0.2">
      <c r="A46" s="78"/>
      <c r="B46" s="117"/>
      <c r="C46" s="117"/>
      <c r="D46" s="117"/>
      <c r="E46" s="117"/>
      <c r="F46" s="117"/>
    </row>
    <row r="47" spans="1:6" ht="15.75" customHeight="1" x14ac:dyDescent="0.2">
      <c r="A47" s="78"/>
      <c r="B47" s="117"/>
      <c r="C47" s="117"/>
      <c r="D47" s="117"/>
      <c r="E47" s="117"/>
      <c r="F47" s="117"/>
    </row>
    <row r="48" spans="1:6" ht="15.75" customHeight="1" x14ac:dyDescent="0.2">
      <c r="A48" s="78"/>
      <c r="B48" s="117"/>
      <c r="C48" s="117"/>
      <c r="D48" s="117"/>
      <c r="E48" s="117"/>
      <c r="F48" s="117"/>
    </row>
    <row r="49" spans="1:6" ht="15.75" customHeight="1" x14ac:dyDescent="0.2">
      <c r="A49" s="78"/>
      <c r="B49" s="117"/>
      <c r="C49" s="117"/>
      <c r="D49" s="117"/>
      <c r="E49" s="117"/>
      <c r="F49" s="117"/>
    </row>
    <row r="50" spans="1:6" ht="15.75" customHeight="1" x14ac:dyDescent="0.2">
      <c r="A50" s="78"/>
      <c r="B50" s="117"/>
      <c r="C50" s="117"/>
      <c r="D50" s="117"/>
      <c r="E50" s="117"/>
      <c r="F50" s="117"/>
    </row>
    <row r="51" spans="1:6" ht="15.75" customHeight="1" x14ac:dyDescent="0.2">
      <c r="A51" s="78"/>
      <c r="B51" s="117"/>
      <c r="C51" s="117"/>
      <c r="D51" s="117"/>
      <c r="E51" s="117"/>
      <c r="F51" s="117"/>
    </row>
    <row r="52" spans="1:6" ht="15.75" customHeight="1" x14ac:dyDescent="0.2">
      <c r="A52" s="78"/>
      <c r="B52" s="117"/>
      <c r="C52" s="117"/>
      <c r="D52" s="117"/>
      <c r="E52" s="117"/>
      <c r="F52" s="117"/>
    </row>
    <row r="53" spans="1:6" ht="15.75" customHeight="1" x14ac:dyDescent="0.2">
      <c r="A53" s="78"/>
      <c r="B53" s="117"/>
      <c r="C53" s="117"/>
      <c r="D53" s="117"/>
      <c r="E53" s="117"/>
      <c r="F53" s="117"/>
    </row>
    <row r="54" spans="1:6" ht="15.75" customHeight="1" x14ac:dyDescent="0.2">
      <c r="A54" s="78"/>
      <c r="B54" s="117"/>
      <c r="C54" s="117"/>
      <c r="D54" s="117"/>
      <c r="E54" s="117"/>
      <c r="F54" s="117"/>
    </row>
    <row r="55" spans="1:6" ht="15.75" customHeight="1" x14ac:dyDescent="0.2">
      <c r="A55" s="78"/>
      <c r="B55" s="117"/>
      <c r="C55" s="117"/>
      <c r="D55" s="117"/>
      <c r="E55" s="117"/>
      <c r="F55" s="117"/>
    </row>
    <row r="56" spans="1:6" ht="15.75" customHeight="1" x14ac:dyDescent="0.2">
      <c r="A56" s="78"/>
      <c r="B56" s="117"/>
      <c r="C56" s="117"/>
      <c r="D56" s="117"/>
      <c r="E56" s="117"/>
      <c r="F56" s="117"/>
    </row>
    <row r="57" spans="1:6" ht="15.75" customHeight="1" x14ac:dyDescent="0.2">
      <c r="A57" s="78"/>
      <c r="B57" s="117"/>
      <c r="C57" s="117"/>
      <c r="D57" s="117"/>
      <c r="E57" s="117"/>
      <c r="F57" s="117"/>
    </row>
    <row r="58" spans="1:6" ht="15.75" customHeight="1" x14ac:dyDescent="0.2">
      <c r="A58" s="78"/>
      <c r="B58" s="117"/>
      <c r="C58" s="117"/>
      <c r="D58" s="117"/>
      <c r="E58" s="117"/>
      <c r="F58" s="117"/>
    </row>
    <row r="59" spans="1:6" ht="15.75" customHeight="1" x14ac:dyDescent="0.2">
      <c r="A59" s="78"/>
      <c r="B59" s="117"/>
      <c r="C59" s="117"/>
      <c r="D59" s="117"/>
      <c r="E59" s="117"/>
      <c r="F59" s="117"/>
    </row>
    <row r="60" spans="1:6" ht="15.75" customHeight="1" x14ac:dyDescent="0.2">
      <c r="A60" s="78"/>
      <c r="B60" s="117"/>
      <c r="C60" s="117"/>
      <c r="D60" s="117"/>
      <c r="E60" s="117"/>
      <c r="F60" s="117"/>
    </row>
    <row r="61" spans="1:6" ht="15.75" customHeight="1" x14ac:dyDescent="0.2">
      <c r="A61" s="78"/>
      <c r="B61" s="117"/>
      <c r="C61" s="117"/>
      <c r="D61" s="117"/>
      <c r="E61" s="117"/>
      <c r="F61" s="117"/>
    </row>
    <row r="62" spans="1:6" ht="15.75" customHeight="1" x14ac:dyDescent="0.2">
      <c r="A62" s="78"/>
      <c r="B62" s="117"/>
      <c r="C62" s="117"/>
      <c r="D62" s="117"/>
      <c r="E62" s="117"/>
      <c r="F62" s="117"/>
    </row>
    <row r="63" spans="1:6" ht="15.75" customHeight="1" x14ac:dyDescent="0.2">
      <c r="A63" s="78"/>
      <c r="B63" s="117"/>
      <c r="C63" s="117"/>
      <c r="D63" s="117"/>
      <c r="E63" s="117"/>
      <c r="F63" s="117"/>
    </row>
    <row r="64" spans="1:6" ht="15.75" customHeight="1" x14ac:dyDescent="0.2">
      <c r="A64" s="78"/>
      <c r="B64" s="117"/>
      <c r="C64" s="117"/>
      <c r="D64" s="117"/>
      <c r="E64" s="117"/>
      <c r="F64" s="117"/>
    </row>
    <row r="65" spans="1:6" ht="15.75" customHeight="1" x14ac:dyDescent="0.2">
      <c r="A65" s="78"/>
      <c r="B65" s="117"/>
      <c r="C65" s="117"/>
      <c r="D65" s="117"/>
      <c r="E65" s="117"/>
      <c r="F65" s="117"/>
    </row>
    <row r="66" spans="1:6" ht="15.75" customHeight="1" x14ac:dyDescent="0.2">
      <c r="A66" s="78"/>
      <c r="B66" s="117"/>
      <c r="C66" s="117"/>
      <c r="D66" s="117"/>
      <c r="E66" s="117"/>
      <c r="F66" s="117"/>
    </row>
    <row r="67" spans="1:6" ht="15.75" customHeight="1" x14ac:dyDescent="0.2">
      <c r="A67" s="78"/>
      <c r="B67" s="117"/>
      <c r="C67" s="117"/>
      <c r="D67" s="117"/>
      <c r="E67" s="117"/>
      <c r="F67" s="117"/>
    </row>
    <row r="68" spans="1:6" ht="15.75" customHeight="1" x14ac:dyDescent="0.2">
      <c r="A68" s="78"/>
      <c r="B68" s="117"/>
      <c r="C68" s="117"/>
      <c r="D68" s="117"/>
      <c r="E68" s="117"/>
      <c r="F68" s="117"/>
    </row>
    <row r="69" spans="1:6" ht="15.75" customHeight="1" x14ac:dyDescent="0.2">
      <c r="A69" s="78"/>
      <c r="B69" s="117"/>
      <c r="C69" s="117"/>
      <c r="D69" s="117"/>
      <c r="E69" s="117"/>
      <c r="F69" s="117"/>
    </row>
    <row r="70" spans="1:6" ht="15.75" customHeight="1" x14ac:dyDescent="0.2">
      <c r="A70" s="78"/>
      <c r="B70" s="117"/>
      <c r="C70" s="117"/>
      <c r="D70" s="117"/>
      <c r="E70" s="117"/>
      <c r="F70" s="117"/>
    </row>
    <row r="71" spans="1:6" ht="15.75" customHeight="1" x14ac:dyDescent="0.2">
      <c r="A71" s="78"/>
      <c r="B71" s="117"/>
      <c r="C71" s="117"/>
      <c r="D71" s="117"/>
      <c r="E71" s="117"/>
      <c r="F71" s="117"/>
    </row>
    <row r="72" spans="1:6" ht="15.75" customHeight="1" x14ac:dyDescent="0.2">
      <c r="A72" s="78"/>
      <c r="B72" s="117"/>
      <c r="C72" s="117"/>
      <c r="D72" s="117"/>
      <c r="E72" s="117"/>
      <c r="F72" s="117"/>
    </row>
    <row r="73" spans="1:6" ht="15.75" customHeight="1" x14ac:dyDescent="0.2">
      <c r="A73" s="78"/>
      <c r="B73" s="117"/>
      <c r="C73" s="117"/>
      <c r="D73" s="117"/>
      <c r="E73" s="117"/>
      <c r="F73" s="117"/>
    </row>
    <row r="74" spans="1:6" ht="15.75" customHeight="1" x14ac:dyDescent="0.2">
      <c r="A74" s="78"/>
      <c r="B74" s="117"/>
      <c r="C74" s="117"/>
      <c r="D74" s="117"/>
      <c r="E74" s="117"/>
      <c r="F74" s="117"/>
    </row>
    <row r="75" spans="1:6" ht="15.75" customHeight="1" x14ac:dyDescent="0.2">
      <c r="A75" s="78"/>
      <c r="B75" s="117"/>
      <c r="C75" s="117"/>
      <c r="D75" s="117"/>
      <c r="E75" s="117"/>
      <c r="F75" s="117"/>
    </row>
    <row r="76" spans="1:6" ht="15.75" customHeight="1" x14ac:dyDescent="0.2">
      <c r="A76" s="78"/>
      <c r="B76" s="117"/>
      <c r="C76" s="117"/>
      <c r="D76" s="117"/>
      <c r="E76" s="117"/>
      <c r="F76" s="117"/>
    </row>
    <row r="77" spans="1:6" ht="15.75" customHeight="1" x14ac:dyDescent="0.2">
      <c r="A77" s="78"/>
      <c r="B77" s="117"/>
      <c r="C77" s="117"/>
      <c r="D77" s="117"/>
      <c r="E77" s="117"/>
      <c r="F77" s="117"/>
    </row>
    <row r="78" spans="1:6" ht="15.75" customHeight="1" x14ac:dyDescent="0.2">
      <c r="A78" s="78"/>
      <c r="B78" s="117"/>
      <c r="C78" s="117"/>
      <c r="D78" s="117"/>
      <c r="E78" s="117"/>
      <c r="F78" s="117"/>
    </row>
    <row r="79" spans="1:6" ht="15.75" customHeight="1" x14ac:dyDescent="0.2">
      <c r="A79" s="78"/>
      <c r="B79" s="117"/>
      <c r="C79" s="117"/>
      <c r="D79" s="117"/>
      <c r="E79" s="117"/>
      <c r="F79" s="117"/>
    </row>
    <row r="80" spans="1:6" ht="15.75" customHeight="1" x14ac:dyDescent="0.2">
      <c r="A80" s="78"/>
      <c r="B80" s="117"/>
      <c r="C80" s="117"/>
      <c r="D80" s="117"/>
      <c r="E80" s="117"/>
      <c r="F80" s="117"/>
    </row>
    <row r="81" spans="1:6" ht="15.75" customHeight="1" x14ac:dyDescent="0.2">
      <c r="A81" s="78"/>
      <c r="B81" s="117"/>
      <c r="C81" s="117"/>
      <c r="D81" s="117"/>
      <c r="E81" s="117"/>
      <c r="F81" s="117"/>
    </row>
    <row r="82" spans="1:6" ht="15.75" customHeight="1" x14ac:dyDescent="0.2">
      <c r="A82" s="78"/>
      <c r="B82" s="117"/>
      <c r="C82" s="117"/>
      <c r="D82" s="117"/>
      <c r="E82" s="117"/>
      <c r="F82" s="117"/>
    </row>
    <row r="83" spans="1:6" ht="15.75" customHeight="1" x14ac:dyDescent="0.2">
      <c r="A83" s="78"/>
      <c r="B83" s="117"/>
      <c r="C83" s="117"/>
      <c r="D83" s="117"/>
      <c r="E83" s="117"/>
      <c r="F83" s="117"/>
    </row>
    <row r="84" spans="1:6" ht="15.75" customHeight="1" x14ac:dyDescent="0.2">
      <c r="A84" s="78"/>
      <c r="B84" s="117"/>
      <c r="C84" s="117"/>
      <c r="D84" s="117"/>
      <c r="E84" s="117"/>
      <c r="F84" s="117"/>
    </row>
    <row r="85" spans="1:6" ht="15.75" customHeight="1" x14ac:dyDescent="0.2">
      <c r="A85" s="78"/>
      <c r="B85" s="117"/>
      <c r="C85" s="117"/>
      <c r="D85" s="117"/>
      <c r="E85" s="117"/>
      <c r="F85" s="117"/>
    </row>
    <row r="86" spans="1:6" ht="15.75" customHeight="1" x14ac:dyDescent="0.2">
      <c r="A86" s="78"/>
      <c r="B86" s="117"/>
      <c r="C86" s="117"/>
      <c r="D86" s="117"/>
      <c r="E86" s="117"/>
      <c r="F86" s="117"/>
    </row>
    <row r="87" spans="1:6" ht="15.75" customHeight="1" x14ac:dyDescent="0.2">
      <c r="A87" s="78"/>
      <c r="B87" s="117"/>
      <c r="C87" s="117"/>
      <c r="D87" s="117"/>
      <c r="E87" s="117"/>
      <c r="F87" s="117"/>
    </row>
    <row r="88" spans="1:6" ht="15.75" customHeight="1" x14ac:dyDescent="0.2">
      <c r="A88" s="78"/>
      <c r="B88" s="117"/>
      <c r="C88" s="117"/>
      <c r="D88" s="117"/>
      <c r="E88" s="117"/>
      <c r="F88" s="117"/>
    </row>
    <row r="89" spans="1:6" ht="15.75" customHeight="1" x14ac:dyDescent="0.2">
      <c r="A89" s="78"/>
      <c r="B89" s="117"/>
      <c r="C89" s="117"/>
      <c r="D89" s="117"/>
      <c r="E89" s="117"/>
      <c r="F89" s="117"/>
    </row>
    <row r="90" spans="1:6" ht="15.75" customHeight="1" x14ac:dyDescent="0.2">
      <c r="A90" s="78"/>
      <c r="B90" s="117"/>
      <c r="C90" s="117"/>
      <c r="D90" s="117"/>
      <c r="E90" s="117"/>
      <c r="F90" s="117"/>
    </row>
    <row r="91" spans="1:6" ht="15.75" customHeight="1" x14ac:dyDescent="0.2">
      <c r="A91" s="78"/>
      <c r="B91" s="117"/>
      <c r="C91" s="117"/>
      <c r="D91" s="117"/>
      <c r="E91" s="117"/>
      <c r="F91" s="117"/>
    </row>
    <row r="92" spans="1:6" ht="15.75" customHeight="1" x14ac:dyDescent="0.2">
      <c r="A92" s="78"/>
      <c r="B92" s="117"/>
      <c r="C92" s="117"/>
      <c r="D92" s="117"/>
      <c r="E92" s="117"/>
      <c r="F92" s="117"/>
    </row>
    <row r="93" spans="1:6" ht="15.75" customHeight="1" x14ac:dyDescent="0.2">
      <c r="A93" s="78"/>
      <c r="B93" s="117"/>
      <c r="C93" s="117"/>
      <c r="D93" s="117"/>
      <c r="E93" s="117"/>
      <c r="F93" s="117"/>
    </row>
    <row r="94" spans="1:6" ht="15.75" customHeight="1" x14ac:dyDescent="0.2">
      <c r="A94" s="78"/>
      <c r="B94" s="117"/>
      <c r="C94" s="117"/>
      <c r="D94" s="117"/>
      <c r="E94" s="117"/>
      <c r="F94" s="117"/>
    </row>
    <row r="95" spans="1:6" ht="15.75" customHeight="1" x14ac:dyDescent="0.2">
      <c r="A95" s="78"/>
      <c r="B95" s="117"/>
      <c r="C95" s="117"/>
      <c r="D95" s="117"/>
      <c r="E95" s="117"/>
      <c r="F95" s="117"/>
    </row>
    <row r="96" spans="1:6" ht="15.75" customHeight="1" x14ac:dyDescent="0.2">
      <c r="A96" s="78"/>
      <c r="B96" s="117"/>
      <c r="C96" s="117"/>
      <c r="D96" s="117"/>
      <c r="E96" s="117"/>
      <c r="F96" s="117"/>
    </row>
    <row r="97" spans="1:6" ht="15.75" customHeight="1" x14ac:dyDescent="0.2">
      <c r="A97" s="78"/>
      <c r="B97" s="117"/>
      <c r="C97" s="117"/>
      <c r="D97" s="117"/>
      <c r="E97" s="117"/>
      <c r="F97" s="117"/>
    </row>
    <row r="98" spans="1:6" ht="15.75" customHeight="1" x14ac:dyDescent="0.2">
      <c r="A98" s="78"/>
      <c r="B98" s="117"/>
      <c r="C98" s="117"/>
      <c r="D98" s="117"/>
      <c r="E98" s="117"/>
      <c r="F98" s="117"/>
    </row>
    <row r="99" spans="1:6" ht="15.75" customHeight="1" x14ac:dyDescent="0.2">
      <c r="A99" s="78"/>
      <c r="B99" s="117"/>
      <c r="C99" s="117"/>
      <c r="D99" s="117"/>
      <c r="E99" s="117"/>
      <c r="F99" s="117"/>
    </row>
    <row r="100" spans="1:6" ht="15.75" customHeight="1" x14ac:dyDescent="0.2">
      <c r="A100" s="78"/>
      <c r="B100" s="117"/>
      <c r="C100" s="117"/>
      <c r="D100" s="117"/>
      <c r="E100" s="117"/>
      <c r="F100" s="117"/>
    </row>
    <row r="101" spans="1:6" ht="15.75" customHeight="1" x14ac:dyDescent="0.2">
      <c r="A101" s="78"/>
      <c r="B101" s="117"/>
      <c r="C101" s="117"/>
      <c r="D101" s="117"/>
      <c r="E101" s="117"/>
      <c r="F101" s="117"/>
    </row>
    <row r="102" spans="1:6" ht="15.75" customHeight="1" x14ac:dyDescent="0.2">
      <c r="A102" s="78"/>
      <c r="B102" s="117"/>
      <c r="C102" s="117"/>
      <c r="D102" s="117"/>
      <c r="E102" s="117"/>
      <c r="F102" s="117"/>
    </row>
    <row r="103" spans="1:6" ht="15.75" customHeight="1" x14ac:dyDescent="0.2">
      <c r="A103" s="78"/>
      <c r="B103" s="117"/>
      <c r="C103" s="117"/>
      <c r="D103" s="117"/>
      <c r="E103" s="117"/>
      <c r="F103" s="117"/>
    </row>
    <row r="104" spans="1:6" ht="15.75" customHeight="1" x14ac:dyDescent="0.2">
      <c r="A104" s="78"/>
      <c r="B104" s="117"/>
      <c r="C104" s="117"/>
      <c r="D104" s="117"/>
      <c r="E104" s="117"/>
      <c r="F104" s="117"/>
    </row>
    <row r="105" spans="1:6" ht="15.75" customHeight="1" x14ac:dyDescent="0.2">
      <c r="A105" s="78"/>
      <c r="B105" s="117"/>
      <c r="C105" s="117"/>
      <c r="D105" s="117"/>
      <c r="E105" s="117"/>
      <c r="F105" s="117"/>
    </row>
    <row r="106" spans="1:6" ht="15.75" customHeight="1" x14ac:dyDescent="0.2">
      <c r="A106" s="78"/>
      <c r="B106" s="117"/>
      <c r="C106" s="117"/>
      <c r="D106" s="117"/>
      <c r="E106" s="117"/>
      <c r="F106" s="117"/>
    </row>
    <row r="107" spans="1:6" ht="15.75" customHeight="1" x14ac:dyDescent="0.2">
      <c r="A107" s="78"/>
      <c r="B107" s="117"/>
      <c r="C107" s="117"/>
      <c r="D107" s="117"/>
      <c r="E107" s="117"/>
      <c r="F107" s="117"/>
    </row>
    <row r="108" spans="1:6" ht="15.75" customHeight="1" x14ac:dyDescent="0.2">
      <c r="A108" s="78"/>
      <c r="B108" s="117"/>
      <c r="C108" s="117"/>
      <c r="D108" s="117"/>
      <c r="E108" s="117"/>
      <c r="F108" s="117"/>
    </row>
    <row r="109" spans="1:6" ht="15.75" customHeight="1" x14ac:dyDescent="0.2">
      <c r="A109" s="78"/>
      <c r="B109" s="117"/>
      <c r="C109" s="117"/>
      <c r="D109" s="117"/>
      <c r="E109" s="117"/>
      <c r="F109" s="117"/>
    </row>
    <row r="110" spans="1:6" ht="15.75" customHeight="1" x14ac:dyDescent="0.2">
      <c r="A110" s="78"/>
      <c r="B110" s="117"/>
      <c r="C110" s="117"/>
      <c r="D110" s="117"/>
      <c r="E110" s="117"/>
      <c r="F110" s="117"/>
    </row>
    <row r="111" spans="1:6" ht="15.75" customHeight="1" x14ac:dyDescent="0.2">
      <c r="A111" s="78"/>
      <c r="B111" s="117"/>
      <c r="C111" s="117"/>
      <c r="D111" s="117"/>
      <c r="E111" s="117"/>
      <c r="F111" s="117"/>
    </row>
    <row r="112" spans="1:6" ht="15.75" customHeight="1" x14ac:dyDescent="0.2">
      <c r="A112" s="78"/>
      <c r="B112" s="117"/>
      <c r="C112" s="117"/>
      <c r="D112" s="117"/>
      <c r="E112" s="117"/>
      <c r="F112" s="117"/>
    </row>
    <row r="113" spans="1:6" ht="15.75" customHeight="1" x14ac:dyDescent="0.2">
      <c r="A113" s="78"/>
      <c r="B113" s="117"/>
      <c r="C113" s="117"/>
      <c r="D113" s="117"/>
      <c r="E113" s="117"/>
      <c r="F113" s="117"/>
    </row>
    <row r="114" spans="1:6" ht="15.75" customHeight="1" x14ac:dyDescent="0.2">
      <c r="A114" s="78"/>
      <c r="B114" s="117"/>
      <c r="C114" s="117"/>
      <c r="D114" s="117"/>
      <c r="E114" s="117"/>
      <c r="F114" s="117"/>
    </row>
    <row r="115" spans="1:6" ht="15.75" customHeight="1" x14ac:dyDescent="0.2">
      <c r="A115" s="78"/>
      <c r="B115" s="117"/>
      <c r="C115" s="117"/>
      <c r="D115" s="117"/>
      <c r="E115" s="117"/>
      <c r="F115" s="117"/>
    </row>
    <row r="116" spans="1:6" ht="15.75" customHeight="1" x14ac:dyDescent="0.2">
      <c r="A116" s="78"/>
      <c r="B116" s="117"/>
      <c r="C116" s="117"/>
      <c r="D116" s="117"/>
      <c r="E116" s="117"/>
      <c r="F116" s="117"/>
    </row>
    <row r="117" spans="1:6" ht="15.75" customHeight="1" x14ac:dyDescent="0.2">
      <c r="A117" s="78"/>
      <c r="B117" s="117"/>
      <c r="C117" s="117"/>
      <c r="D117" s="117"/>
      <c r="E117" s="117"/>
      <c r="F117" s="117"/>
    </row>
    <row r="118" spans="1:6" ht="15.75" customHeight="1" x14ac:dyDescent="0.2">
      <c r="A118" s="78"/>
      <c r="B118" s="117"/>
      <c r="C118" s="117"/>
      <c r="D118" s="117"/>
      <c r="E118" s="117"/>
      <c r="F118" s="117"/>
    </row>
    <row r="119" spans="1:6" ht="15.75" customHeight="1" x14ac:dyDescent="0.2">
      <c r="A119" s="78"/>
      <c r="B119" s="117"/>
      <c r="C119" s="117"/>
      <c r="D119" s="117"/>
      <c r="E119" s="117"/>
      <c r="F119" s="117"/>
    </row>
    <row r="120" spans="1:6" ht="15.75" customHeight="1" x14ac:dyDescent="0.2">
      <c r="A120" s="78"/>
      <c r="B120" s="117"/>
      <c r="C120" s="117"/>
      <c r="D120" s="117"/>
      <c r="E120" s="117"/>
      <c r="F120" s="117"/>
    </row>
    <row r="121" spans="1:6" ht="15.75" customHeight="1" x14ac:dyDescent="0.2">
      <c r="A121" s="78"/>
      <c r="B121" s="117"/>
      <c r="C121" s="117"/>
      <c r="D121" s="117"/>
      <c r="E121" s="117"/>
      <c r="F121" s="117"/>
    </row>
    <row r="122" spans="1:6" ht="15.75" customHeight="1" x14ac:dyDescent="0.2">
      <c r="A122" s="78"/>
      <c r="B122" s="117"/>
      <c r="C122" s="117"/>
      <c r="D122" s="117"/>
      <c r="E122" s="117"/>
      <c r="F122" s="117"/>
    </row>
    <row r="123" spans="1:6" ht="15.75" customHeight="1" x14ac:dyDescent="0.2">
      <c r="A123" s="78"/>
      <c r="B123" s="117"/>
      <c r="C123" s="117"/>
      <c r="D123" s="117"/>
      <c r="E123" s="117"/>
      <c r="F123" s="117"/>
    </row>
    <row r="124" spans="1:6" ht="15.75" customHeight="1" x14ac:dyDescent="0.2">
      <c r="A124" s="78"/>
      <c r="B124" s="117"/>
      <c r="C124" s="117"/>
      <c r="D124" s="117"/>
      <c r="E124" s="117"/>
      <c r="F124" s="117"/>
    </row>
    <row r="125" spans="1:6" ht="15.75" customHeight="1" x14ac:dyDescent="0.2">
      <c r="A125" s="78"/>
      <c r="B125" s="117"/>
      <c r="C125" s="117"/>
      <c r="D125" s="117"/>
      <c r="E125" s="117"/>
      <c r="F125" s="117"/>
    </row>
    <row r="126" spans="1:6" ht="15.75" customHeight="1" x14ac:dyDescent="0.2">
      <c r="A126" s="78"/>
      <c r="B126" s="117"/>
      <c r="C126" s="117"/>
      <c r="D126" s="117"/>
      <c r="E126" s="117"/>
      <c r="F126" s="117"/>
    </row>
    <row r="127" spans="1:6" ht="15.75" customHeight="1" x14ac:dyDescent="0.2">
      <c r="A127" s="78"/>
      <c r="B127" s="117"/>
      <c r="C127" s="117"/>
      <c r="D127" s="117"/>
      <c r="E127" s="117"/>
      <c r="F127" s="117"/>
    </row>
    <row r="128" spans="1:6" ht="15.75" customHeight="1" x14ac:dyDescent="0.2">
      <c r="A128" s="78"/>
      <c r="B128" s="117"/>
      <c r="C128" s="117"/>
      <c r="D128" s="117"/>
      <c r="E128" s="117"/>
      <c r="F128" s="117"/>
    </row>
    <row r="129" spans="1:6" ht="15.75" customHeight="1" x14ac:dyDescent="0.2">
      <c r="A129" s="78"/>
      <c r="B129" s="117"/>
      <c r="C129" s="117"/>
      <c r="D129" s="117"/>
      <c r="E129" s="117"/>
      <c r="F129" s="117"/>
    </row>
    <row r="130" spans="1:6" ht="15.75" customHeight="1" x14ac:dyDescent="0.2">
      <c r="A130" s="78"/>
      <c r="B130" s="117"/>
      <c r="C130" s="117"/>
      <c r="D130" s="117"/>
      <c r="E130" s="117"/>
      <c r="F130" s="117"/>
    </row>
    <row r="131" spans="1:6" ht="15.75" customHeight="1" x14ac:dyDescent="0.2">
      <c r="A131" s="78"/>
      <c r="B131" s="117"/>
      <c r="C131" s="117"/>
      <c r="D131" s="117"/>
      <c r="E131" s="117"/>
      <c r="F131" s="117"/>
    </row>
    <row r="132" spans="1:6" ht="15.75" customHeight="1" x14ac:dyDescent="0.2">
      <c r="A132" s="78"/>
      <c r="B132" s="117"/>
      <c r="C132" s="117"/>
      <c r="D132" s="117"/>
      <c r="E132" s="117"/>
      <c r="F132" s="117"/>
    </row>
    <row r="133" spans="1:6" ht="15.75" customHeight="1" x14ac:dyDescent="0.2">
      <c r="A133" s="78"/>
      <c r="B133" s="117"/>
      <c r="C133" s="117"/>
      <c r="D133" s="117"/>
      <c r="E133" s="117"/>
      <c r="F133" s="117"/>
    </row>
    <row r="134" spans="1:6" ht="15.75" customHeight="1" x14ac:dyDescent="0.2">
      <c r="A134" s="78"/>
      <c r="B134" s="117"/>
      <c r="C134" s="117"/>
      <c r="D134" s="117"/>
      <c r="E134" s="117"/>
      <c r="F134" s="117"/>
    </row>
    <row r="135" spans="1:6" ht="15.75" customHeight="1" x14ac:dyDescent="0.2">
      <c r="A135" s="78"/>
      <c r="B135" s="117"/>
      <c r="C135" s="117"/>
      <c r="D135" s="117"/>
      <c r="E135" s="117"/>
      <c r="F135" s="117"/>
    </row>
    <row r="136" spans="1:6" ht="15.75" customHeight="1" x14ac:dyDescent="0.2">
      <c r="A136" s="78"/>
      <c r="B136" s="117"/>
      <c r="C136" s="117"/>
      <c r="D136" s="117"/>
      <c r="E136" s="117"/>
      <c r="F136" s="117"/>
    </row>
    <row r="137" spans="1:6" ht="15.75" customHeight="1" x14ac:dyDescent="0.2">
      <c r="A137" s="78"/>
      <c r="B137" s="117"/>
      <c r="C137" s="117"/>
      <c r="D137" s="117"/>
      <c r="E137" s="117"/>
      <c r="F137" s="117"/>
    </row>
    <row r="138" spans="1:6" ht="15.75" customHeight="1" x14ac:dyDescent="0.2">
      <c r="A138" s="78"/>
      <c r="B138" s="117"/>
      <c r="C138" s="117"/>
      <c r="D138" s="117"/>
      <c r="E138" s="117"/>
      <c r="F138" s="117"/>
    </row>
    <row r="139" spans="1:6" ht="15.75" customHeight="1" x14ac:dyDescent="0.2">
      <c r="A139" s="78"/>
      <c r="B139" s="117"/>
      <c r="C139" s="117"/>
      <c r="D139" s="117"/>
      <c r="E139" s="117"/>
      <c r="F139" s="117"/>
    </row>
    <row r="140" spans="1:6" ht="15.75" customHeight="1" x14ac:dyDescent="0.2">
      <c r="A140" s="78"/>
      <c r="B140" s="117"/>
      <c r="C140" s="117"/>
      <c r="D140" s="117"/>
      <c r="E140" s="117"/>
      <c r="F140" s="117"/>
    </row>
    <row r="141" spans="1:6" ht="15.75" customHeight="1" x14ac:dyDescent="0.2">
      <c r="A141" s="78"/>
      <c r="B141" s="117"/>
      <c r="C141" s="117"/>
      <c r="D141" s="117"/>
      <c r="E141" s="117"/>
      <c r="F141" s="117"/>
    </row>
    <row r="142" spans="1:6" ht="15.75" customHeight="1" x14ac:dyDescent="0.2">
      <c r="A142" s="78"/>
      <c r="B142" s="117"/>
      <c r="C142" s="117"/>
      <c r="D142" s="117"/>
      <c r="E142" s="117"/>
      <c r="F142" s="117"/>
    </row>
    <row r="143" spans="1:6" ht="15.75" customHeight="1" x14ac:dyDescent="0.2">
      <c r="A143" s="78"/>
      <c r="B143" s="117"/>
      <c r="C143" s="117"/>
      <c r="D143" s="117"/>
      <c r="E143" s="117"/>
      <c r="F143" s="117"/>
    </row>
    <row r="144" spans="1:6" ht="15.75" customHeight="1" x14ac:dyDescent="0.2">
      <c r="A144" s="78"/>
      <c r="B144" s="117"/>
      <c r="C144" s="117"/>
      <c r="D144" s="117"/>
      <c r="E144" s="117"/>
      <c r="F144" s="117"/>
    </row>
    <row r="145" spans="1:6" ht="15.75" customHeight="1" x14ac:dyDescent="0.2">
      <c r="A145" s="78"/>
      <c r="B145" s="117"/>
      <c r="C145" s="117"/>
      <c r="D145" s="117"/>
      <c r="E145" s="117"/>
      <c r="F145" s="117"/>
    </row>
    <row r="146" spans="1:6" ht="15.75" customHeight="1" x14ac:dyDescent="0.2">
      <c r="A146" s="78"/>
      <c r="B146" s="117"/>
      <c r="C146" s="117"/>
      <c r="D146" s="117"/>
      <c r="E146" s="117"/>
      <c r="F146" s="117"/>
    </row>
    <row r="147" spans="1:6" ht="15.75" customHeight="1" x14ac:dyDescent="0.2">
      <c r="A147" s="78"/>
      <c r="B147" s="117"/>
      <c r="C147" s="117"/>
      <c r="D147" s="117"/>
      <c r="E147" s="117"/>
      <c r="F147" s="117"/>
    </row>
    <row r="148" spans="1:6" ht="15.75" customHeight="1" x14ac:dyDescent="0.2">
      <c r="A148" s="78"/>
      <c r="B148" s="117"/>
      <c r="C148" s="117"/>
      <c r="D148" s="117"/>
      <c r="E148" s="117"/>
      <c r="F148" s="117"/>
    </row>
    <row r="149" spans="1:6" ht="15.75" customHeight="1" x14ac:dyDescent="0.2">
      <c r="A149" s="78"/>
      <c r="B149" s="117"/>
      <c r="C149" s="117"/>
      <c r="D149" s="117"/>
      <c r="E149" s="117"/>
      <c r="F149" s="117"/>
    </row>
    <row r="150" spans="1:6" ht="15.75" customHeight="1" x14ac:dyDescent="0.2">
      <c r="A150" s="78"/>
      <c r="B150" s="117"/>
      <c r="C150" s="117"/>
      <c r="D150" s="117"/>
      <c r="E150" s="117"/>
      <c r="F150" s="117"/>
    </row>
    <row r="151" spans="1:6" ht="15.75" customHeight="1" x14ac:dyDescent="0.2">
      <c r="A151" s="78"/>
      <c r="B151" s="117"/>
      <c r="C151" s="117"/>
      <c r="D151" s="117"/>
      <c r="E151" s="117"/>
      <c r="F151" s="117"/>
    </row>
    <row r="152" spans="1:6" ht="15.75" customHeight="1" x14ac:dyDescent="0.2">
      <c r="A152" s="78"/>
      <c r="B152" s="117"/>
      <c r="C152" s="117"/>
      <c r="D152" s="117"/>
      <c r="E152" s="117"/>
      <c r="F152" s="117"/>
    </row>
    <row r="153" spans="1:6" ht="15.75" customHeight="1" x14ac:dyDescent="0.2">
      <c r="A153" s="78"/>
      <c r="B153" s="117"/>
      <c r="C153" s="117"/>
      <c r="D153" s="117"/>
      <c r="E153" s="117"/>
      <c r="F153" s="117"/>
    </row>
    <row r="154" spans="1:6" ht="15.75" customHeight="1" x14ac:dyDescent="0.2">
      <c r="A154" s="78"/>
      <c r="B154" s="117"/>
      <c r="C154" s="117"/>
      <c r="D154" s="117"/>
      <c r="E154" s="117"/>
      <c r="F154" s="117"/>
    </row>
    <row r="155" spans="1:6" ht="15.75" customHeight="1" x14ac:dyDescent="0.2">
      <c r="A155" s="78"/>
      <c r="B155" s="117"/>
      <c r="C155" s="117"/>
      <c r="D155" s="117"/>
      <c r="E155" s="117"/>
      <c r="F155" s="117"/>
    </row>
    <row r="156" spans="1:6" ht="15.75" customHeight="1" x14ac:dyDescent="0.2">
      <c r="A156" s="78"/>
      <c r="B156" s="117"/>
      <c r="C156" s="117"/>
      <c r="D156" s="117"/>
      <c r="E156" s="117"/>
      <c r="F156" s="117"/>
    </row>
    <row r="157" spans="1:6" ht="15.75" customHeight="1" x14ac:dyDescent="0.2">
      <c r="A157" s="78"/>
      <c r="B157" s="117"/>
      <c r="C157" s="117"/>
      <c r="D157" s="117"/>
      <c r="E157" s="117"/>
      <c r="F157" s="117"/>
    </row>
    <row r="158" spans="1:6" ht="15.75" customHeight="1" x14ac:dyDescent="0.2">
      <c r="A158" s="78"/>
      <c r="B158" s="117"/>
      <c r="C158" s="117"/>
      <c r="D158" s="117"/>
      <c r="E158" s="117"/>
      <c r="F158" s="117"/>
    </row>
    <row r="159" spans="1:6" ht="15.75" customHeight="1" x14ac:dyDescent="0.2">
      <c r="A159" s="78"/>
      <c r="B159" s="117"/>
      <c r="C159" s="117"/>
      <c r="D159" s="117"/>
      <c r="E159" s="117"/>
      <c r="F159" s="117"/>
    </row>
    <row r="160" spans="1:6" ht="15.75" customHeight="1" x14ac:dyDescent="0.2">
      <c r="A160" s="78"/>
      <c r="B160" s="117"/>
      <c r="C160" s="117"/>
      <c r="D160" s="117"/>
      <c r="E160" s="117"/>
      <c r="F160" s="117"/>
    </row>
    <row r="161" spans="1:6" ht="15.75" customHeight="1" x14ac:dyDescent="0.2">
      <c r="A161" s="78"/>
      <c r="B161" s="117"/>
      <c r="C161" s="117"/>
      <c r="D161" s="117"/>
      <c r="E161" s="117"/>
      <c r="F161" s="117"/>
    </row>
    <row r="162" spans="1:6" ht="15.75" customHeight="1" x14ac:dyDescent="0.2">
      <c r="A162" s="78"/>
      <c r="B162" s="117"/>
      <c r="C162" s="117"/>
      <c r="D162" s="117"/>
      <c r="E162" s="117"/>
      <c r="F162" s="117"/>
    </row>
    <row r="163" spans="1:6" ht="15.75" customHeight="1" x14ac:dyDescent="0.2">
      <c r="A163" s="78"/>
      <c r="B163" s="117"/>
      <c r="C163" s="117"/>
      <c r="D163" s="117"/>
      <c r="E163" s="117"/>
      <c r="F163" s="117"/>
    </row>
    <row r="164" spans="1:6" ht="15.75" customHeight="1" x14ac:dyDescent="0.2">
      <c r="A164" s="78"/>
      <c r="B164" s="117"/>
      <c r="C164" s="117"/>
      <c r="D164" s="117"/>
      <c r="E164" s="117"/>
      <c r="F164" s="117"/>
    </row>
    <row r="165" spans="1:6" ht="15.75" customHeight="1" x14ac:dyDescent="0.2">
      <c r="A165" s="78"/>
      <c r="B165" s="117"/>
      <c r="C165" s="117"/>
      <c r="D165" s="117"/>
      <c r="E165" s="117"/>
      <c r="F165" s="117"/>
    </row>
    <row r="166" spans="1:6" ht="15.75" customHeight="1" x14ac:dyDescent="0.2">
      <c r="A166" s="78"/>
      <c r="B166" s="117"/>
      <c r="C166" s="117"/>
      <c r="D166" s="117"/>
      <c r="E166" s="117"/>
      <c r="F166" s="117"/>
    </row>
    <row r="167" spans="1:6" ht="15.75" customHeight="1" x14ac:dyDescent="0.2">
      <c r="A167" s="78"/>
      <c r="B167" s="117"/>
      <c r="C167" s="117"/>
      <c r="D167" s="117"/>
      <c r="E167" s="117"/>
      <c r="F167" s="117"/>
    </row>
    <row r="168" spans="1:6" ht="15.75" customHeight="1" x14ac:dyDescent="0.2">
      <c r="A168" s="78"/>
      <c r="B168" s="117"/>
      <c r="C168" s="117"/>
      <c r="D168" s="117"/>
      <c r="E168" s="117"/>
      <c r="F168" s="117"/>
    </row>
    <row r="169" spans="1:6" ht="15.75" customHeight="1" x14ac:dyDescent="0.2">
      <c r="A169" s="78"/>
      <c r="B169" s="117"/>
      <c r="C169" s="117"/>
      <c r="D169" s="117"/>
      <c r="E169" s="117"/>
      <c r="F169" s="117"/>
    </row>
    <row r="170" spans="1:6" ht="15.75" customHeight="1" x14ac:dyDescent="0.2">
      <c r="A170" s="78"/>
      <c r="B170" s="117"/>
      <c r="C170" s="117"/>
      <c r="D170" s="117"/>
      <c r="E170" s="117"/>
      <c r="F170" s="117"/>
    </row>
    <row r="171" spans="1:6" ht="15.75" customHeight="1" x14ac:dyDescent="0.2">
      <c r="A171" s="78"/>
      <c r="B171" s="117"/>
      <c r="C171" s="117"/>
      <c r="D171" s="117"/>
      <c r="E171" s="117"/>
      <c r="F171" s="117"/>
    </row>
    <row r="172" spans="1:6" ht="15.75" customHeight="1" x14ac:dyDescent="0.2">
      <c r="A172" s="78"/>
      <c r="B172" s="117"/>
      <c r="C172" s="117"/>
      <c r="D172" s="117"/>
      <c r="E172" s="117"/>
      <c r="F172" s="117"/>
    </row>
    <row r="173" spans="1:6" ht="15.75" customHeight="1" x14ac:dyDescent="0.2">
      <c r="A173" s="78"/>
      <c r="B173" s="117"/>
      <c r="C173" s="117"/>
      <c r="D173" s="117"/>
      <c r="E173" s="117"/>
      <c r="F173" s="117"/>
    </row>
    <row r="174" spans="1:6" ht="15.75" customHeight="1" x14ac:dyDescent="0.2">
      <c r="A174" s="78"/>
      <c r="B174" s="117"/>
      <c r="C174" s="117"/>
      <c r="D174" s="117"/>
      <c r="E174" s="117"/>
      <c r="F174" s="117"/>
    </row>
    <row r="175" spans="1:6" ht="15.75" customHeight="1" x14ac:dyDescent="0.2">
      <c r="A175" s="78"/>
      <c r="B175" s="117"/>
      <c r="C175" s="117"/>
      <c r="D175" s="117"/>
      <c r="E175" s="117"/>
      <c r="F175" s="117"/>
    </row>
    <row r="176" spans="1:6" ht="15.75" customHeight="1" x14ac:dyDescent="0.2">
      <c r="A176" s="78"/>
      <c r="B176" s="117"/>
      <c r="C176" s="117"/>
      <c r="D176" s="117"/>
      <c r="E176" s="117"/>
      <c r="F176" s="117"/>
    </row>
    <row r="177" spans="1:6" ht="15.75" customHeight="1" x14ac:dyDescent="0.2">
      <c r="A177" s="78"/>
      <c r="B177" s="117"/>
      <c r="C177" s="117"/>
      <c r="D177" s="117"/>
      <c r="E177" s="117"/>
      <c r="F177" s="117"/>
    </row>
    <row r="178" spans="1:6" ht="15.75" customHeight="1" x14ac:dyDescent="0.2">
      <c r="A178" s="78"/>
      <c r="B178" s="117"/>
      <c r="C178" s="117"/>
      <c r="D178" s="117"/>
      <c r="E178" s="117"/>
      <c r="F178" s="117"/>
    </row>
    <row r="179" spans="1:6" ht="15.75" customHeight="1" x14ac:dyDescent="0.2">
      <c r="A179" s="78"/>
      <c r="B179" s="117"/>
      <c r="C179" s="117"/>
      <c r="D179" s="117"/>
      <c r="E179" s="117"/>
      <c r="F179" s="117"/>
    </row>
    <row r="180" spans="1:6" ht="15.75" customHeight="1" x14ac:dyDescent="0.2">
      <c r="A180" s="78"/>
      <c r="B180" s="117"/>
      <c r="C180" s="117"/>
      <c r="D180" s="117"/>
      <c r="E180" s="117"/>
      <c r="F180" s="117"/>
    </row>
    <row r="181" spans="1:6" ht="15.75" customHeight="1" x14ac:dyDescent="0.2">
      <c r="A181" s="78"/>
      <c r="B181" s="117"/>
      <c r="C181" s="117"/>
      <c r="D181" s="117"/>
      <c r="E181" s="117"/>
      <c r="F181" s="117"/>
    </row>
    <row r="182" spans="1:6" ht="15.75" customHeight="1" x14ac:dyDescent="0.2">
      <c r="A182" s="78"/>
      <c r="B182" s="117"/>
      <c r="C182" s="117"/>
      <c r="D182" s="117"/>
      <c r="E182" s="117"/>
      <c r="F182" s="117"/>
    </row>
    <row r="183" spans="1:6" ht="15.75" customHeight="1" x14ac:dyDescent="0.2">
      <c r="A183" s="78"/>
      <c r="B183" s="117"/>
      <c r="C183" s="117"/>
      <c r="D183" s="117"/>
      <c r="E183" s="117"/>
      <c r="F183" s="117"/>
    </row>
    <row r="184" spans="1:6" ht="15.75" customHeight="1" x14ac:dyDescent="0.2">
      <c r="A184" s="78"/>
      <c r="B184" s="117"/>
      <c r="C184" s="117"/>
      <c r="D184" s="117"/>
      <c r="E184" s="117"/>
      <c r="F184" s="117"/>
    </row>
    <row r="185" spans="1:6" ht="15.75" customHeight="1" x14ac:dyDescent="0.2">
      <c r="A185" s="78"/>
      <c r="B185" s="117"/>
      <c r="C185" s="117"/>
      <c r="D185" s="117"/>
      <c r="E185" s="117"/>
      <c r="F185" s="117"/>
    </row>
    <row r="186" spans="1:6" ht="15.75" customHeight="1" x14ac:dyDescent="0.2">
      <c r="A186" s="78"/>
      <c r="B186" s="117"/>
      <c r="C186" s="117"/>
      <c r="D186" s="117"/>
      <c r="E186" s="117"/>
      <c r="F186" s="117"/>
    </row>
    <row r="187" spans="1:6" ht="15.75" customHeight="1" x14ac:dyDescent="0.2">
      <c r="A187" s="78"/>
      <c r="B187" s="117"/>
      <c r="C187" s="117"/>
      <c r="D187" s="117"/>
      <c r="E187" s="117"/>
      <c r="F187" s="117"/>
    </row>
    <row r="188" spans="1:6" ht="15.75" customHeight="1" x14ac:dyDescent="0.2">
      <c r="A188" s="78"/>
      <c r="B188" s="117"/>
      <c r="C188" s="117"/>
      <c r="D188" s="117"/>
      <c r="E188" s="117"/>
      <c r="F188" s="117"/>
    </row>
    <row r="189" spans="1:6" ht="15.75" customHeight="1" x14ac:dyDescent="0.2">
      <c r="A189" s="78"/>
      <c r="B189" s="117"/>
      <c r="C189" s="117"/>
      <c r="D189" s="117"/>
      <c r="E189" s="117"/>
      <c r="F189" s="117"/>
    </row>
    <row r="190" spans="1:6" ht="15.75" customHeight="1" x14ac:dyDescent="0.2">
      <c r="A190" s="78"/>
      <c r="B190" s="117"/>
      <c r="C190" s="117"/>
      <c r="D190" s="117"/>
      <c r="E190" s="117"/>
      <c r="F190" s="117"/>
    </row>
    <row r="191" spans="1:6" ht="15.75" customHeight="1" x14ac:dyDescent="0.2">
      <c r="A191" s="78"/>
      <c r="B191" s="117"/>
      <c r="C191" s="117"/>
      <c r="D191" s="117"/>
      <c r="E191" s="117"/>
      <c r="F191" s="117"/>
    </row>
    <row r="192" spans="1:6" ht="15.75" customHeight="1" x14ac:dyDescent="0.2">
      <c r="A192" s="78"/>
      <c r="B192" s="117"/>
      <c r="C192" s="117"/>
      <c r="D192" s="117"/>
      <c r="E192" s="117"/>
      <c r="F192" s="117"/>
    </row>
    <row r="193" spans="1:6" ht="15.75" customHeight="1" x14ac:dyDescent="0.2">
      <c r="A193" s="78"/>
      <c r="B193" s="117"/>
      <c r="C193" s="117"/>
      <c r="D193" s="117"/>
      <c r="E193" s="117"/>
      <c r="F193" s="117"/>
    </row>
    <row r="194" spans="1:6" ht="15.75" customHeight="1" x14ac:dyDescent="0.2">
      <c r="A194" s="78"/>
      <c r="B194" s="117"/>
      <c r="C194" s="117"/>
      <c r="D194" s="117"/>
      <c r="E194" s="117"/>
      <c r="F194" s="117"/>
    </row>
    <row r="195" spans="1:6" ht="15.75" customHeight="1" x14ac:dyDescent="0.2">
      <c r="A195" s="78"/>
      <c r="B195" s="117"/>
      <c r="C195" s="117"/>
      <c r="D195" s="117"/>
      <c r="E195" s="117"/>
      <c r="F195" s="117"/>
    </row>
    <row r="196" spans="1:6" ht="15.75" customHeight="1" x14ac:dyDescent="0.2">
      <c r="A196" s="78"/>
      <c r="B196" s="117"/>
      <c r="C196" s="117"/>
      <c r="D196" s="117"/>
      <c r="E196" s="117"/>
      <c r="F196" s="117"/>
    </row>
    <row r="197" spans="1:6" ht="15.75" customHeight="1" x14ac:dyDescent="0.2">
      <c r="A197" s="78"/>
      <c r="B197" s="117"/>
      <c r="C197" s="117"/>
      <c r="D197" s="117"/>
      <c r="E197" s="117"/>
      <c r="F197" s="117"/>
    </row>
    <row r="198" spans="1:6" ht="15.75" customHeight="1" x14ac:dyDescent="0.2">
      <c r="A198" s="78"/>
      <c r="B198" s="117"/>
      <c r="C198" s="117"/>
      <c r="D198" s="117"/>
      <c r="E198" s="117"/>
      <c r="F198" s="117"/>
    </row>
    <row r="199" spans="1:6" ht="15.75" customHeight="1" x14ac:dyDescent="0.2">
      <c r="A199" s="78"/>
      <c r="B199" s="117"/>
      <c r="C199" s="117"/>
      <c r="D199" s="117"/>
      <c r="E199" s="117"/>
      <c r="F199" s="117"/>
    </row>
    <row r="200" spans="1:6" ht="15.75" customHeight="1" x14ac:dyDescent="0.2">
      <c r="A200" s="78"/>
      <c r="B200" s="117"/>
      <c r="C200" s="117"/>
      <c r="D200" s="117"/>
      <c r="E200" s="117"/>
      <c r="F200" s="117"/>
    </row>
    <row r="201" spans="1:6" ht="15.75" customHeight="1" x14ac:dyDescent="0.2">
      <c r="A201" s="78"/>
      <c r="B201" s="117"/>
      <c r="C201" s="117"/>
      <c r="D201" s="117"/>
      <c r="E201" s="117"/>
      <c r="F201" s="117"/>
    </row>
    <row r="202" spans="1:6" ht="15.75" customHeight="1" x14ac:dyDescent="0.2">
      <c r="A202" s="78"/>
      <c r="B202" s="117"/>
      <c r="C202" s="117"/>
      <c r="D202" s="117"/>
      <c r="E202" s="117"/>
      <c r="F202" s="117"/>
    </row>
    <row r="203" spans="1:6" ht="15.75" customHeight="1" x14ac:dyDescent="0.2">
      <c r="A203" s="78"/>
      <c r="B203" s="117"/>
      <c r="C203" s="117"/>
      <c r="D203" s="117"/>
      <c r="E203" s="117"/>
      <c r="F203" s="117"/>
    </row>
    <row r="204" spans="1:6" ht="15.75" customHeight="1" x14ac:dyDescent="0.2">
      <c r="A204" s="78"/>
      <c r="B204" s="117"/>
      <c r="C204" s="117"/>
      <c r="D204" s="117"/>
      <c r="E204" s="117"/>
      <c r="F204" s="117"/>
    </row>
    <row r="205" spans="1:6" ht="15.75" customHeight="1" x14ac:dyDescent="0.2">
      <c r="A205" s="78"/>
      <c r="B205" s="117"/>
      <c r="C205" s="117"/>
      <c r="D205" s="117"/>
      <c r="E205" s="117"/>
      <c r="F205" s="117"/>
    </row>
    <row r="206" spans="1:6" ht="15.75" customHeight="1" x14ac:dyDescent="0.2">
      <c r="A206" s="78"/>
      <c r="B206" s="117"/>
      <c r="C206" s="117"/>
      <c r="D206" s="117"/>
      <c r="E206" s="117"/>
      <c r="F206" s="117"/>
    </row>
    <row r="207" spans="1:6" ht="15.75" customHeight="1" x14ac:dyDescent="0.2">
      <c r="A207" s="78"/>
      <c r="B207" s="117"/>
      <c r="C207" s="117"/>
      <c r="D207" s="117"/>
      <c r="E207" s="117"/>
      <c r="F207" s="117"/>
    </row>
    <row r="208" spans="1:6" ht="15.75" customHeight="1" x14ac:dyDescent="0.2">
      <c r="A208" s="78"/>
      <c r="B208" s="117"/>
      <c r="C208" s="117"/>
      <c r="D208" s="117"/>
      <c r="E208" s="117"/>
      <c r="F208" s="117"/>
    </row>
    <row r="209" spans="1:6" ht="15.75" customHeight="1" x14ac:dyDescent="0.2">
      <c r="A209" s="78"/>
      <c r="B209" s="117"/>
      <c r="C209" s="117"/>
      <c r="D209" s="117"/>
      <c r="E209" s="117"/>
      <c r="F209" s="117"/>
    </row>
    <row r="210" spans="1:6" ht="15.75" customHeight="1" x14ac:dyDescent="0.2">
      <c r="A210" s="78"/>
      <c r="B210" s="117"/>
      <c r="C210" s="117"/>
      <c r="D210" s="117"/>
      <c r="E210" s="117"/>
      <c r="F210" s="117"/>
    </row>
    <row r="211" spans="1:6" ht="15.75" customHeight="1" x14ac:dyDescent="0.2">
      <c r="A211" s="78"/>
      <c r="B211" s="117"/>
      <c r="C211" s="117"/>
      <c r="D211" s="117"/>
      <c r="E211" s="117"/>
      <c r="F211" s="117"/>
    </row>
    <row r="212" spans="1:6" ht="15.75" customHeight="1" x14ac:dyDescent="0.2">
      <c r="A212" s="78"/>
      <c r="B212" s="117"/>
      <c r="C212" s="117"/>
      <c r="D212" s="117"/>
      <c r="E212" s="117"/>
      <c r="F212" s="117"/>
    </row>
    <row r="213" spans="1:6" ht="15.75" customHeight="1" x14ac:dyDescent="0.2">
      <c r="A213" s="78"/>
      <c r="B213" s="117"/>
      <c r="C213" s="117"/>
      <c r="D213" s="117"/>
      <c r="E213" s="117"/>
      <c r="F213" s="117"/>
    </row>
    <row r="214" spans="1:6" ht="15.75" customHeight="1" x14ac:dyDescent="0.2">
      <c r="A214" s="78"/>
      <c r="B214" s="117"/>
      <c r="C214" s="117"/>
      <c r="D214" s="117"/>
      <c r="E214" s="117"/>
      <c r="F214" s="117"/>
    </row>
    <row r="215" spans="1:6" ht="15.75" customHeight="1" x14ac:dyDescent="0.2">
      <c r="A215" s="78"/>
      <c r="B215" s="117"/>
      <c r="C215" s="117"/>
      <c r="D215" s="117"/>
      <c r="E215" s="117"/>
      <c r="F215" s="117"/>
    </row>
    <row r="216" spans="1:6" ht="15.75" customHeight="1" x14ac:dyDescent="0.2">
      <c r="A216" s="78"/>
      <c r="B216" s="117"/>
      <c r="C216" s="117"/>
      <c r="D216" s="117"/>
      <c r="E216" s="117"/>
      <c r="F216" s="117"/>
    </row>
    <row r="217" spans="1:6" ht="15.75" customHeight="1" x14ac:dyDescent="0.2">
      <c r="A217" s="78"/>
      <c r="B217" s="117"/>
      <c r="C217" s="117"/>
      <c r="D217" s="117"/>
      <c r="E217" s="117"/>
      <c r="F217" s="117"/>
    </row>
    <row r="218" spans="1:6" ht="15.75" customHeight="1" x14ac:dyDescent="0.2">
      <c r="A218" s="78"/>
      <c r="B218" s="117"/>
      <c r="C218" s="117"/>
      <c r="D218" s="117"/>
      <c r="E218" s="117"/>
      <c r="F218" s="117"/>
    </row>
    <row r="219" spans="1:6" ht="15.75" customHeight="1" x14ac:dyDescent="0.2">
      <c r="A219" s="78"/>
      <c r="B219" s="117"/>
      <c r="C219" s="117"/>
      <c r="D219" s="117"/>
      <c r="E219" s="117"/>
      <c r="F219" s="117"/>
    </row>
    <row r="220" spans="1:6" ht="15.75" customHeight="1" x14ac:dyDescent="0.2">
      <c r="A220" s="78"/>
      <c r="B220" s="117"/>
      <c r="C220" s="117"/>
      <c r="D220" s="117"/>
      <c r="E220" s="117"/>
      <c r="F220" s="117"/>
    </row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A2"/>
    <mergeCell ref="B1:B2"/>
    <mergeCell ref="C1:C2"/>
    <mergeCell ref="D1:D2"/>
    <mergeCell ref="E1:E2"/>
    <mergeCell ref="F1:F2"/>
    <mergeCell ref="G1:I1"/>
    <mergeCell ref="G4:G5"/>
    <mergeCell ref="D6:D7"/>
    <mergeCell ref="E6:E7"/>
    <mergeCell ref="D4:D5"/>
    <mergeCell ref="E4:E5"/>
    <mergeCell ref="F4:F5"/>
    <mergeCell ref="G6:G7"/>
    <mergeCell ref="H6:H7"/>
    <mergeCell ref="I6:I7"/>
    <mergeCell ref="H4:H5"/>
    <mergeCell ref="I4:I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ERs</vt:lpstr>
      <vt:lpstr>PEy</vt:lpstr>
      <vt:lpstr>SDG8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CarbonSink</dc:creator>
  <cp:lastModifiedBy>Martina Margari</cp:lastModifiedBy>
  <dcterms:created xsi:type="dcterms:W3CDTF">2014-10-20T10:19:01Z</dcterms:created>
  <dcterms:modified xsi:type="dcterms:W3CDTF">2024-06-17T08:41:47Z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0x01010079B5F068D79AC640BE3528811841450E</vt:lpwstr>
  </property>
  <property fmtid="{D5CDD505-2E9C-101B-9397-08002B2CF9AE}" pid="3" name="Order">
    <vt:r8>3055500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