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deo/Downloads/"/>
    </mc:Choice>
  </mc:AlternateContent>
  <xr:revisionPtr revIDLastSave="0" documentId="13_ncr:1_{AA550077-3DE5-1E47-A0AC-C97468B6CBC3}" xr6:coauthVersionLast="47" xr6:coauthVersionMax="47" xr10:uidLastSave="{00000000-0000-0000-0000-000000000000}"/>
  <bookViews>
    <workbookView xWindow="0" yWindow="720" windowWidth="29400" windowHeight="18400" activeTab="1" xr2:uid="{00000000-000D-0000-FFFF-FFFF00000000}"/>
  </bookViews>
  <sheets>
    <sheet name="BP_Train" sheetId="1" r:id="rId1"/>
    <sheet name="BP_test" sheetId="3" r:id="rId2"/>
    <sheet name="BP_Cat_Train" sheetId="2" r:id="rId3"/>
    <sheet name="BP_Cat_Test" sheetId="6" r:id="rId4"/>
    <sheet name="BP_Num_Train" sheetId="4" r:id="rId5"/>
    <sheet name="BP_Num_Test" sheetId="5" r:id="rId6"/>
  </sheets>
  <definedNames>
    <definedName name="_xlnm._FilterDatabase" localSheetId="0" hidden="1">BP_Train!$A$1:$F$41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4" i="1" l="1"/>
  <c r="I52" i="1"/>
  <c r="I50" i="1"/>
  <c r="I48" i="1"/>
  <c r="I46" i="1"/>
  <c r="I44" i="1"/>
  <c r="H54" i="1"/>
  <c r="H52" i="1"/>
  <c r="H50" i="1"/>
  <c r="H48" i="1"/>
  <c r="H46" i="1"/>
  <c r="H44" i="1"/>
  <c r="G54" i="1" l="1"/>
  <c r="G52" i="1"/>
  <c r="G50" i="1"/>
  <c r="G48" i="1"/>
  <c r="G46" i="1"/>
  <c r="G44" i="1"/>
  <c r="F55" i="1"/>
  <c r="F54" i="1"/>
  <c r="E55" i="1"/>
  <c r="E54" i="1"/>
  <c r="C54" i="1"/>
  <c r="B54" i="1"/>
  <c r="F53" i="1"/>
  <c r="F52" i="1"/>
  <c r="E53" i="1"/>
  <c r="E52" i="1"/>
  <c r="C52" i="1"/>
  <c r="B52" i="1"/>
  <c r="F51" i="1"/>
  <c r="F50" i="1"/>
  <c r="E51" i="1"/>
  <c r="E50" i="1"/>
  <c r="C50" i="1"/>
  <c r="B50" i="1"/>
  <c r="F49" i="1"/>
  <c r="F48" i="1"/>
  <c r="E49" i="1"/>
  <c r="E48" i="1"/>
  <c r="C48" i="1"/>
  <c r="B48" i="1"/>
  <c r="F47" i="1"/>
  <c r="F46" i="1"/>
  <c r="E47" i="1"/>
  <c r="E46" i="1"/>
  <c r="C46" i="1"/>
  <c r="B46" i="1"/>
  <c r="F45" i="1"/>
  <c r="F44" i="1"/>
  <c r="E45" i="1"/>
  <c r="E44" i="1"/>
  <c r="C44" i="1"/>
  <c r="B44" i="1"/>
  <c r="J37" i="2" l="1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P3" i="4" l="1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2" i="4"/>
  <c r="H2" i="4"/>
  <c r="Q3" i="4" l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2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2" i="4"/>
  <c r="D45" i="4"/>
  <c r="D46" i="4"/>
  <c r="D47" i="4"/>
  <c r="D48" i="4"/>
  <c r="C45" i="4"/>
  <c r="C46" i="4"/>
  <c r="C47" i="4"/>
  <c r="C48" i="4"/>
  <c r="B45" i="4"/>
  <c r="B46" i="4"/>
  <c r="B47" i="4"/>
  <c r="B48" i="4"/>
  <c r="A45" i="4"/>
  <c r="A46" i="4"/>
  <c r="A47" i="4"/>
  <c r="A48" i="4"/>
  <c r="D44" i="4"/>
  <c r="C44" i="4"/>
  <c r="B44" i="4"/>
  <c r="A44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2" i="4"/>
  <c r="G14" i="2"/>
  <c r="H15" i="2"/>
  <c r="H14" i="2"/>
  <c r="H13" i="2"/>
  <c r="H12" i="2"/>
  <c r="H11" i="2"/>
  <c r="G15" i="2"/>
  <c r="G13" i="2"/>
  <c r="G12" i="2"/>
  <c r="G11" i="2"/>
  <c r="H8" i="2"/>
  <c r="H7" i="2"/>
  <c r="G8" i="2"/>
  <c r="G7" i="2"/>
  <c r="G4" i="2"/>
  <c r="G3" i="2"/>
  <c r="H3" i="4" l="1"/>
  <c r="H22" i="4"/>
  <c r="H41" i="4"/>
  <c r="H23" i="4"/>
  <c r="H31" i="4"/>
  <c r="H25" i="4"/>
  <c r="H32" i="4"/>
  <c r="H34" i="4"/>
  <c r="H26" i="4"/>
  <c r="H18" i="4"/>
  <c r="H10" i="4"/>
  <c r="H9" i="4"/>
  <c r="H8" i="4"/>
  <c r="H7" i="4"/>
  <c r="H33" i="4"/>
  <c r="H16" i="4"/>
  <c r="H15" i="4"/>
  <c r="H6" i="4"/>
  <c r="H37" i="4"/>
  <c r="H29" i="4"/>
  <c r="H21" i="4"/>
  <c r="H13" i="4"/>
  <c r="H5" i="4"/>
  <c r="H17" i="4"/>
  <c r="H40" i="4"/>
  <c r="H24" i="4"/>
  <c r="H39" i="4"/>
  <c r="H14" i="4"/>
  <c r="H36" i="4"/>
  <c r="H28" i="4"/>
  <c r="H20" i="4"/>
  <c r="H12" i="4"/>
  <c r="H4" i="4"/>
  <c r="H38" i="4"/>
  <c r="H30" i="4"/>
  <c r="H35" i="4"/>
  <c r="H27" i="4"/>
  <c r="H19" i="4"/>
  <c r="H11" i="4"/>
</calcChain>
</file>

<file path=xl/sharedStrings.xml><?xml version="1.0" encoding="utf-8"?>
<sst xmlns="http://schemas.openxmlformats.org/spreadsheetml/2006/main" count="535" uniqueCount="116">
  <si>
    <t>Somker</t>
  </si>
  <si>
    <t>Gender</t>
  </si>
  <si>
    <t>Age</t>
  </si>
  <si>
    <t>Height</t>
  </si>
  <si>
    <t>Weight</t>
  </si>
  <si>
    <t>BP_Status</t>
  </si>
  <si>
    <t>3- Moderate</t>
  </si>
  <si>
    <t>Female</t>
  </si>
  <si>
    <t>High</t>
  </si>
  <si>
    <t>1- Non-smoker</t>
  </si>
  <si>
    <t>Normal</t>
  </si>
  <si>
    <t>Male</t>
  </si>
  <si>
    <t>5- Very Heavy</t>
  </si>
  <si>
    <t>4- Heavy</t>
  </si>
  <si>
    <t>2- Light</t>
  </si>
  <si>
    <t>Smoker</t>
  </si>
  <si>
    <t>Male - 2 - Normal</t>
  </si>
  <si>
    <t>Male - 3 - Normal</t>
  </si>
  <si>
    <t>Male - 4 - Normal</t>
  </si>
  <si>
    <t>Male - 5 - Normal</t>
  </si>
  <si>
    <t>Male - 2 - High</t>
  </si>
  <si>
    <t>Male - 3 - High</t>
  </si>
  <si>
    <t>Male - 4 - High</t>
  </si>
  <si>
    <t>Male - 5 - High</t>
  </si>
  <si>
    <t>Female - 1 - Normal</t>
  </si>
  <si>
    <t>Female - 2 - Normal</t>
  </si>
  <si>
    <t>Female - 3 - Normal</t>
  </si>
  <si>
    <t>Female - 4 - Normal</t>
  </si>
  <si>
    <t>Female - 5 - Normal</t>
  </si>
  <si>
    <t>Female - 1 - High</t>
  </si>
  <si>
    <t>Female - 2 - High</t>
  </si>
  <si>
    <t>Female - 3 - High</t>
  </si>
  <si>
    <t>Female - 4 - High</t>
  </si>
  <si>
    <t>Female - 5 - High</t>
  </si>
  <si>
    <t>Likelihood</t>
  </si>
  <si>
    <t>Male - 1 - Normal BP</t>
  </si>
  <si>
    <t>Male - 1 - High BP</t>
  </si>
  <si>
    <t>Normal | Male - 1</t>
  </si>
  <si>
    <t>Normal | Male - 2</t>
  </si>
  <si>
    <t>Normal | Male - 3</t>
  </si>
  <si>
    <t>Normal | Male - 4</t>
  </si>
  <si>
    <t>Normal | Male - 5</t>
  </si>
  <si>
    <t>High | Male - 1</t>
  </si>
  <si>
    <t>High | Male - 2</t>
  </si>
  <si>
    <t>High | Male - 3</t>
  </si>
  <si>
    <t>High | Male - 4</t>
  </si>
  <si>
    <t>High | Male - 5</t>
  </si>
  <si>
    <t>Normal | Female - 1</t>
  </si>
  <si>
    <t>Normal | Female - 2</t>
  </si>
  <si>
    <t>Normal | Female - 3</t>
  </si>
  <si>
    <t>Normal | Female - 4</t>
  </si>
  <si>
    <t>Normal | Female - 5</t>
  </si>
  <si>
    <t>High | Female - 1</t>
  </si>
  <si>
    <t>High | Female - 2</t>
  </si>
  <si>
    <t>High | Female - 3</t>
  </si>
  <si>
    <t>High | Female - 4</t>
  </si>
  <si>
    <t>High | Female - 5</t>
  </si>
  <si>
    <t>Predicted BP_Status</t>
  </si>
  <si>
    <t>Posterior (Not Normalized)</t>
  </si>
  <si>
    <t>Distance from Test Point 1</t>
  </si>
  <si>
    <t>Distance from Test Point 2</t>
  </si>
  <si>
    <t>Distance from Test Point 3</t>
  </si>
  <si>
    <t>Distance from Test Point 4</t>
  </si>
  <si>
    <t>Distance from Test Point 5</t>
  </si>
  <si>
    <t>Nearest Neighbors</t>
  </si>
  <si>
    <t>High, High</t>
  </si>
  <si>
    <t>Normal, High</t>
  </si>
  <si>
    <t>High, Normal</t>
  </si>
  <si>
    <t>Normal, Normal</t>
  </si>
  <si>
    <t>Final Prediction</t>
  </si>
  <si>
    <t>Test Points</t>
  </si>
  <si>
    <t xml:space="preserve">Rank </t>
  </si>
  <si>
    <t>Rank</t>
  </si>
  <si>
    <t>Accuracy</t>
  </si>
  <si>
    <t>(Rank 3 is High)</t>
  </si>
  <si>
    <t>(Rank 3 is Normal)</t>
  </si>
  <si>
    <t>PL</t>
  </si>
  <si>
    <t>PR</t>
  </si>
  <si>
    <t>Parent</t>
  </si>
  <si>
    <t>Left Node</t>
  </si>
  <si>
    <t>Right Node</t>
  </si>
  <si>
    <t>Gender = Male</t>
  </si>
  <si>
    <t>Gender = Female</t>
  </si>
  <si>
    <t>1- Non-Smoker</t>
  </si>
  <si>
    <t>1- Non-Smoker, 2- Light</t>
  </si>
  <si>
    <t>1- Non-Smoker, 3-Moderate</t>
  </si>
  <si>
    <t>1-Non-Smoker, 4- Heavy</t>
  </si>
  <si>
    <t>1- Non-Smoker, 5- Very Heavy</t>
  </si>
  <si>
    <t>2- Light, 3- Moderate</t>
  </si>
  <si>
    <t>2- Light, 4- Heavy</t>
  </si>
  <si>
    <t>2- Light, 5- Very Heavy</t>
  </si>
  <si>
    <t>3- Moderate, 4- Heavy</t>
  </si>
  <si>
    <t>3- Moderate, 5- Very Heavy</t>
  </si>
  <si>
    <t>4- Heavy, 5- Very Heavy</t>
  </si>
  <si>
    <t>1- Non-Smoker, 2- Light, 3- Moderate</t>
  </si>
  <si>
    <t>1- Non-smoker, 2- Light, 4- Heavy</t>
  </si>
  <si>
    <t>1- Non-Smoker, 2- Light, 5- Very Heavy</t>
  </si>
  <si>
    <t>1- Non-smoker, 3- Moderate, 4- Heavy</t>
  </si>
  <si>
    <t>1- Non-smoker, 3- Moderate, 5- Very Heavy</t>
  </si>
  <si>
    <t>1- Non-smoker, 4- Heavy, 5- Very Heavy</t>
  </si>
  <si>
    <t>2- Light,, 3- Moderate, 4- Heavy</t>
  </si>
  <si>
    <t>2- Light, 4- Heavy, 5- Very Heavy</t>
  </si>
  <si>
    <t>2- Light, 3- Moderate, 5- Very Heavy</t>
  </si>
  <si>
    <t>3- Moderate, 4- Heavy, 5- Very Heavy</t>
  </si>
  <si>
    <t>1- Non-smoker, 2- Light, 3- Moderate, 4- Heavy</t>
  </si>
  <si>
    <t>1- Non-smoker, 2- Light, 3- Moderate, 5- Very Heavy</t>
  </si>
  <si>
    <t>1- Non-smoker, 2- Light, 4- Heavy, 5- Very Heavy</t>
  </si>
  <si>
    <t>1- Non-smoker, 3- Moderate, 4- Heavy, 5- Very Heavy</t>
  </si>
  <si>
    <t>2- Light, 3- Moderate, 4- Heavy, 5- Very Heavy</t>
  </si>
  <si>
    <t>Split</t>
  </si>
  <si>
    <t>Class</t>
  </si>
  <si>
    <t>P(j | tL)</t>
  </si>
  <si>
    <t>P(j | tR)</t>
  </si>
  <si>
    <t>Q(s|t)</t>
  </si>
  <si>
    <t>ɸ(s|t)</t>
  </si>
  <si>
    <t>2 PL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</si>
</sst>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0" borderId="12" xfId="0" applyBorder="1"/>
    <xf numFmtId="0" fontId="16" fillId="0" borderId="11" xfId="0" applyFont="1" applyBorder="1"/>
    <xf numFmtId="0" fontId="0" fillId="0" borderId="11" xfId="0" applyBorder="1"/>
    <xf numFmtId="0" fontId="0" fillId="0" borderId="13" xfId="0" applyFill="1" applyBorder="1"/>
    <xf numFmtId="0" fontId="18" fillId="0" borderId="0" xfId="0" applyFont="1"/>
    <xf numFmtId="0" fontId="0" fillId="0" borderId="0" xfId="0" applyFont="1"/>
    <xf numFmtId="0" fontId="16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workbookViewId="0">
      <selection activeCell="I55" sqref="I55"/>
    </sheetView>
  </sheetViews>
  <sheetFormatPr baseColWidth="10" defaultColWidth="8.83203125" defaultRowHeight="15" x14ac:dyDescent="0.2"/>
  <cols>
    <col min="1" max="1" width="13.33203125" bestFit="1" customWidth="1"/>
    <col min="9" max="9" width="13" customWidth="1"/>
    <col min="10" max="10" width="33.33203125" customWidth="1"/>
    <col min="11" max="11" width="40.1640625" customWidth="1"/>
  </cols>
  <sheetData>
    <row r="1" spans="1:11" ht="16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11" x14ac:dyDescent="0.2">
      <c r="A2" s="2" t="s">
        <v>6</v>
      </c>
      <c r="B2" s="2" t="s">
        <v>7</v>
      </c>
      <c r="C2" s="2">
        <v>57</v>
      </c>
      <c r="D2" s="2">
        <v>62.25</v>
      </c>
      <c r="E2" s="2">
        <v>132</v>
      </c>
      <c r="F2" s="2" t="s">
        <v>8</v>
      </c>
    </row>
    <row r="3" spans="1:11" x14ac:dyDescent="0.2">
      <c r="A3" s="1" t="s">
        <v>9</v>
      </c>
      <c r="B3" s="1" t="s">
        <v>7</v>
      </c>
      <c r="C3" s="1">
        <v>48</v>
      </c>
      <c r="D3" s="1">
        <v>59.5</v>
      </c>
      <c r="E3" s="1">
        <v>137</v>
      </c>
      <c r="F3" s="1" t="s">
        <v>10</v>
      </c>
      <c r="I3" t="s">
        <v>78</v>
      </c>
      <c r="J3" t="s">
        <v>79</v>
      </c>
      <c r="K3" t="s">
        <v>80</v>
      </c>
    </row>
    <row r="4" spans="1:11" x14ac:dyDescent="0.2">
      <c r="A4" s="1" t="s">
        <v>9</v>
      </c>
      <c r="B4" s="1" t="s">
        <v>11</v>
      </c>
      <c r="C4" s="1">
        <v>45</v>
      </c>
      <c r="D4" s="1">
        <v>62</v>
      </c>
      <c r="E4" s="1">
        <v>150</v>
      </c>
      <c r="F4" s="1" t="s">
        <v>8</v>
      </c>
      <c r="I4">
        <v>1</v>
      </c>
      <c r="J4" t="s">
        <v>81</v>
      </c>
      <c r="K4" t="s">
        <v>82</v>
      </c>
    </row>
    <row r="5" spans="1:11" x14ac:dyDescent="0.2">
      <c r="A5" s="1" t="s">
        <v>9</v>
      </c>
      <c r="B5" s="1" t="s">
        <v>7</v>
      </c>
      <c r="C5" s="1">
        <v>35</v>
      </c>
      <c r="D5" s="1">
        <v>62.5</v>
      </c>
      <c r="E5" s="1">
        <v>107</v>
      </c>
      <c r="F5" s="1" t="s">
        <v>10</v>
      </c>
      <c r="I5">
        <v>2</v>
      </c>
      <c r="J5" t="s">
        <v>83</v>
      </c>
      <c r="K5" t="s">
        <v>108</v>
      </c>
    </row>
    <row r="6" spans="1:11" x14ac:dyDescent="0.2">
      <c r="A6" s="1" t="s">
        <v>12</v>
      </c>
      <c r="B6" s="1" t="s">
        <v>11</v>
      </c>
      <c r="C6" s="1">
        <v>48</v>
      </c>
      <c r="D6" s="1">
        <v>64.5</v>
      </c>
      <c r="E6" s="1">
        <v>154</v>
      </c>
      <c r="F6" s="1" t="s">
        <v>8</v>
      </c>
      <c r="I6">
        <v>3</v>
      </c>
      <c r="J6" t="s">
        <v>14</v>
      </c>
      <c r="K6" t="s">
        <v>107</v>
      </c>
    </row>
    <row r="7" spans="1:11" x14ac:dyDescent="0.2">
      <c r="A7" s="1" t="s">
        <v>9</v>
      </c>
      <c r="B7" s="1" t="s">
        <v>7</v>
      </c>
      <c r="C7" s="1">
        <v>41</v>
      </c>
      <c r="D7" s="1">
        <v>63</v>
      </c>
      <c r="E7" s="1">
        <v>154</v>
      </c>
      <c r="F7" s="1" t="s">
        <v>10</v>
      </c>
      <c r="I7">
        <v>4</v>
      </c>
      <c r="J7" t="s">
        <v>6</v>
      </c>
      <c r="K7" t="s">
        <v>106</v>
      </c>
    </row>
    <row r="8" spans="1:11" x14ac:dyDescent="0.2">
      <c r="A8" s="1" t="s">
        <v>9</v>
      </c>
      <c r="B8" s="1" t="s">
        <v>11</v>
      </c>
      <c r="C8" s="1">
        <v>35</v>
      </c>
      <c r="D8" s="1">
        <v>67.5</v>
      </c>
      <c r="E8" s="1">
        <v>167</v>
      </c>
      <c r="F8" s="1" t="s">
        <v>8</v>
      </c>
      <c r="I8">
        <v>5</v>
      </c>
      <c r="J8" t="s">
        <v>13</v>
      </c>
      <c r="K8" t="s">
        <v>105</v>
      </c>
    </row>
    <row r="9" spans="1:11" x14ac:dyDescent="0.2">
      <c r="A9" s="1" t="s">
        <v>9</v>
      </c>
      <c r="B9" s="1" t="s">
        <v>7</v>
      </c>
      <c r="C9" s="1">
        <v>57</v>
      </c>
      <c r="D9" s="1">
        <v>64</v>
      </c>
      <c r="E9" s="1">
        <v>140</v>
      </c>
      <c r="F9" s="1" t="s">
        <v>8</v>
      </c>
      <c r="I9">
        <v>6</v>
      </c>
      <c r="J9" t="s">
        <v>12</v>
      </c>
      <c r="K9" t="s">
        <v>104</v>
      </c>
    </row>
    <row r="10" spans="1:11" x14ac:dyDescent="0.2">
      <c r="A10" s="1" t="s">
        <v>9</v>
      </c>
      <c r="B10" s="1" t="s">
        <v>7</v>
      </c>
      <c r="C10" s="1">
        <v>47</v>
      </c>
      <c r="D10" s="1">
        <v>61.5</v>
      </c>
      <c r="E10" s="1">
        <v>104</v>
      </c>
      <c r="F10" s="1" t="s">
        <v>10</v>
      </c>
      <c r="I10">
        <v>7</v>
      </c>
      <c r="J10" t="s">
        <v>84</v>
      </c>
      <c r="K10" t="s">
        <v>103</v>
      </c>
    </row>
    <row r="11" spans="1:11" x14ac:dyDescent="0.2">
      <c r="A11" s="1" t="s">
        <v>13</v>
      </c>
      <c r="B11" s="1" t="s">
        <v>11</v>
      </c>
      <c r="C11" s="1">
        <v>37</v>
      </c>
      <c r="D11" s="1">
        <v>68.5</v>
      </c>
      <c r="E11" s="1">
        <v>151</v>
      </c>
      <c r="F11" s="1" t="s">
        <v>10</v>
      </c>
      <c r="I11">
        <v>8</v>
      </c>
      <c r="J11" t="s">
        <v>85</v>
      </c>
      <c r="K11" t="s">
        <v>101</v>
      </c>
    </row>
    <row r="12" spans="1:11" x14ac:dyDescent="0.2">
      <c r="A12" s="1" t="s">
        <v>9</v>
      </c>
      <c r="B12" s="1" t="s">
        <v>7</v>
      </c>
      <c r="C12" s="1">
        <v>54</v>
      </c>
      <c r="D12" s="1">
        <v>63.5</v>
      </c>
      <c r="E12" s="1">
        <v>151</v>
      </c>
      <c r="F12" s="1" t="s">
        <v>8</v>
      </c>
      <c r="I12">
        <v>9</v>
      </c>
      <c r="J12" t="s">
        <v>86</v>
      </c>
      <c r="K12" t="s">
        <v>102</v>
      </c>
    </row>
    <row r="13" spans="1:11" x14ac:dyDescent="0.2">
      <c r="A13" s="1" t="s">
        <v>6</v>
      </c>
      <c r="B13" s="1" t="s">
        <v>11</v>
      </c>
      <c r="C13" s="1">
        <v>32</v>
      </c>
      <c r="D13" s="1">
        <v>69.5</v>
      </c>
      <c r="E13" s="1">
        <v>171</v>
      </c>
      <c r="F13" s="1" t="s">
        <v>10</v>
      </c>
      <c r="I13">
        <v>10</v>
      </c>
      <c r="J13" t="s">
        <v>87</v>
      </c>
      <c r="K13" t="s">
        <v>100</v>
      </c>
    </row>
    <row r="14" spans="1:11" x14ac:dyDescent="0.2">
      <c r="A14" s="1" t="s">
        <v>14</v>
      </c>
      <c r="B14" s="1" t="s">
        <v>7</v>
      </c>
      <c r="C14" s="1">
        <v>45</v>
      </c>
      <c r="D14" s="1">
        <v>61</v>
      </c>
      <c r="E14" s="1">
        <v>130</v>
      </c>
      <c r="F14" s="1" t="s">
        <v>10</v>
      </c>
      <c r="I14">
        <v>11</v>
      </c>
      <c r="J14" t="s">
        <v>88</v>
      </c>
      <c r="K14" t="s">
        <v>99</v>
      </c>
    </row>
    <row r="15" spans="1:11" x14ac:dyDescent="0.2">
      <c r="A15" s="1" t="s">
        <v>9</v>
      </c>
      <c r="B15" s="1" t="s">
        <v>7</v>
      </c>
      <c r="C15" s="1">
        <v>51</v>
      </c>
      <c r="D15" s="1">
        <v>64.25</v>
      </c>
      <c r="E15" s="1">
        <v>182</v>
      </c>
      <c r="F15" s="1" t="s">
        <v>8</v>
      </c>
      <c r="I15">
        <v>12</v>
      </c>
      <c r="J15" t="s">
        <v>89</v>
      </c>
      <c r="K15" t="s">
        <v>98</v>
      </c>
    </row>
    <row r="16" spans="1:11" x14ac:dyDescent="0.2">
      <c r="A16" s="1" t="s">
        <v>9</v>
      </c>
      <c r="B16" s="1" t="s">
        <v>7</v>
      </c>
      <c r="C16" s="1">
        <v>57</v>
      </c>
      <c r="D16" s="1">
        <v>61</v>
      </c>
      <c r="E16" s="1">
        <v>160</v>
      </c>
      <c r="F16" s="1" t="s">
        <v>8</v>
      </c>
      <c r="I16">
        <v>13</v>
      </c>
      <c r="J16" t="s">
        <v>90</v>
      </c>
      <c r="K16" t="s">
        <v>97</v>
      </c>
    </row>
    <row r="17" spans="1:11" x14ac:dyDescent="0.2">
      <c r="A17" s="1" t="s">
        <v>13</v>
      </c>
      <c r="B17" s="1" t="s">
        <v>11</v>
      </c>
      <c r="C17" s="1">
        <v>47</v>
      </c>
      <c r="D17" s="1">
        <v>67.25</v>
      </c>
      <c r="E17" s="1">
        <v>153</v>
      </c>
      <c r="F17" s="1" t="s">
        <v>10</v>
      </c>
      <c r="I17">
        <v>14</v>
      </c>
      <c r="J17" t="s">
        <v>91</v>
      </c>
      <c r="K17" t="s">
        <v>96</v>
      </c>
    </row>
    <row r="18" spans="1:11" x14ac:dyDescent="0.2">
      <c r="A18" s="1" t="s">
        <v>9</v>
      </c>
      <c r="B18" s="1" t="s">
        <v>7</v>
      </c>
      <c r="C18" s="1">
        <v>52</v>
      </c>
      <c r="D18" s="1">
        <v>59.25</v>
      </c>
      <c r="E18" s="1">
        <v>124</v>
      </c>
      <c r="F18" s="1" t="s">
        <v>10</v>
      </c>
      <c r="I18">
        <v>15</v>
      </c>
      <c r="J18" t="s">
        <v>92</v>
      </c>
      <c r="K18" t="s">
        <v>95</v>
      </c>
    </row>
    <row r="19" spans="1:11" x14ac:dyDescent="0.2">
      <c r="A19" s="1" t="s">
        <v>12</v>
      </c>
      <c r="B19" s="1" t="s">
        <v>11</v>
      </c>
      <c r="C19" s="1">
        <v>45</v>
      </c>
      <c r="D19" s="1">
        <v>66.25</v>
      </c>
      <c r="E19" s="1">
        <v>192</v>
      </c>
      <c r="F19" s="1" t="s">
        <v>8</v>
      </c>
      <c r="I19">
        <v>16</v>
      </c>
      <c r="J19" t="s">
        <v>93</v>
      </c>
      <c r="K19" t="s">
        <v>94</v>
      </c>
    </row>
    <row r="20" spans="1:11" x14ac:dyDescent="0.2">
      <c r="A20" s="1" t="s">
        <v>13</v>
      </c>
      <c r="B20" s="1" t="s">
        <v>11</v>
      </c>
      <c r="C20" s="1">
        <v>38</v>
      </c>
      <c r="D20" s="1">
        <v>67.75</v>
      </c>
      <c r="E20" s="1">
        <v>158</v>
      </c>
      <c r="F20" s="1" t="s">
        <v>8</v>
      </c>
    </row>
    <row r="21" spans="1:11" x14ac:dyDescent="0.2">
      <c r="A21" s="1" t="s">
        <v>9</v>
      </c>
      <c r="B21" s="1" t="s">
        <v>7</v>
      </c>
      <c r="C21" s="1">
        <v>44</v>
      </c>
      <c r="D21" s="1">
        <v>64.5</v>
      </c>
      <c r="E21" s="1">
        <v>128</v>
      </c>
      <c r="F21" s="1" t="s">
        <v>10</v>
      </c>
    </row>
    <row r="22" spans="1:11" x14ac:dyDescent="0.2">
      <c r="A22" s="1" t="s">
        <v>13</v>
      </c>
      <c r="B22" s="1" t="s">
        <v>7</v>
      </c>
      <c r="C22" s="1">
        <v>35</v>
      </c>
      <c r="D22" s="1">
        <v>63</v>
      </c>
      <c r="E22" s="1">
        <v>108</v>
      </c>
      <c r="F22" s="1" t="s">
        <v>10</v>
      </c>
    </row>
    <row r="23" spans="1:11" x14ac:dyDescent="0.2">
      <c r="A23" s="1" t="s">
        <v>13</v>
      </c>
      <c r="B23" s="1" t="s">
        <v>11</v>
      </c>
      <c r="C23" s="1">
        <v>38</v>
      </c>
      <c r="D23" s="1">
        <v>66.75</v>
      </c>
      <c r="E23" s="1">
        <v>150</v>
      </c>
      <c r="F23" s="1" t="s">
        <v>8</v>
      </c>
    </row>
    <row r="24" spans="1:11" x14ac:dyDescent="0.2">
      <c r="A24" s="1" t="s">
        <v>9</v>
      </c>
      <c r="B24" s="1" t="s">
        <v>11</v>
      </c>
      <c r="C24" s="1">
        <v>48</v>
      </c>
      <c r="D24" s="1">
        <v>64.5</v>
      </c>
      <c r="E24" s="1">
        <v>187</v>
      </c>
      <c r="F24" s="1" t="s">
        <v>8</v>
      </c>
    </row>
    <row r="25" spans="1:11" x14ac:dyDescent="0.2">
      <c r="A25" s="1" t="s">
        <v>13</v>
      </c>
      <c r="B25" s="1" t="s">
        <v>11</v>
      </c>
      <c r="C25" s="1">
        <v>45</v>
      </c>
      <c r="D25" s="1">
        <v>69.75</v>
      </c>
      <c r="E25" s="1">
        <v>187</v>
      </c>
      <c r="F25" s="1" t="s">
        <v>10</v>
      </c>
    </row>
    <row r="26" spans="1:11" x14ac:dyDescent="0.2">
      <c r="A26" s="1" t="s">
        <v>9</v>
      </c>
      <c r="B26" s="1" t="s">
        <v>7</v>
      </c>
      <c r="C26" s="1">
        <v>48</v>
      </c>
      <c r="D26" s="1">
        <v>69.75</v>
      </c>
      <c r="E26" s="1">
        <v>198</v>
      </c>
      <c r="F26" s="1" t="s">
        <v>8</v>
      </c>
    </row>
    <row r="27" spans="1:11" x14ac:dyDescent="0.2">
      <c r="A27" s="1" t="s">
        <v>9</v>
      </c>
      <c r="B27" s="1" t="s">
        <v>7</v>
      </c>
      <c r="C27" s="1">
        <v>57</v>
      </c>
      <c r="D27" s="1">
        <v>62.25</v>
      </c>
      <c r="E27" s="1">
        <v>135</v>
      </c>
      <c r="F27" s="1" t="s">
        <v>8</v>
      </c>
    </row>
    <row r="28" spans="1:11" x14ac:dyDescent="0.2">
      <c r="A28" s="1" t="s">
        <v>9</v>
      </c>
      <c r="B28" s="1" t="s">
        <v>11</v>
      </c>
      <c r="C28" s="1">
        <v>40</v>
      </c>
      <c r="D28" s="1">
        <v>66.5</v>
      </c>
      <c r="E28" s="1">
        <v>171</v>
      </c>
      <c r="F28" s="1" t="s">
        <v>8</v>
      </c>
    </row>
    <row r="29" spans="1:11" x14ac:dyDescent="0.2">
      <c r="A29" s="1" t="s">
        <v>9</v>
      </c>
      <c r="B29" s="1" t="s">
        <v>11</v>
      </c>
      <c r="C29" s="1">
        <v>60</v>
      </c>
      <c r="D29" s="1">
        <v>64.25</v>
      </c>
      <c r="E29" s="1">
        <v>222</v>
      </c>
      <c r="F29" s="1" t="s">
        <v>8</v>
      </c>
    </row>
    <row r="30" spans="1:11" x14ac:dyDescent="0.2">
      <c r="A30" s="1" t="s">
        <v>9</v>
      </c>
      <c r="B30" s="1" t="s">
        <v>7</v>
      </c>
      <c r="C30" s="1">
        <v>31</v>
      </c>
      <c r="D30" s="1">
        <v>59</v>
      </c>
      <c r="E30" s="1">
        <v>126</v>
      </c>
      <c r="F30" s="1" t="s">
        <v>10</v>
      </c>
    </row>
    <row r="31" spans="1:11" x14ac:dyDescent="0.2">
      <c r="A31" s="1" t="s">
        <v>14</v>
      </c>
      <c r="B31" s="1" t="s">
        <v>7</v>
      </c>
      <c r="C31" s="1">
        <v>53</v>
      </c>
      <c r="D31" s="1">
        <v>66.25</v>
      </c>
      <c r="E31" s="1">
        <v>167</v>
      </c>
      <c r="F31" s="1" t="s">
        <v>8</v>
      </c>
    </row>
    <row r="32" spans="1:11" x14ac:dyDescent="0.2">
      <c r="A32" s="1" t="s">
        <v>14</v>
      </c>
      <c r="B32" s="1" t="s">
        <v>7</v>
      </c>
      <c r="C32" s="1">
        <v>31</v>
      </c>
      <c r="D32" s="1">
        <v>61.25</v>
      </c>
      <c r="E32" s="1">
        <v>128</v>
      </c>
      <c r="F32" s="1" t="s">
        <v>10</v>
      </c>
    </row>
    <row r="33" spans="1:9" x14ac:dyDescent="0.2">
      <c r="A33" s="1" t="s">
        <v>13</v>
      </c>
      <c r="B33" s="1" t="s">
        <v>11</v>
      </c>
      <c r="C33" s="1">
        <v>42</v>
      </c>
      <c r="D33" s="1">
        <v>63.75</v>
      </c>
      <c r="E33" s="1">
        <v>117</v>
      </c>
      <c r="F33" s="1" t="s">
        <v>8</v>
      </c>
    </row>
    <row r="34" spans="1:9" x14ac:dyDescent="0.2">
      <c r="A34" s="1" t="s">
        <v>9</v>
      </c>
      <c r="B34" s="1" t="s">
        <v>7</v>
      </c>
      <c r="C34" s="1">
        <v>49</v>
      </c>
      <c r="D34" s="1">
        <v>65.75</v>
      </c>
      <c r="E34" s="1">
        <v>142</v>
      </c>
      <c r="F34" s="1" t="s">
        <v>8</v>
      </c>
    </row>
    <row r="35" spans="1:9" x14ac:dyDescent="0.2">
      <c r="A35" s="1" t="s">
        <v>13</v>
      </c>
      <c r="B35" s="1" t="s">
        <v>11</v>
      </c>
      <c r="C35" s="1">
        <v>38</v>
      </c>
      <c r="D35" s="1">
        <v>68.25</v>
      </c>
      <c r="E35" s="1">
        <v>171</v>
      </c>
      <c r="F35" s="1" t="s">
        <v>8</v>
      </c>
    </row>
    <row r="36" spans="1:9" x14ac:dyDescent="0.2">
      <c r="A36" s="1" t="s">
        <v>9</v>
      </c>
      <c r="B36" s="1" t="s">
        <v>7</v>
      </c>
      <c r="C36" s="1">
        <v>56</v>
      </c>
      <c r="D36" s="1">
        <v>60.25</v>
      </c>
      <c r="E36" s="1">
        <v>154</v>
      </c>
      <c r="F36" s="1" t="s">
        <v>10</v>
      </c>
    </row>
    <row r="37" spans="1:9" x14ac:dyDescent="0.2">
      <c r="A37" s="1" t="s">
        <v>13</v>
      </c>
      <c r="B37" s="1" t="s">
        <v>11</v>
      </c>
      <c r="C37" s="1">
        <v>34</v>
      </c>
      <c r="D37" s="1">
        <v>63.5</v>
      </c>
      <c r="E37" s="1">
        <v>120</v>
      </c>
      <c r="F37" s="1" t="s">
        <v>10</v>
      </c>
    </row>
    <row r="38" spans="1:9" x14ac:dyDescent="0.2">
      <c r="A38" s="1" t="s">
        <v>12</v>
      </c>
      <c r="B38" s="1" t="s">
        <v>11</v>
      </c>
      <c r="C38" s="1">
        <v>47</v>
      </c>
      <c r="D38" s="1">
        <v>63.5</v>
      </c>
      <c r="E38" s="1">
        <v>185</v>
      </c>
      <c r="F38" s="1" t="s">
        <v>8</v>
      </c>
    </row>
    <row r="39" spans="1:9" x14ac:dyDescent="0.2">
      <c r="A39" s="1" t="s">
        <v>12</v>
      </c>
      <c r="B39" s="1" t="s">
        <v>11</v>
      </c>
      <c r="C39" s="1">
        <v>46</v>
      </c>
      <c r="D39" s="1">
        <v>68.75</v>
      </c>
      <c r="E39" s="1">
        <v>174</v>
      </c>
      <c r="F39" s="1" t="s">
        <v>8</v>
      </c>
    </row>
    <row r="40" spans="1:9" x14ac:dyDescent="0.2">
      <c r="A40" s="1" t="s">
        <v>13</v>
      </c>
      <c r="B40" s="1" t="s">
        <v>7</v>
      </c>
      <c r="C40" s="1">
        <v>34</v>
      </c>
      <c r="D40" s="1">
        <v>61.75</v>
      </c>
      <c r="E40" s="1">
        <v>142</v>
      </c>
      <c r="F40" s="1" t="s">
        <v>8</v>
      </c>
    </row>
    <row r="41" spans="1:9" x14ac:dyDescent="0.2">
      <c r="A41" s="1" t="s">
        <v>9</v>
      </c>
      <c r="B41" s="1" t="s">
        <v>7</v>
      </c>
      <c r="C41" s="1">
        <v>36</v>
      </c>
      <c r="D41" s="1">
        <v>62.5</v>
      </c>
      <c r="E41" s="1">
        <v>116</v>
      </c>
      <c r="F41" s="1" t="s">
        <v>8</v>
      </c>
    </row>
    <row r="43" spans="1:9" x14ac:dyDescent="0.2">
      <c r="A43" t="s">
        <v>109</v>
      </c>
      <c r="B43" t="s">
        <v>76</v>
      </c>
      <c r="C43" t="s">
        <v>77</v>
      </c>
      <c r="D43" t="s">
        <v>110</v>
      </c>
      <c r="E43" t="s">
        <v>111</v>
      </c>
      <c r="F43" t="s">
        <v>112</v>
      </c>
      <c r="G43" t="s">
        <v>115</v>
      </c>
      <c r="H43" t="s">
        <v>113</v>
      </c>
      <c r="I43" t="s">
        <v>114</v>
      </c>
    </row>
    <row r="44" spans="1:9" x14ac:dyDescent="0.2">
      <c r="A44">
        <v>1</v>
      </c>
      <c r="B44">
        <f>18/40</f>
        <v>0.45</v>
      </c>
      <c r="C44">
        <f>22/40</f>
        <v>0.55000000000000004</v>
      </c>
      <c r="D44" t="s">
        <v>10</v>
      </c>
      <c r="E44">
        <f>5/18</f>
        <v>0.27777777777777779</v>
      </c>
      <c r="F44">
        <f>11/22</f>
        <v>0.5</v>
      </c>
      <c r="G44">
        <f>2*B44*C44</f>
        <v>0.49500000000000005</v>
      </c>
      <c r="H44">
        <f>ABS(F44-E44) + ABS(F45-E45)</f>
        <v>0.44444444444444442</v>
      </c>
      <c r="I44">
        <f>G44*H44</f>
        <v>0.22</v>
      </c>
    </row>
    <row r="45" spans="1:9" x14ac:dyDescent="0.2">
      <c r="D45" t="s">
        <v>8</v>
      </c>
      <c r="E45">
        <f>13/18</f>
        <v>0.72222222222222221</v>
      </c>
      <c r="F45">
        <f>11/22</f>
        <v>0.5</v>
      </c>
    </row>
    <row r="46" spans="1:9" x14ac:dyDescent="0.2">
      <c r="A46">
        <v>2</v>
      </c>
      <c r="B46">
        <f>21/40</f>
        <v>0.52500000000000002</v>
      </c>
      <c r="C46">
        <f>19/40</f>
        <v>0.47499999999999998</v>
      </c>
      <c r="D46" t="s">
        <v>10</v>
      </c>
      <c r="E46">
        <f>8/21</f>
        <v>0.38095238095238093</v>
      </c>
      <c r="F46">
        <f>8/19</f>
        <v>0.42105263157894735</v>
      </c>
      <c r="G46">
        <f>2*B46*C46</f>
        <v>0.49874999999999997</v>
      </c>
      <c r="H46">
        <f>ABS(F46-E46) + ABS(F47-E47)</f>
        <v>8.0200501253132828E-2</v>
      </c>
      <c r="I46">
        <f>G46*H46</f>
        <v>3.9999999999999994E-2</v>
      </c>
    </row>
    <row r="47" spans="1:9" x14ac:dyDescent="0.2">
      <c r="D47" t="s">
        <v>8</v>
      </c>
      <c r="E47">
        <f>13/21</f>
        <v>0.61904761904761907</v>
      </c>
      <c r="F47">
        <f>11/19</f>
        <v>0.57894736842105265</v>
      </c>
    </row>
    <row r="48" spans="1:9" x14ac:dyDescent="0.2">
      <c r="A48">
        <v>3</v>
      </c>
      <c r="B48">
        <f>3/40</f>
        <v>7.4999999999999997E-2</v>
      </c>
      <c r="C48">
        <f>37/40</f>
        <v>0.92500000000000004</v>
      </c>
      <c r="D48" t="s">
        <v>10</v>
      </c>
      <c r="E48">
        <f>2/3</f>
        <v>0.66666666666666663</v>
      </c>
      <c r="F48">
        <f>14/37</f>
        <v>0.3783783783783784</v>
      </c>
      <c r="G48">
        <f>2*B48*C48</f>
        <v>0.13875000000000001</v>
      </c>
      <c r="H48">
        <f>ABS(F48-E48) + ABS(F49-E49)</f>
        <v>0.57657657657657646</v>
      </c>
      <c r="I48">
        <f>G48*H48</f>
        <v>7.9999999999999988E-2</v>
      </c>
    </row>
    <row r="49" spans="1:9" x14ac:dyDescent="0.2">
      <c r="D49" t="s">
        <v>8</v>
      </c>
      <c r="E49">
        <f>1/3</f>
        <v>0.33333333333333331</v>
      </c>
      <c r="F49">
        <f>23/37</f>
        <v>0.6216216216216216</v>
      </c>
    </row>
    <row r="50" spans="1:9" x14ac:dyDescent="0.2">
      <c r="A50">
        <v>4</v>
      </c>
      <c r="B50">
        <f>2/40</f>
        <v>0.05</v>
      </c>
      <c r="C50">
        <f>38/40</f>
        <v>0.95</v>
      </c>
      <c r="D50" t="s">
        <v>10</v>
      </c>
      <c r="E50">
        <f>1/2</f>
        <v>0.5</v>
      </c>
      <c r="F50">
        <f>15/38</f>
        <v>0.39473684210526316</v>
      </c>
      <c r="G50">
        <f>2*B50*C50</f>
        <v>9.5000000000000001E-2</v>
      </c>
      <c r="H50">
        <f>ABS(F50-E50)+ABS(F51-E51)</f>
        <v>0.21052631578947367</v>
      </c>
      <c r="I50">
        <f>G50*H50</f>
        <v>0.02</v>
      </c>
    </row>
    <row r="51" spans="1:9" x14ac:dyDescent="0.2">
      <c r="D51" t="s">
        <v>8</v>
      </c>
      <c r="E51">
        <f>1/2</f>
        <v>0.5</v>
      </c>
      <c r="F51">
        <f>23/38</f>
        <v>0.60526315789473684</v>
      </c>
    </row>
    <row r="52" spans="1:9" x14ac:dyDescent="0.2">
      <c r="A52">
        <v>5</v>
      </c>
      <c r="B52">
        <f>10/40</f>
        <v>0.25</v>
      </c>
      <c r="C52">
        <f>30/40</f>
        <v>0.75</v>
      </c>
      <c r="D52" t="s">
        <v>10</v>
      </c>
      <c r="E52">
        <f>5/10</f>
        <v>0.5</v>
      </c>
      <c r="F52">
        <f>11/30</f>
        <v>0.36666666666666664</v>
      </c>
      <c r="G52">
        <f>2*B52*C52</f>
        <v>0.375</v>
      </c>
      <c r="H52">
        <f>ABS(F52-E52) + ABS(F53-E53)</f>
        <v>0.26666666666666666</v>
      </c>
      <c r="I52">
        <f>G52*H52</f>
        <v>0.1</v>
      </c>
    </row>
    <row r="53" spans="1:9" x14ac:dyDescent="0.2">
      <c r="D53" t="s">
        <v>8</v>
      </c>
      <c r="E53">
        <f>5/10</f>
        <v>0.5</v>
      </c>
      <c r="F53">
        <f>19/30</f>
        <v>0.6333333333333333</v>
      </c>
    </row>
    <row r="54" spans="1:9" x14ac:dyDescent="0.2">
      <c r="A54">
        <v>6</v>
      </c>
      <c r="B54">
        <f>4/40</f>
        <v>0.1</v>
      </c>
      <c r="C54">
        <f>36/40</f>
        <v>0.9</v>
      </c>
      <c r="D54" t="s">
        <v>10</v>
      </c>
      <c r="E54">
        <f>0/4</f>
        <v>0</v>
      </c>
      <c r="F54">
        <f>16/36</f>
        <v>0.44444444444444442</v>
      </c>
      <c r="G54">
        <f>2*B54*C54</f>
        <v>0.18000000000000002</v>
      </c>
      <c r="H54">
        <f>ABS(F54-E54) + ABS(F55-E55)</f>
        <v>0.88888888888888884</v>
      </c>
      <c r="I54">
        <f>G54*H54</f>
        <v>0.16</v>
      </c>
    </row>
    <row r="55" spans="1:9" x14ac:dyDescent="0.2">
      <c r="D55" t="s">
        <v>8</v>
      </c>
      <c r="E55">
        <f>4/4</f>
        <v>1</v>
      </c>
      <c r="F55">
        <f>20/36</f>
        <v>0.55555555555555558</v>
      </c>
    </row>
  </sheetData>
  <autoFilter ref="A1:F41" xr:uid="{00000000-0001-0000-0000-000000000000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13.33203125" bestFit="1" customWidth="1"/>
    <col min="7" max="7" width="14.33203125" customWidth="1"/>
  </cols>
  <sheetData>
    <row r="1" spans="1:7" ht="16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/>
    </row>
    <row r="2" spans="1:7" x14ac:dyDescent="0.2">
      <c r="A2" s="2" t="s">
        <v>14</v>
      </c>
      <c r="B2" s="2" t="s">
        <v>7</v>
      </c>
      <c r="C2" s="2">
        <v>43</v>
      </c>
      <c r="D2" s="2">
        <v>62.5</v>
      </c>
      <c r="E2" s="2">
        <v>214</v>
      </c>
      <c r="F2" s="2" t="s">
        <v>8</v>
      </c>
    </row>
    <row r="3" spans="1:7" x14ac:dyDescent="0.2">
      <c r="A3" s="1" t="s">
        <v>12</v>
      </c>
      <c r="B3" s="1" t="s">
        <v>7</v>
      </c>
      <c r="C3" s="1">
        <v>45</v>
      </c>
      <c r="D3" s="1">
        <v>60</v>
      </c>
      <c r="E3" s="1">
        <v>156</v>
      </c>
      <c r="F3" s="1" t="s">
        <v>8</v>
      </c>
    </row>
    <row r="4" spans="1:7" x14ac:dyDescent="0.2">
      <c r="A4" s="1" t="s">
        <v>6</v>
      </c>
      <c r="B4" s="1" t="s">
        <v>7</v>
      </c>
      <c r="C4" s="1">
        <v>39</v>
      </c>
      <c r="D4" s="1">
        <v>60.75</v>
      </c>
      <c r="E4" s="1">
        <v>137</v>
      </c>
      <c r="F4" s="1" t="s">
        <v>10</v>
      </c>
    </row>
    <row r="5" spans="1:7" x14ac:dyDescent="0.2">
      <c r="A5" s="1" t="s">
        <v>13</v>
      </c>
      <c r="B5" s="1" t="s">
        <v>11</v>
      </c>
      <c r="C5" s="1">
        <v>60</v>
      </c>
      <c r="D5" s="1">
        <v>67</v>
      </c>
      <c r="E5" s="1">
        <v>161</v>
      </c>
      <c r="F5" s="1" t="s">
        <v>10</v>
      </c>
    </row>
    <row r="6" spans="1:7" x14ac:dyDescent="0.2">
      <c r="A6" s="1" t="s">
        <v>9</v>
      </c>
      <c r="B6" s="1" t="s">
        <v>7</v>
      </c>
      <c r="C6" s="1">
        <v>49</v>
      </c>
      <c r="D6" s="1">
        <v>56.5</v>
      </c>
      <c r="E6" s="1">
        <v>130</v>
      </c>
      <c r="F6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1"/>
  <sheetViews>
    <sheetView zoomScale="111" workbookViewId="0">
      <selection activeCell="I34" sqref="I34"/>
    </sheetView>
  </sheetViews>
  <sheetFormatPr baseColWidth="10" defaultColWidth="8.83203125" defaultRowHeight="15" x14ac:dyDescent="0.2"/>
  <cols>
    <col min="1" max="1" width="13.33203125" bestFit="1" customWidth="1"/>
    <col min="6" max="6" width="16.83203125" customWidth="1"/>
    <col min="9" max="9" width="17.33203125" customWidth="1"/>
  </cols>
  <sheetData>
    <row r="1" spans="1:8" ht="16" thickBot="1" x14ac:dyDescent="0.25">
      <c r="A1" s="3" t="s">
        <v>0</v>
      </c>
      <c r="B1" s="3" t="s">
        <v>1</v>
      </c>
      <c r="C1" s="3" t="s">
        <v>5</v>
      </c>
    </row>
    <row r="2" spans="1:8" x14ac:dyDescent="0.2">
      <c r="A2" s="2" t="s">
        <v>6</v>
      </c>
      <c r="B2" s="2" t="s">
        <v>7</v>
      </c>
      <c r="C2" s="2" t="s">
        <v>8</v>
      </c>
      <c r="F2" t="s">
        <v>5</v>
      </c>
    </row>
    <row r="3" spans="1:8" x14ac:dyDescent="0.2">
      <c r="A3" s="1" t="s">
        <v>9</v>
      </c>
      <c r="B3" s="1" t="s">
        <v>7</v>
      </c>
      <c r="C3" s="1" t="s">
        <v>10</v>
      </c>
      <c r="F3" t="s">
        <v>10</v>
      </c>
      <c r="G3">
        <f>COUNTIFS(C2:C41,"Normal")/COUNTA(C2:C41)</f>
        <v>0.4</v>
      </c>
    </row>
    <row r="4" spans="1:8" x14ac:dyDescent="0.2">
      <c r="A4" s="1" t="s">
        <v>9</v>
      </c>
      <c r="B4" s="1" t="s">
        <v>11</v>
      </c>
      <c r="C4" s="1" t="s">
        <v>8</v>
      </c>
      <c r="F4" t="s">
        <v>8</v>
      </c>
      <c r="G4">
        <f>COUNTIFS(C2:C41,"High")/COUNTA(C2:C41)</f>
        <v>0.6</v>
      </c>
    </row>
    <row r="5" spans="1:8" x14ac:dyDescent="0.2">
      <c r="A5" s="1" t="s">
        <v>9</v>
      </c>
      <c r="B5" s="1" t="s">
        <v>7</v>
      </c>
      <c r="C5" s="1" t="s">
        <v>10</v>
      </c>
    </row>
    <row r="6" spans="1:8" x14ac:dyDescent="0.2">
      <c r="A6" s="1" t="s">
        <v>12</v>
      </c>
      <c r="B6" s="1" t="s">
        <v>11</v>
      </c>
      <c r="C6" s="1" t="s">
        <v>8</v>
      </c>
      <c r="F6" t="s">
        <v>1</v>
      </c>
      <c r="G6" t="s">
        <v>10</v>
      </c>
      <c r="H6" t="s">
        <v>8</v>
      </c>
    </row>
    <row r="7" spans="1:8" x14ac:dyDescent="0.2">
      <c r="A7" s="1" t="s">
        <v>9</v>
      </c>
      <c r="B7" s="1" t="s">
        <v>7</v>
      </c>
      <c r="C7" s="1" t="s">
        <v>10</v>
      </c>
      <c r="F7" t="s">
        <v>11</v>
      </c>
      <c r="G7">
        <f>COUNTIFS(C2:C41, "Normal", B2:B41, "Male")/COUNTIFS(C2:C41,"Normal")</f>
        <v>0.3125</v>
      </c>
      <c r="H7">
        <f>COUNTIFS(C2:C41, "High", B2:B41, "Male")/COUNTIFS(C2:C41, "High")</f>
        <v>0.54166666666666663</v>
      </c>
    </row>
    <row r="8" spans="1:8" x14ac:dyDescent="0.2">
      <c r="A8" s="1" t="s">
        <v>9</v>
      </c>
      <c r="B8" s="1" t="s">
        <v>11</v>
      </c>
      <c r="C8" s="1" t="s">
        <v>8</v>
      </c>
      <c r="F8" t="s">
        <v>7</v>
      </c>
      <c r="G8">
        <f>COUNTIFS(C2:C41, "Normal", B2:B41, "Female")/COUNTIFS(C2:C41,"Normal")</f>
        <v>0.6875</v>
      </c>
      <c r="H8">
        <f>COUNTIFS(C2:C41,"High",B2:B41,"Female")/COUNTIFS(C2:C41,"High")</f>
        <v>0.45833333333333331</v>
      </c>
    </row>
    <row r="9" spans="1:8" x14ac:dyDescent="0.2">
      <c r="A9" s="1" t="s">
        <v>9</v>
      </c>
      <c r="B9" s="1" t="s">
        <v>7</v>
      </c>
      <c r="C9" s="1" t="s">
        <v>8</v>
      </c>
    </row>
    <row r="10" spans="1:8" x14ac:dyDescent="0.2">
      <c r="A10" s="1" t="s">
        <v>9</v>
      </c>
      <c r="B10" s="1" t="s">
        <v>7</v>
      </c>
      <c r="C10" s="1" t="s">
        <v>10</v>
      </c>
      <c r="F10" t="s">
        <v>15</v>
      </c>
      <c r="G10" t="s">
        <v>10</v>
      </c>
      <c r="H10" t="s">
        <v>8</v>
      </c>
    </row>
    <row r="11" spans="1:8" x14ac:dyDescent="0.2">
      <c r="A11" s="1" t="s">
        <v>13</v>
      </c>
      <c r="B11" s="1" t="s">
        <v>11</v>
      </c>
      <c r="C11" s="1" t="s">
        <v>10</v>
      </c>
      <c r="F11" t="s">
        <v>9</v>
      </c>
      <c r="G11">
        <f>COUNTIFS(C2:C41, "Normal", A2:A41, "1- Non-smoker")/COUNTIFS(C2:C41,"Normal")</f>
        <v>0.5</v>
      </c>
      <c r="H11">
        <f>COUNTIFS(C2:C41, "High", A2:A41, "1- Non-smoker")/COUNTIFS(C2:C41,"High")</f>
        <v>0.54166666666666663</v>
      </c>
    </row>
    <row r="12" spans="1:8" x14ac:dyDescent="0.2">
      <c r="A12" s="1" t="s">
        <v>9</v>
      </c>
      <c r="B12" s="1" t="s">
        <v>7</v>
      </c>
      <c r="C12" s="1" t="s">
        <v>8</v>
      </c>
      <c r="F12" t="s">
        <v>14</v>
      </c>
      <c r="G12">
        <f>COUNTIFS(C2:C41, "Normal", A2:A41, "2- Light")/COUNTIFS(C2:C41,"Normal")</f>
        <v>0.125</v>
      </c>
      <c r="H12">
        <f>COUNTIFS(C2:C41, "High", A2:A41, "2- Light")/COUNTIFS(C2:C41,"High")</f>
        <v>4.1666666666666664E-2</v>
      </c>
    </row>
    <row r="13" spans="1:8" x14ac:dyDescent="0.2">
      <c r="A13" s="1" t="s">
        <v>6</v>
      </c>
      <c r="B13" s="1" t="s">
        <v>11</v>
      </c>
      <c r="C13" s="1" t="s">
        <v>10</v>
      </c>
      <c r="F13" t="s">
        <v>6</v>
      </c>
      <c r="G13">
        <f>COUNTIFS(C2:C41, "Normal", A2:A41, "3- Moderate")/COUNTIFS(C2:C41,"Normal")</f>
        <v>6.25E-2</v>
      </c>
      <c r="H13">
        <f>COUNTIFS(C2:C41, "High", A2:A41, "3- Moderate")/COUNTIFS(C2:C41,"High")</f>
        <v>4.1666666666666664E-2</v>
      </c>
    </row>
    <row r="14" spans="1:8" x14ac:dyDescent="0.2">
      <c r="A14" s="1" t="s">
        <v>14</v>
      </c>
      <c r="B14" s="1" t="s">
        <v>7</v>
      </c>
      <c r="C14" s="1" t="s">
        <v>10</v>
      </c>
      <c r="F14" t="s">
        <v>13</v>
      </c>
      <c r="G14">
        <f>COUNTIFS(C2:C41, "Normal", A2:A41, "4- Heavy")/COUNTIFS(C2:C41,"Normal")</f>
        <v>0.3125</v>
      </c>
      <c r="H14">
        <f>COUNTIFS(C2:C41, "High", A2:A41, "4- Heavy")/COUNTIFS(C2:C41,"High")</f>
        <v>0.20833333333333334</v>
      </c>
    </row>
    <row r="15" spans="1:8" x14ac:dyDescent="0.2">
      <c r="A15" s="1" t="s">
        <v>9</v>
      </c>
      <c r="B15" s="1" t="s">
        <v>7</v>
      </c>
      <c r="C15" s="1" t="s">
        <v>8</v>
      </c>
      <c r="F15" t="s">
        <v>12</v>
      </c>
      <c r="G15">
        <f>COUNTIFS(C2:C41, "Normal", A2:A41, "5- Very Heavy")/COUNTIFS(C2:C41,"Normal")</f>
        <v>0</v>
      </c>
      <c r="H15">
        <f>COUNTIFS(C2:C41, "High", A2:A41, "5- Very Heavy")/COUNTIFS(C2:C41,"High")</f>
        <v>0.16666666666666666</v>
      </c>
    </row>
    <row r="16" spans="1:8" x14ac:dyDescent="0.2">
      <c r="A16" s="1" t="s">
        <v>9</v>
      </c>
      <c r="B16" s="1" t="s">
        <v>7</v>
      </c>
      <c r="C16" s="1" t="s">
        <v>8</v>
      </c>
    </row>
    <row r="17" spans="1:10" x14ac:dyDescent="0.2">
      <c r="A17" s="1" t="s">
        <v>13</v>
      </c>
      <c r="B17" s="1" t="s">
        <v>11</v>
      </c>
      <c r="C17" s="1" t="s">
        <v>10</v>
      </c>
      <c r="F17" t="s">
        <v>34</v>
      </c>
      <c r="I17" t="s">
        <v>58</v>
      </c>
    </row>
    <row r="18" spans="1:10" x14ac:dyDescent="0.2">
      <c r="A18" s="1" t="s">
        <v>9</v>
      </c>
      <c r="B18" s="1" t="s">
        <v>7</v>
      </c>
      <c r="C18" s="1" t="s">
        <v>10</v>
      </c>
      <c r="F18" t="s">
        <v>35</v>
      </c>
      <c r="G18">
        <f>G7*G11</f>
        <v>0.15625</v>
      </c>
      <c r="I18" t="s">
        <v>37</v>
      </c>
      <c r="J18">
        <f>G3*G18</f>
        <v>6.25E-2</v>
      </c>
    </row>
    <row r="19" spans="1:10" x14ac:dyDescent="0.2">
      <c r="A19" s="1" t="s">
        <v>12</v>
      </c>
      <c r="B19" s="1" t="s">
        <v>11</v>
      </c>
      <c r="C19" s="1" t="s">
        <v>8</v>
      </c>
      <c r="F19" t="s">
        <v>16</v>
      </c>
      <c r="G19">
        <f>G7*G12</f>
        <v>3.90625E-2</v>
      </c>
      <c r="I19" t="s">
        <v>38</v>
      </c>
      <c r="J19" s="6">
        <f>G3*G19</f>
        <v>1.5625E-2</v>
      </c>
    </row>
    <row r="20" spans="1:10" x14ac:dyDescent="0.2">
      <c r="A20" s="1" t="s">
        <v>13</v>
      </c>
      <c r="B20" s="1" t="s">
        <v>11</v>
      </c>
      <c r="C20" s="1" t="s">
        <v>8</v>
      </c>
      <c r="F20" t="s">
        <v>17</v>
      </c>
      <c r="G20">
        <f>G7*G13</f>
        <v>1.953125E-2</v>
      </c>
      <c r="I20" t="s">
        <v>39</v>
      </c>
      <c r="J20">
        <f>G3*G20</f>
        <v>7.8125E-3</v>
      </c>
    </row>
    <row r="21" spans="1:10" x14ac:dyDescent="0.2">
      <c r="A21" s="1" t="s">
        <v>9</v>
      </c>
      <c r="B21" s="1" t="s">
        <v>7</v>
      </c>
      <c r="C21" s="1" t="s">
        <v>10</v>
      </c>
      <c r="F21" t="s">
        <v>18</v>
      </c>
      <c r="G21">
        <f>G7*G14</f>
        <v>9.765625E-2</v>
      </c>
      <c r="I21" t="s">
        <v>40</v>
      </c>
      <c r="J21">
        <f>G3*G21</f>
        <v>3.90625E-2</v>
      </c>
    </row>
    <row r="22" spans="1:10" x14ac:dyDescent="0.2">
      <c r="A22" s="1" t="s">
        <v>13</v>
      </c>
      <c r="B22" s="1" t="s">
        <v>7</v>
      </c>
      <c r="C22" s="1" t="s">
        <v>10</v>
      </c>
      <c r="F22" t="s">
        <v>19</v>
      </c>
      <c r="G22">
        <f>G7*G15</f>
        <v>0</v>
      </c>
      <c r="I22" t="s">
        <v>41</v>
      </c>
      <c r="J22">
        <f>G3*G22</f>
        <v>0</v>
      </c>
    </row>
    <row r="23" spans="1:10" x14ac:dyDescent="0.2">
      <c r="A23" s="1" t="s">
        <v>13</v>
      </c>
      <c r="B23" s="1" t="s">
        <v>11</v>
      </c>
      <c r="C23" s="1" t="s">
        <v>8</v>
      </c>
      <c r="F23" t="s">
        <v>36</v>
      </c>
      <c r="G23">
        <f>H7*H11</f>
        <v>0.29340277777777773</v>
      </c>
      <c r="I23" t="s">
        <v>42</v>
      </c>
      <c r="J23" s="6">
        <f>G4*G23</f>
        <v>0.17604166666666662</v>
      </c>
    </row>
    <row r="24" spans="1:10" x14ac:dyDescent="0.2">
      <c r="A24" s="1" t="s">
        <v>9</v>
      </c>
      <c r="B24" s="1" t="s">
        <v>11</v>
      </c>
      <c r="C24" s="1" t="s">
        <v>8</v>
      </c>
      <c r="F24" t="s">
        <v>20</v>
      </c>
      <c r="G24">
        <f>H7*H12</f>
        <v>2.2569444444444441E-2</v>
      </c>
      <c r="I24" t="s">
        <v>43</v>
      </c>
      <c r="J24">
        <f>G4*G24</f>
        <v>1.3541666666666664E-2</v>
      </c>
    </row>
    <row r="25" spans="1:10" x14ac:dyDescent="0.2">
      <c r="A25" s="1" t="s">
        <v>13</v>
      </c>
      <c r="B25" s="1" t="s">
        <v>11</v>
      </c>
      <c r="C25" s="1" t="s">
        <v>10</v>
      </c>
      <c r="F25" t="s">
        <v>21</v>
      </c>
      <c r="G25">
        <f>H7*H13</f>
        <v>2.2569444444444441E-2</v>
      </c>
      <c r="I25" t="s">
        <v>44</v>
      </c>
      <c r="J25" s="6">
        <f>G4*G25</f>
        <v>1.3541666666666664E-2</v>
      </c>
    </row>
    <row r="26" spans="1:10" x14ac:dyDescent="0.2">
      <c r="A26" s="1" t="s">
        <v>9</v>
      </c>
      <c r="B26" s="1" t="s">
        <v>7</v>
      </c>
      <c r="C26" s="1" t="s">
        <v>8</v>
      </c>
      <c r="F26" t="s">
        <v>22</v>
      </c>
      <c r="G26">
        <f>H7*H14</f>
        <v>0.11284722222222222</v>
      </c>
      <c r="I26" t="s">
        <v>45</v>
      </c>
      <c r="J26" s="6">
        <f>G4*G26</f>
        <v>6.7708333333333329E-2</v>
      </c>
    </row>
    <row r="27" spans="1:10" x14ac:dyDescent="0.2">
      <c r="A27" s="1" t="s">
        <v>9</v>
      </c>
      <c r="B27" s="1" t="s">
        <v>7</v>
      </c>
      <c r="C27" s="1" t="s">
        <v>8</v>
      </c>
      <c r="F27" t="s">
        <v>23</v>
      </c>
      <c r="G27">
        <f>H7*H15</f>
        <v>9.0277777777777762E-2</v>
      </c>
      <c r="I27" t="s">
        <v>46</v>
      </c>
      <c r="J27" s="6">
        <f>G4*G27</f>
        <v>5.4166666666666655E-2</v>
      </c>
    </row>
    <row r="28" spans="1:10" x14ac:dyDescent="0.2">
      <c r="A28" s="1" t="s">
        <v>9</v>
      </c>
      <c r="B28" s="1" t="s">
        <v>11</v>
      </c>
      <c r="C28" s="1" t="s">
        <v>8</v>
      </c>
      <c r="F28" t="s">
        <v>24</v>
      </c>
      <c r="G28">
        <f>G8*G11</f>
        <v>0.34375</v>
      </c>
      <c r="I28" t="s">
        <v>47</v>
      </c>
      <c r="J28">
        <f>G3*G28</f>
        <v>0.13750000000000001</v>
      </c>
    </row>
    <row r="29" spans="1:10" x14ac:dyDescent="0.2">
      <c r="A29" s="1" t="s">
        <v>9</v>
      </c>
      <c r="B29" s="1" t="s">
        <v>11</v>
      </c>
      <c r="C29" s="1" t="s">
        <v>8</v>
      </c>
      <c r="F29" t="s">
        <v>25</v>
      </c>
      <c r="G29">
        <f>G8*G12</f>
        <v>8.59375E-2</v>
      </c>
      <c r="I29" t="s">
        <v>48</v>
      </c>
      <c r="J29" s="6">
        <f>G3*G29</f>
        <v>3.4375000000000003E-2</v>
      </c>
    </row>
    <row r="30" spans="1:10" x14ac:dyDescent="0.2">
      <c r="A30" s="1" t="s">
        <v>9</v>
      </c>
      <c r="B30" s="1" t="s">
        <v>7</v>
      </c>
      <c r="C30" s="1" t="s">
        <v>10</v>
      </c>
      <c r="F30" t="s">
        <v>26</v>
      </c>
      <c r="G30">
        <f>G8*G13</f>
        <v>4.296875E-2</v>
      </c>
      <c r="I30" t="s">
        <v>49</v>
      </c>
      <c r="J30" s="6">
        <f>G3*G30</f>
        <v>1.7187500000000001E-2</v>
      </c>
    </row>
    <row r="31" spans="1:10" x14ac:dyDescent="0.2">
      <c r="A31" s="1" t="s">
        <v>14</v>
      </c>
      <c r="B31" s="1" t="s">
        <v>7</v>
      </c>
      <c r="C31" s="1" t="s">
        <v>8</v>
      </c>
      <c r="F31" t="s">
        <v>27</v>
      </c>
      <c r="G31">
        <f>G8*G14</f>
        <v>0.21484375</v>
      </c>
      <c r="I31" t="s">
        <v>50</v>
      </c>
      <c r="J31" s="6">
        <f>G3*G31</f>
        <v>8.59375E-2</v>
      </c>
    </row>
    <row r="32" spans="1:10" x14ac:dyDescent="0.2">
      <c r="A32" s="1" t="s">
        <v>14</v>
      </c>
      <c r="B32" s="1" t="s">
        <v>7</v>
      </c>
      <c r="C32" s="1" t="s">
        <v>10</v>
      </c>
      <c r="F32" t="s">
        <v>28</v>
      </c>
      <c r="G32">
        <f>G8*G15</f>
        <v>0</v>
      </c>
      <c r="I32" t="s">
        <v>51</v>
      </c>
      <c r="J32">
        <f>G3*G32</f>
        <v>0</v>
      </c>
    </row>
    <row r="33" spans="1:10" x14ac:dyDescent="0.2">
      <c r="A33" s="1" t="s">
        <v>13</v>
      </c>
      <c r="B33" s="1" t="s">
        <v>11</v>
      </c>
      <c r="C33" s="1" t="s">
        <v>8</v>
      </c>
      <c r="F33" t="s">
        <v>29</v>
      </c>
      <c r="G33">
        <f>H8*H11</f>
        <v>0.24826388888888887</v>
      </c>
      <c r="I33" t="s">
        <v>52</v>
      </c>
      <c r="J33" s="6">
        <f>G4*G33</f>
        <v>0.1489583333333333</v>
      </c>
    </row>
    <row r="34" spans="1:10" x14ac:dyDescent="0.2">
      <c r="A34" s="1" t="s">
        <v>9</v>
      </c>
      <c r="B34" s="1" t="s">
        <v>7</v>
      </c>
      <c r="C34" s="1" t="s">
        <v>8</v>
      </c>
      <c r="F34" t="s">
        <v>30</v>
      </c>
      <c r="G34">
        <f>H8*H12</f>
        <v>1.909722222222222E-2</v>
      </c>
      <c r="I34" t="s">
        <v>53</v>
      </c>
      <c r="J34">
        <f>G4*G34</f>
        <v>1.1458333333333333E-2</v>
      </c>
    </row>
    <row r="35" spans="1:10" x14ac:dyDescent="0.2">
      <c r="A35" s="1" t="s">
        <v>13</v>
      </c>
      <c r="B35" s="1" t="s">
        <v>11</v>
      </c>
      <c r="C35" s="1" t="s">
        <v>8</v>
      </c>
      <c r="F35" t="s">
        <v>31</v>
      </c>
      <c r="G35">
        <f>H8*H13</f>
        <v>1.909722222222222E-2</v>
      </c>
      <c r="I35" t="s">
        <v>54</v>
      </c>
      <c r="J35">
        <f>G4*G35</f>
        <v>1.1458333333333333E-2</v>
      </c>
    </row>
    <row r="36" spans="1:10" x14ac:dyDescent="0.2">
      <c r="A36" s="1" t="s">
        <v>9</v>
      </c>
      <c r="B36" s="1" t="s">
        <v>7</v>
      </c>
      <c r="C36" s="1" t="s">
        <v>10</v>
      </c>
      <c r="F36" t="s">
        <v>32</v>
      </c>
      <c r="G36">
        <f>H8*H14</f>
        <v>9.5486111111111105E-2</v>
      </c>
      <c r="I36" t="s">
        <v>55</v>
      </c>
      <c r="J36" s="7">
        <f>G4*G36</f>
        <v>5.7291666666666657E-2</v>
      </c>
    </row>
    <row r="37" spans="1:10" x14ac:dyDescent="0.2">
      <c r="A37" s="1" t="s">
        <v>13</v>
      </c>
      <c r="B37" s="1" t="s">
        <v>11</v>
      </c>
      <c r="C37" s="1" t="s">
        <v>10</v>
      </c>
      <c r="F37" t="s">
        <v>33</v>
      </c>
      <c r="G37">
        <f>H8*H15</f>
        <v>7.6388888888888881E-2</v>
      </c>
      <c r="I37" t="s">
        <v>56</v>
      </c>
      <c r="J37" s="6">
        <f>G4*G37</f>
        <v>4.583333333333333E-2</v>
      </c>
    </row>
    <row r="38" spans="1:10" x14ac:dyDescent="0.2">
      <c r="A38" s="1" t="s">
        <v>12</v>
      </c>
      <c r="B38" s="1" t="s">
        <v>11</v>
      </c>
      <c r="C38" s="1" t="s">
        <v>8</v>
      </c>
    </row>
    <row r="39" spans="1:10" x14ac:dyDescent="0.2">
      <c r="A39" s="1" t="s">
        <v>12</v>
      </c>
      <c r="B39" s="1" t="s">
        <v>11</v>
      </c>
      <c r="C39" s="1" t="s">
        <v>8</v>
      </c>
    </row>
    <row r="40" spans="1:10" x14ac:dyDescent="0.2">
      <c r="A40" s="1" t="s">
        <v>13</v>
      </c>
      <c r="B40" s="1" t="s">
        <v>7</v>
      </c>
      <c r="C40" s="1" t="s">
        <v>8</v>
      </c>
    </row>
    <row r="41" spans="1:10" x14ac:dyDescent="0.2">
      <c r="A41" s="1" t="s">
        <v>9</v>
      </c>
      <c r="B41" s="1" t="s">
        <v>7</v>
      </c>
      <c r="C41" s="1" t="s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13.33203125" bestFit="1" customWidth="1"/>
    <col min="4" max="4" width="17.5" customWidth="1"/>
  </cols>
  <sheetData>
    <row r="1" spans="1:4" ht="16" thickBot="1" x14ac:dyDescent="0.25">
      <c r="A1" s="4" t="s">
        <v>0</v>
      </c>
      <c r="B1" s="4" t="s">
        <v>1</v>
      </c>
      <c r="C1" s="4" t="s">
        <v>5</v>
      </c>
      <c r="D1" s="5" t="s">
        <v>57</v>
      </c>
    </row>
    <row r="2" spans="1:4" x14ac:dyDescent="0.2">
      <c r="A2" s="2" t="s">
        <v>14</v>
      </c>
      <c r="B2" s="2" t="s">
        <v>7</v>
      </c>
      <c r="C2" s="2" t="s">
        <v>8</v>
      </c>
      <c r="D2" s="5" t="s">
        <v>10</v>
      </c>
    </row>
    <row r="3" spans="1:4" x14ac:dyDescent="0.2">
      <c r="A3" s="1" t="s">
        <v>12</v>
      </c>
      <c r="B3" s="1" t="s">
        <v>7</v>
      </c>
      <c r="C3" s="1" t="s">
        <v>8</v>
      </c>
      <c r="D3" s="5" t="s">
        <v>8</v>
      </c>
    </row>
    <row r="4" spans="1:4" x14ac:dyDescent="0.2">
      <c r="A4" s="1" t="s">
        <v>6</v>
      </c>
      <c r="B4" s="1" t="s">
        <v>7</v>
      </c>
      <c r="C4" s="1" t="s">
        <v>10</v>
      </c>
      <c r="D4" s="5" t="s">
        <v>10</v>
      </c>
    </row>
    <row r="5" spans="1:4" x14ac:dyDescent="0.2">
      <c r="A5" s="1" t="s">
        <v>13</v>
      </c>
      <c r="B5" s="1" t="s">
        <v>11</v>
      </c>
      <c r="C5" s="1" t="s">
        <v>10</v>
      </c>
      <c r="D5" s="5" t="s">
        <v>8</v>
      </c>
    </row>
    <row r="6" spans="1:4" x14ac:dyDescent="0.2">
      <c r="A6" s="1" t="s">
        <v>9</v>
      </c>
      <c r="B6" s="1" t="s">
        <v>7</v>
      </c>
      <c r="C6" s="1" t="s">
        <v>10</v>
      </c>
      <c r="D6" s="5" t="s">
        <v>8</v>
      </c>
    </row>
    <row r="7" spans="1:4" x14ac:dyDescent="0.2">
      <c r="C7" s="5" t="s">
        <v>73</v>
      </c>
      <c r="D7"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8"/>
  <sheetViews>
    <sheetView workbookViewId="0">
      <selection activeCell="L14" sqref="L14"/>
    </sheetView>
  </sheetViews>
  <sheetFormatPr baseColWidth="10" defaultColWidth="8.83203125" defaultRowHeight="15" x14ac:dyDescent="0.2"/>
  <cols>
    <col min="8" max="8" width="26.1640625" customWidth="1"/>
    <col min="9" max="9" width="9.1640625" customWidth="1"/>
    <col min="10" max="10" width="26.5" customWidth="1"/>
    <col min="11" max="11" width="7" customWidth="1"/>
    <col min="12" max="12" width="26.33203125" customWidth="1"/>
    <col min="13" max="13" width="7.1640625" customWidth="1"/>
    <col min="14" max="14" width="26.33203125" customWidth="1"/>
    <col min="15" max="15" width="5.33203125" customWidth="1"/>
    <col min="16" max="16" width="26.5" customWidth="1"/>
  </cols>
  <sheetData>
    <row r="1" spans="1:17" ht="16" thickBot="1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H1" s="8" t="s">
        <v>59</v>
      </c>
      <c r="I1" s="8" t="s">
        <v>71</v>
      </c>
      <c r="J1" s="8" t="s">
        <v>60</v>
      </c>
      <c r="K1" s="8" t="s">
        <v>72</v>
      </c>
      <c r="L1" s="8" t="s">
        <v>61</v>
      </c>
      <c r="M1" s="8" t="s">
        <v>72</v>
      </c>
      <c r="N1" s="8" t="s">
        <v>62</v>
      </c>
      <c r="O1" s="8" t="s">
        <v>72</v>
      </c>
      <c r="P1" s="8" t="s">
        <v>63</v>
      </c>
      <c r="Q1" s="8" t="s">
        <v>72</v>
      </c>
    </row>
    <row r="2" spans="1:17" x14ac:dyDescent="0.2">
      <c r="A2" s="2" t="s">
        <v>7</v>
      </c>
      <c r="B2" s="2">
        <v>57</v>
      </c>
      <c r="C2" s="2">
        <v>62.25</v>
      </c>
      <c r="D2" s="2">
        <v>132</v>
      </c>
      <c r="E2" s="2" t="s">
        <v>8</v>
      </c>
      <c r="H2">
        <f>SQRT((IF(A2="Male",1,0) - IF($A$44="Male",1,0))^2 + (B2-$B$44)^2 + (C2-$C$44)^2 + (D2-$D$44)^2)</f>
        <v>83.186913033240998</v>
      </c>
      <c r="I2">
        <f>RANK(H2,$H$2:$H$41,1)</f>
        <v>29</v>
      </c>
      <c r="J2">
        <f>SQRT((IF(A2="Male",1,0)-IF(BP_Num_Test!$A$3="Male",1,0))^2+(B2-BP_Num_Test!$B$3)^2+(C2-BP_Num_Test!$C$3)^2+(D2-BP_Num_Test!$D$3)^2)</f>
        <v>26.926984606524364</v>
      </c>
      <c r="K2">
        <f>RANK(J2,$J$2:$J$41,1)</f>
        <v>23</v>
      </c>
      <c r="L2">
        <f>SQRT((IF(A2="Male",1,0)-IF(BP_Num_Test!$A$4="Male",1,0))^2+(B2-BP_Num_Test!$B$4)^2+(C2-BP_Num_Test!$C$4)^2+(D2-BP_Num_Test!$D$4)^2)</f>
        <v>18.741664813991314</v>
      </c>
      <c r="M2">
        <f>RANK(L2,$L$2:$L$41,1)</f>
        <v>16</v>
      </c>
      <c r="N2">
        <f>SQRT((IF(A2="Male",1,0)-IF(BP_Num_Test!$A$5="Male",1,0))^2+(B2-BP_Num_Test!$B$5)^2+(C2-BP_Num_Test!$C$5)^2+(D2-BP_Num_Test!$D$5)^2)</f>
        <v>29.556090742857048</v>
      </c>
      <c r="O2">
        <f>RANK(N2,$N$2:$N$41,1)</f>
        <v>23</v>
      </c>
      <c r="P2">
        <f>SQRT((IF(A2="Male",1,0) - IF($A$48="Male",1,0))^2 + (B2-$B$48)^2 + (C2-$C$48)^2 + (D2-$D$48)^2)</f>
        <v>10.05298463144155</v>
      </c>
      <c r="Q2">
        <f>RANK(P2,$P$2:$P$41,1)</f>
        <v>5</v>
      </c>
    </row>
    <row r="3" spans="1:17" x14ac:dyDescent="0.2">
      <c r="A3" s="1" t="s">
        <v>7</v>
      </c>
      <c r="B3" s="1">
        <v>48</v>
      </c>
      <c r="C3" s="1">
        <v>59.5</v>
      </c>
      <c r="D3" s="1">
        <v>137</v>
      </c>
      <c r="E3" s="1" t="s">
        <v>10</v>
      </c>
      <c r="H3">
        <f t="shared" ref="H3:H41" si="0">SQRT((IF(A3="Male",1,0)-IF($A$44="Male",1,0))^2+(B3-$B$44)^2+(C3-$C$44)^2+(D3-$D$44)^2)</f>
        <v>77.220463609071913</v>
      </c>
      <c r="I3">
        <f t="shared" ref="I3:I41" si="1">RANK(H3,$H$2:$H$41,1)</f>
        <v>27</v>
      </c>
      <c r="J3">
        <f>SQRT((IF(A3="Male",1,0)-IF(BP_Num_Test!$A$3="Male",1,0))^2+(B3-BP_Num_Test!$B$3)^2+(C3-BP_Num_Test!$C$3)^2+(D3-BP_Num_Test!$D$3)^2)</f>
        <v>19.241881404893856</v>
      </c>
      <c r="K3">
        <f t="shared" ref="K3:K41" si="2">RANK(J3,$J$2:$J$41,1)</f>
        <v>17</v>
      </c>
      <c r="L3" s="6">
        <f>SQRT((IF(A3="Male",1,0)-IF(BP_Num_Test!$A$4="Male",1,0))^2+(B3-BP_Num_Test!$B$4)^2+(C3-BP_Num_Test!$C$4)^2+(D3-BP_Num_Test!$D$4)^2)</f>
        <v>9.0863909226931234</v>
      </c>
      <c r="M3">
        <f t="shared" ref="M3:M41" si="3">RANK(L3,$L$2:$L$41,1)</f>
        <v>2</v>
      </c>
      <c r="N3">
        <f>SQRT((IF(A3="Male",1,0)-IF(BP_Num_Test!$A$5="Male",1,0))^2+(B3-BP_Num_Test!$B$5)^2+(C3-BP_Num_Test!$C$5)^2+(D3-BP_Num_Test!$D$5)^2)</f>
        <v>27.879203718901298</v>
      </c>
      <c r="O3">
        <f t="shared" ref="O3:O41" si="4">RANK(N3,$N$2:$N$41,1)</f>
        <v>21</v>
      </c>
      <c r="P3">
        <f t="shared" ref="P3:P41" si="5">SQRT((IF(A3="Male",1,0) - IF($A$48="Male",1,0))^2 + (B3-$B$48)^2 + (C3-$C$48)^2 + (D3-$D$48)^2)</f>
        <v>7.6811457478686078</v>
      </c>
      <c r="Q3">
        <f t="shared" ref="Q3:Q41" si="6">RANK(P3,$P$2:$P$41,1)</f>
        <v>3</v>
      </c>
    </row>
    <row r="4" spans="1:17" x14ac:dyDescent="0.2">
      <c r="A4" s="1" t="s">
        <v>11</v>
      </c>
      <c r="B4" s="1">
        <v>45</v>
      </c>
      <c r="C4" s="1">
        <v>62</v>
      </c>
      <c r="D4" s="1">
        <v>150</v>
      </c>
      <c r="E4" s="1" t="s">
        <v>8</v>
      </c>
      <c r="H4">
        <f t="shared" si="0"/>
        <v>64.041002490591922</v>
      </c>
      <c r="I4">
        <f t="shared" si="1"/>
        <v>22</v>
      </c>
      <c r="J4">
        <f>SQRT((IF(A4="Male",1,0)-IF(BP_Num_Test!$A$3="Male",1,0))^2+(B4-BP_Num_Test!$B$3)^2+(C4-BP_Num_Test!$C$3)^2+(D4-BP_Num_Test!$D$3)^2)</f>
        <v>6.4031242374328485</v>
      </c>
      <c r="K4">
        <f t="shared" si="2"/>
        <v>3</v>
      </c>
      <c r="L4">
        <f>SQRT((IF(A4="Male",1,0)-IF(BP_Num_Test!$A$4="Male",1,0))^2+(B4-BP_Num_Test!$B$4)^2+(C4-BP_Num_Test!$C$4)^2+(D4-BP_Num_Test!$D$4)^2)</f>
        <v>14.407029534223909</v>
      </c>
      <c r="M4">
        <f t="shared" si="3"/>
        <v>9</v>
      </c>
      <c r="N4">
        <f>SQRT((IF(A4="Male",1,0)-IF(BP_Num_Test!$A$5="Male",1,0))^2+(B4-BP_Num_Test!$B$5)^2+(C4-BP_Num_Test!$C$5)^2+(D4-BP_Num_Test!$D$5)^2)</f>
        <v>19.261360284258224</v>
      </c>
      <c r="O4">
        <f t="shared" si="4"/>
        <v>8</v>
      </c>
      <c r="P4">
        <f t="shared" si="5"/>
        <v>21.148285982556601</v>
      </c>
      <c r="Q4">
        <f t="shared" si="6"/>
        <v>15</v>
      </c>
    </row>
    <row r="5" spans="1:17" x14ac:dyDescent="0.2">
      <c r="A5" s="1" t="s">
        <v>7</v>
      </c>
      <c r="B5" s="1">
        <v>35</v>
      </c>
      <c r="C5" s="1">
        <v>62.5</v>
      </c>
      <c r="D5" s="1">
        <v>107</v>
      </c>
      <c r="E5" s="1" t="s">
        <v>10</v>
      </c>
      <c r="H5">
        <f t="shared" si="0"/>
        <v>107.29864864013899</v>
      </c>
      <c r="I5">
        <f t="shared" si="1"/>
        <v>39</v>
      </c>
      <c r="J5">
        <f>SQRT((IF(A5="Male",1,0)-IF(BP_Num_Test!$A$3="Male",1,0))^2+(B5-BP_Num_Test!$B$3)^2+(C5-BP_Num_Test!$C$3)^2+(D5-BP_Num_Test!$D$3)^2)</f>
        <v>50.072447513577764</v>
      </c>
      <c r="K5">
        <f t="shared" si="2"/>
        <v>38</v>
      </c>
      <c r="L5">
        <f>SQRT((IF(A5="Male",1,0)-IF(BP_Num_Test!$A$4="Male",1,0))^2+(B5-BP_Num_Test!$B$4)^2+(C5-BP_Num_Test!$C$4)^2+(D5-BP_Num_Test!$D$4)^2)</f>
        <v>30.316043607304696</v>
      </c>
      <c r="M5">
        <f t="shared" si="3"/>
        <v>26</v>
      </c>
      <c r="N5">
        <f>SQRT((IF(A5="Male",1,0)-IF(BP_Num_Test!$A$5="Male",1,0))^2+(B5-BP_Num_Test!$B$5)^2+(C5-BP_Num_Test!$C$5)^2+(D5-BP_Num_Test!$D$5)^2)</f>
        <v>59.68458762528229</v>
      </c>
      <c r="O5">
        <f t="shared" si="4"/>
        <v>39</v>
      </c>
      <c r="P5">
        <f t="shared" si="5"/>
        <v>27.586228448267445</v>
      </c>
      <c r="Q5">
        <f t="shared" si="6"/>
        <v>25</v>
      </c>
    </row>
    <row r="6" spans="1:17" x14ac:dyDescent="0.2">
      <c r="A6" s="1" t="s">
        <v>11</v>
      </c>
      <c r="B6" s="1">
        <v>48</v>
      </c>
      <c r="C6" s="1">
        <v>64.5</v>
      </c>
      <c r="D6" s="1">
        <v>154</v>
      </c>
      <c r="E6" s="1" t="s">
        <v>8</v>
      </c>
      <c r="H6">
        <f t="shared" si="0"/>
        <v>60.249481325568276</v>
      </c>
      <c r="I6">
        <f t="shared" si="1"/>
        <v>17</v>
      </c>
      <c r="J6" s="6">
        <f>SQRT((IF(A6="Male",1,0)-IF(BP_Num_Test!$A$3="Male",1,0))^2+(B6-BP_Num_Test!$B$3)^2+(C6-BP_Num_Test!$C$3)^2+(D6-BP_Num_Test!$D$3)^2)</f>
        <v>5.8523499553598128</v>
      </c>
      <c r="K6">
        <f t="shared" si="2"/>
        <v>2</v>
      </c>
      <c r="L6">
        <f>SQRT((IF(A6="Male",1,0)-IF(BP_Num_Test!$A$4="Male",1,0))^2+(B6-BP_Num_Test!$B$4)^2+(C6-BP_Num_Test!$C$4)^2+(D6-BP_Num_Test!$D$4)^2)</f>
        <v>19.623009453190406</v>
      </c>
      <c r="M6">
        <f t="shared" si="3"/>
        <v>18</v>
      </c>
      <c r="N6">
        <f>SQRT((IF(A6="Male",1,0)-IF(BP_Num_Test!$A$5="Male",1,0))^2+(B6-BP_Num_Test!$B$5)^2+(C6-BP_Num_Test!$C$5)^2+(D6-BP_Num_Test!$D$5)^2)</f>
        <v>14.115594213493104</v>
      </c>
      <c r="O6">
        <f t="shared" si="4"/>
        <v>5</v>
      </c>
      <c r="P6">
        <f t="shared" si="5"/>
        <v>25.337718918639855</v>
      </c>
      <c r="Q6">
        <f t="shared" si="6"/>
        <v>19</v>
      </c>
    </row>
    <row r="7" spans="1:17" x14ac:dyDescent="0.2">
      <c r="A7" s="1" t="s">
        <v>7</v>
      </c>
      <c r="B7" s="1">
        <v>41</v>
      </c>
      <c r="C7" s="1">
        <v>63</v>
      </c>
      <c r="D7" s="1">
        <v>154</v>
      </c>
      <c r="E7" s="1" t="s">
        <v>10</v>
      </c>
      <c r="H7">
        <f t="shared" si="0"/>
        <v>60.035406219996545</v>
      </c>
      <c r="I7">
        <f t="shared" si="1"/>
        <v>16</v>
      </c>
      <c r="J7" s="6">
        <f>SQRT((IF(A7="Male",1,0)-IF(BP_Num_Test!$A$3="Male",1,0))^2+(B7-BP_Num_Test!$B$3)^2+(C7-BP_Num_Test!$C$3)^2+(D7-BP_Num_Test!$D$3)^2)</f>
        <v>5.3851648071345037</v>
      </c>
      <c r="K7">
        <f t="shared" si="2"/>
        <v>1</v>
      </c>
      <c r="L7">
        <f>SQRT((IF(A7="Male",1,0)-IF(BP_Num_Test!$A$4="Male",1,0))^2+(B7-BP_Num_Test!$B$4)^2+(C7-BP_Num_Test!$C$4)^2+(D7-BP_Num_Test!$D$4)^2)</f>
        <v>17.264486670619547</v>
      </c>
      <c r="M7">
        <f t="shared" si="3"/>
        <v>11</v>
      </c>
      <c r="N7">
        <f>SQRT((IF(A7="Male",1,0)-IF(BP_Num_Test!$A$5="Male",1,0))^2+(B7-BP_Num_Test!$B$5)^2+(C7-BP_Num_Test!$C$5)^2+(D7-BP_Num_Test!$D$5)^2)</f>
        <v>20.663978319771825</v>
      </c>
      <c r="O7">
        <f t="shared" si="4"/>
        <v>9</v>
      </c>
      <c r="P7">
        <f t="shared" si="5"/>
        <v>26.119915773217954</v>
      </c>
      <c r="Q7">
        <f t="shared" si="6"/>
        <v>21</v>
      </c>
    </row>
    <row r="8" spans="1:17" x14ac:dyDescent="0.2">
      <c r="A8" s="1" t="s">
        <v>11</v>
      </c>
      <c r="B8" s="1">
        <v>35</v>
      </c>
      <c r="C8" s="1">
        <v>67.5</v>
      </c>
      <c r="D8" s="1">
        <v>167</v>
      </c>
      <c r="E8" s="1" t="s">
        <v>8</v>
      </c>
      <c r="H8">
        <f t="shared" si="0"/>
        <v>47.947888378947411</v>
      </c>
      <c r="I8">
        <f t="shared" si="1"/>
        <v>12</v>
      </c>
      <c r="J8">
        <f>SQRT((IF(A8="Male",1,0)-IF(BP_Num_Test!$A$3="Male",1,0))^2+(B8-BP_Num_Test!$B$3)^2+(C8-BP_Num_Test!$C$3)^2+(D8-BP_Num_Test!$D$3)^2)</f>
        <v>16.680827317612277</v>
      </c>
      <c r="K8">
        <f t="shared" si="2"/>
        <v>13</v>
      </c>
      <c r="L8">
        <f>SQRT((IF(A8="Male",1,0)-IF(BP_Num_Test!$A$4="Male",1,0))^2+(B8-BP_Num_Test!$B$4)^2+(C8-BP_Num_Test!$C$4)^2+(D8-BP_Num_Test!$D$4)^2)</f>
        <v>31.025191377330778</v>
      </c>
      <c r="M8">
        <f t="shared" si="3"/>
        <v>27</v>
      </c>
      <c r="N8">
        <f>SQRT((IF(A8="Male",1,0)-IF(BP_Num_Test!$A$5="Male",1,0))^2+(B8-BP_Num_Test!$B$5)^2+(C8-BP_Num_Test!$C$5)^2+(D8-BP_Num_Test!$D$5)^2)</f>
        <v>25.714781741247581</v>
      </c>
      <c r="O8">
        <f t="shared" si="4"/>
        <v>18</v>
      </c>
      <c r="P8">
        <f t="shared" si="5"/>
        <v>41.073105555825698</v>
      </c>
      <c r="Q8">
        <f t="shared" si="6"/>
        <v>29</v>
      </c>
    </row>
    <row r="9" spans="1:17" x14ac:dyDescent="0.2">
      <c r="A9" s="1" t="s">
        <v>7</v>
      </c>
      <c r="B9" s="1">
        <v>57</v>
      </c>
      <c r="C9" s="1">
        <v>64</v>
      </c>
      <c r="D9" s="1">
        <v>140</v>
      </c>
      <c r="E9" s="1" t="s">
        <v>8</v>
      </c>
      <c r="H9">
        <f t="shared" si="0"/>
        <v>75.327617777280068</v>
      </c>
      <c r="I9">
        <f t="shared" si="1"/>
        <v>26</v>
      </c>
      <c r="J9">
        <f>SQRT((IF(A9="Male",1,0)-IF(BP_Num_Test!$A$3="Male",1,0))^2+(B9-BP_Num_Test!$B$3)^2+(C9-BP_Num_Test!$C$3)^2+(D9-BP_Num_Test!$D$3)^2)</f>
        <v>20.396078054371138</v>
      </c>
      <c r="K9">
        <f t="shared" si="2"/>
        <v>19</v>
      </c>
      <c r="L9">
        <f>SQRT((IF(A9="Male",1,0)-IF(BP_Num_Test!$A$4="Male",1,0))^2+(B9-BP_Num_Test!$B$4)^2+(C9-BP_Num_Test!$C$4)^2+(D9-BP_Num_Test!$D$4)^2)</f>
        <v>18.53543902905998</v>
      </c>
      <c r="M9">
        <f t="shared" si="3"/>
        <v>15</v>
      </c>
      <c r="N9">
        <f>SQRT((IF(A9="Male",1,0)-IF(BP_Num_Test!$A$5="Male",1,0))^2+(B9-BP_Num_Test!$B$5)^2+(C9-BP_Num_Test!$C$5)^2+(D9-BP_Num_Test!$D$5)^2)</f>
        <v>21.447610589527216</v>
      </c>
      <c r="O9">
        <f t="shared" si="4"/>
        <v>10</v>
      </c>
      <c r="P9">
        <f t="shared" si="5"/>
        <v>14.84082207965583</v>
      </c>
      <c r="Q9">
        <f t="shared" si="6"/>
        <v>7</v>
      </c>
    </row>
    <row r="10" spans="1:17" x14ac:dyDescent="0.2">
      <c r="A10" s="1" t="s">
        <v>7</v>
      </c>
      <c r="B10" s="1">
        <v>47</v>
      </c>
      <c r="C10" s="1">
        <v>61.5</v>
      </c>
      <c r="D10" s="1">
        <v>104</v>
      </c>
      <c r="E10" s="1" t="s">
        <v>10</v>
      </c>
      <c r="H10">
        <f t="shared" si="0"/>
        <v>110.07724560507498</v>
      </c>
      <c r="I10">
        <f t="shared" si="1"/>
        <v>40</v>
      </c>
      <c r="J10">
        <f>SQRT((IF(A10="Male",1,0)-IF(BP_Num_Test!$A$3="Male",1,0))^2+(B10-BP_Num_Test!$B$3)^2+(C10-BP_Num_Test!$C$3)^2+(D10-BP_Num_Test!$D$3)^2)</f>
        <v>52.060061467501171</v>
      </c>
      <c r="K10">
        <f t="shared" si="2"/>
        <v>39</v>
      </c>
      <c r="L10">
        <f>SQRT((IF(A10="Male",1,0)-IF(BP_Num_Test!$A$4="Male",1,0))^2+(B10-BP_Num_Test!$B$4)^2+(C10-BP_Num_Test!$C$4)^2+(D10-BP_Num_Test!$D$4)^2)</f>
        <v>33.964135496137686</v>
      </c>
      <c r="M10">
        <f t="shared" si="3"/>
        <v>29</v>
      </c>
      <c r="N10">
        <f>SQRT((IF(A10="Male",1,0)-IF(BP_Num_Test!$A$5="Male",1,0))^2+(B10-BP_Num_Test!$B$5)^2+(C10-BP_Num_Test!$C$5)^2+(D10-BP_Num_Test!$D$5)^2)</f>
        <v>58.730315851355677</v>
      </c>
      <c r="O10">
        <f t="shared" si="4"/>
        <v>37</v>
      </c>
      <c r="P10">
        <f t="shared" si="5"/>
        <v>26.551836094703507</v>
      </c>
      <c r="Q10">
        <f t="shared" si="6"/>
        <v>22</v>
      </c>
    </row>
    <row r="11" spans="1:17" x14ac:dyDescent="0.2">
      <c r="A11" s="1" t="s">
        <v>11</v>
      </c>
      <c r="B11" s="1">
        <v>37</v>
      </c>
      <c r="C11" s="1">
        <v>68.5</v>
      </c>
      <c r="D11" s="1">
        <v>151</v>
      </c>
      <c r="E11" s="1" t="s">
        <v>10</v>
      </c>
      <c r="H11">
        <f t="shared" si="0"/>
        <v>63.576725301009333</v>
      </c>
      <c r="I11">
        <f t="shared" si="1"/>
        <v>20</v>
      </c>
      <c r="J11">
        <f>SQRT((IF(A11="Male",1,0)-IF(BP_Num_Test!$A$3="Male",1,0))^2+(B11-BP_Num_Test!$B$3)^2+(C11-BP_Num_Test!$C$3)^2+(D11-BP_Num_Test!$D$3)^2)</f>
        <v>12.737739202856996</v>
      </c>
      <c r="K11">
        <f t="shared" si="2"/>
        <v>10</v>
      </c>
      <c r="L11">
        <f>SQRT((IF(A11="Male",1,0)-IF(BP_Num_Test!$A$4="Male",1,0))^2+(B11-BP_Num_Test!$B$4)^2+(C11-BP_Num_Test!$C$4)^2+(D11-BP_Num_Test!$D$4)^2)</f>
        <v>16.157428632056526</v>
      </c>
      <c r="M11">
        <f t="shared" si="3"/>
        <v>10</v>
      </c>
      <c r="N11">
        <f>SQRT((IF(A11="Male",1,0)-IF(BP_Num_Test!$A$5="Male",1,0))^2+(B11-BP_Num_Test!$B$5)^2+(C11-BP_Num_Test!$C$5)^2+(D11-BP_Num_Test!$D$5)^2)</f>
        <v>25.124689052802225</v>
      </c>
      <c r="O11">
        <f t="shared" si="4"/>
        <v>17</v>
      </c>
      <c r="P11">
        <f t="shared" si="5"/>
        <v>27.018512172212592</v>
      </c>
      <c r="Q11">
        <f t="shared" si="6"/>
        <v>24</v>
      </c>
    </row>
    <row r="12" spans="1:17" x14ac:dyDescent="0.2">
      <c r="A12" s="1" t="s">
        <v>7</v>
      </c>
      <c r="B12" s="1">
        <v>54</v>
      </c>
      <c r="C12" s="1">
        <v>63.5</v>
      </c>
      <c r="D12" s="1">
        <v>151</v>
      </c>
      <c r="E12" s="1" t="s">
        <v>8</v>
      </c>
      <c r="H12">
        <f t="shared" si="0"/>
        <v>63.960925571789531</v>
      </c>
      <c r="I12">
        <f t="shared" si="1"/>
        <v>21</v>
      </c>
      <c r="J12">
        <f>SQRT((IF(A12="Male",1,0)-IF(BP_Num_Test!$A$3="Male",1,0))^2+(B12-BP_Num_Test!$B$3)^2+(C12-BP_Num_Test!$C$3)^2+(D12-BP_Num_Test!$D$3)^2)</f>
        <v>10.874281585465774</v>
      </c>
      <c r="K12">
        <f t="shared" si="2"/>
        <v>6</v>
      </c>
      <c r="L12">
        <f>SQRT((IF(A12="Male",1,0)-IF(BP_Num_Test!$A$4="Male",1,0))^2+(B12-BP_Num_Test!$B$4)^2+(C12-BP_Num_Test!$C$4)^2+(D12-BP_Num_Test!$D$4)^2)</f>
        <v>20.701751133660167</v>
      </c>
      <c r="M12">
        <f t="shared" si="3"/>
        <v>20</v>
      </c>
      <c r="N12">
        <f>SQRT((IF(A12="Male",1,0)-IF(BP_Num_Test!$A$5="Male",1,0))^2+(B12-BP_Num_Test!$B$5)^2+(C12-BP_Num_Test!$C$5)^2+(D12-BP_Num_Test!$D$5)^2)</f>
        <v>12.216791722870616</v>
      </c>
      <c r="O12">
        <f t="shared" si="4"/>
        <v>4</v>
      </c>
      <c r="P12">
        <f t="shared" si="5"/>
        <v>22.693611435820433</v>
      </c>
      <c r="Q12">
        <f t="shared" si="6"/>
        <v>16</v>
      </c>
    </row>
    <row r="13" spans="1:17" x14ac:dyDescent="0.2">
      <c r="A13" s="1" t="s">
        <v>11</v>
      </c>
      <c r="B13" s="1">
        <v>32</v>
      </c>
      <c r="C13" s="1">
        <v>69.5</v>
      </c>
      <c r="D13" s="1">
        <v>171</v>
      </c>
      <c r="E13" s="1" t="s">
        <v>10</v>
      </c>
      <c r="H13">
        <f t="shared" si="0"/>
        <v>44.944410108488462</v>
      </c>
      <c r="I13">
        <f t="shared" si="1"/>
        <v>11</v>
      </c>
      <c r="J13">
        <f>SQRT((IF(A13="Male",1,0)-IF(BP_Num_Test!$A$3="Male",1,0))^2+(B13-BP_Num_Test!$B$3)^2+(C13-BP_Num_Test!$C$3)^2+(D13-BP_Num_Test!$D$3)^2)</f>
        <v>22.02839077191069</v>
      </c>
      <c r="K13">
        <f t="shared" si="2"/>
        <v>20</v>
      </c>
      <c r="L13">
        <f>SQRT((IF(A13="Male",1,0)-IF(BP_Num_Test!$A$4="Male",1,0))^2+(B13-BP_Num_Test!$B$4)^2+(C13-BP_Num_Test!$C$4)^2+(D13-BP_Num_Test!$D$4)^2)</f>
        <v>35.812881760617927</v>
      </c>
      <c r="M13">
        <f t="shared" si="3"/>
        <v>32</v>
      </c>
      <c r="N13">
        <f>SQRT((IF(A13="Male",1,0)-IF(BP_Num_Test!$A$5="Male",1,0))^2+(B13-BP_Num_Test!$B$5)^2+(C13-BP_Num_Test!$C$5)^2+(D13-BP_Num_Test!$D$5)^2)</f>
        <v>29.837057495671385</v>
      </c>
      <c r="O13">
        <f t="shared" si="4"/>
        <v>24</v>
      </c>
      <c r="P13">
        <f t="shared" si="5"/>
        <v>46.260134024881509</v>
      </c>
      <c r="Q13">
        <f t="shared" si="6"/>
        <v>33</v>
      </c>
    </row>
    <row r="14" spans="1:17" x14ac:dyDescent="0.2">
      <c r="A14" s="1" t="s">
        <v>7</v>
      </c>
      <c r="B14" s="1">
        <v>45</v>
      </c>
      <c r="C14" s="1">
        <v>61</v>
      </c>
      <c r="D14" s="1">
        <v>130</v>
      </c>
      <c r="E14" s="1" t="s">
        <v>10</v>
      </c>
      <c r="H14">
        <f t="shared" si="0"/>
        <v>84.037194146401632</v>
      </c>
      <c r="I14">
        <f t="shared" si="1"/>
        <v>30</v>
      </c>
      <c r="J14">
        <f>SQRT((IF(A14="Male",1,0)-IF(BP_Num_Test!$A$3="Male",1,0))^2+(B14-BP_Num_Test!$B$3)^2+(C14-BP_Num_Test!$C$3)^2+(D14-BP_Num_Test!$D$3)^2)</f>
        <v>26.019223662515376</v>
      </c>
      <c r="K14">
        <f t="shared" si="2"/>
        <v>22</v>
      </c>
      <c r="L14">
        <f>SQRT((IF(A14="Male",1,0)-IF(BP_Num_Test!$A$4="Male",1,0))^2+(B14-BP_Num_Test!$B$4)^2+(C14-BP_Num_Test!$C$4)^2+(D14-BP_Num_Test!$D$4)^2)</f>
        <v>9.2229333728483578</v>
      </c>
      <c r="M14">
        <f t="shared" si="3"/>
        <v>3</v>
      </c>
      <c r="N14">
        <f>SQRT((IF(A14="Male",1,0)-IF(BP_Num_Test!$A$5="Male",1,0))^2+(B14-BP_Num_Test!$B$5)^2+(C14-BP_Num_Test!$C$5)^2+(D14-BP_Num_Test!$D$5)^2)</f>
        <v>34.97141690009142</v>
      </c>
      <c r="O14">
        <f t="shared" si="4"/>
        <v>28</v>
      </c>
      <c r="P14" s="6">
        <f t="shared" si="5"/>
        <v>6.0207972893961479</v>
      </c>
      <c r="Q14">
        <f t="shared" si="6"/>
        <v>1</v>
      </c>
    </row>
    <row r="15" spans="1:17" x14ac:dyDescent="0.2">
      <c r="A15" s="1" t="s">
        <v>7</v>
      </c>
      <c r="B15" s="1">
        <v>51</v>
      </c>
      <c r="C15" s="1">
        <v>64.25</v>
      </c>
      <c r="D15" s="1">
        <v>182</v>
      </c>
      <c r="E15" s="1" t="s">
        <v>8</v>
      </c>
      <c r="H15">
        <f t="shared" si="0"/>
        <v>33.031235217593668</v>
      </c>
      <c r="I15">
        <f t="shared" si="1"/>
        <v>7</v>
      </c>
      <c r="J15">
        <f>SQRT((IF(A15="Male",1,0)-IF(BP_Num_Test!$A$3="Male",1,0))^2+(B15-BP_Num_Test!$B$3)^2+(C15-BP_Num_Test!$C$3)^2+(D15-BP_Num_Test!$D$3)^2)</f>
        <v>27.019668761848283</v>
      </c>
      <c r="K15">
        <f t="shared" si="2"/>
        <v>24</v>
      </c>
      <c r="L15">
        <f>SQRT((IF(A15="Male",1,0)-IF(BP_Num_Test!$A$4="Male",1,0))^2+(B15-BP_Num_Test!$B$4)^2+(C15-BP_Num_Test!$C$4)^2+(D15-BP_Num_Test!$D$4)^2)</f>
        <v>46.703854230673514</v>
      </c>
      <c r="M15">
        <f t="shared" si="3"/>
        <v>34</v>
      </c>
      <c r="N15">
        <f>SQRT((IF(A15="Male",1,0)-IF(BP_Num_Test!$A$5="Male",1,0))^2+(B15-BP_Num_Test!$B$5)^2+(C15-BP_Num_Test!$C$5)^2+(D15-BP_Num_Test!$D$5)^2)</f>
        <v>23.033942346024919</v>
      </c>
      <c r="O15">
        <f t="shared" si="4"/>
        <v>14</v>
      </c>
      <c r="P15">
        <f t="shared" si="5"/>
        <v>52.612379721886747</v>
      </c>
      <c r="Q15">
        <f t="shared" si="6"/>
        <v>34</v>
      </c>
    </row>
    <row r="16" spans="1:17" x14ac:dyDescent="0.2">
      <c r="A16" s="1" t="s">
        <v>7</v>
      </c>
      <c r="B16" s="1">
        <v>57</v>
      </c>
      <c r="C16" s="1">
        <v>61</v>
      </c>
      <c r="D16" s="1">
        <v>160</v>
      </c>
      <c r="E16" s="1" t="s">
        <v>8</v>
      </c>
      <c r="H16">
        <f t="shared" si="0"/>
        <v>55.80546568213547</v>
      </c>
      <c r="I16">
        <f t="shared" si="1"/>
        <v>14</v>
      </c>
      <c r="J16">
        <f>SQRT((IF(A16="Male",1,0)-IF(BP_Num_Test!$A$3="Male",1,0))^2+(B16-BP_Num_Test!$B$3)^2+(C16-BP_Num_Test!$C$3)^2+(D16-BP_Num_Test!$D$3)^2)</f>
        <v>12.68857754044952</v>
      </c>
      <c r="K16">
        <f t="shared" si="2"/>
        <v>9</v>
      </c>
      <c r="L16">
        <f>SQRT((IF(A16="Male",1,0)-IF(BP_Num_Test!$A$4="Male",1,0))^2+(B16-BP_Num_Test!$B$4)^2+(C16-BP_Num_Test!$C$4)^2+(D16-BP_Num_Test!$D$4)^2)</f>
        <v>29.20723369304255</v>
      </c>
      <c r="M16">
        <f t="shared" si="3"/>
        <v>24</v>
      </c>
      <c r="N16" s="6">
        <f>SQRT((IF(A16="Male",1,0)-IF(BP_Num_Test!$A$5="Male",1,0))^2+(B16-BP_Num_Test!$B$5)^2+(C16-BP_Num_Test!$C$5)^2+(D16-BP_Num_Test!$D$5)^2)</f>
        <v>6.8556546004010439</v>
      </c>
      <c r="O16">
        <f t="shared" si="4"/>
        <v>1</v>
      </c>
      <c r="P16">
        <f t="shared" si="5"/>
        <v>31.372758884101984</v>
      </c>
      <c r="Q16">
        <f t="shared" si="6"/>
        <v>26</v>
      </c>
    </row>
    <row r="17" spans="1:17" x14ac:dyDescent="0.2">
      <c r="A17" s="1" t="s">
        <v>11</v>
      </c>
      <c r="B17" s="1">
        <v>47</v>
      </c>
      <c r="C17" s="1">
        <v>67.25</v>
      </c>
      <c r="D17" s="1">
        <v>153</v>
      </c>
      <c r="E17" s="1" t="s">
        <v>10</v>
      </c>
      <c r="H17">
        <f t="shared" si="0"/>
        <v>61.323425377256939</v>
      </c>
      <c r="I17">
        <f t="shared" si="1"/>
        <v>18</v>
      </c>
      <c r="J17">
        <f>SQRT((IF(A17="Male",1,0)-IF(BP_Num_Test!$A$3="Male",1,0))^2+(B17-BP_Num_Test!$B$3)^2+(C17-BP_Num_Test!$C$3)^2+(D17-BP_Num_Test!$D$3)^2)</f>
        <v>8.1585844360403605</v>
      </c>
      <c r="K17">
        <f t="shared" si="2"/>
        <v>4</v>
      </c>
      <c r="L17">
        <f>SQRT((IF(A17="Male",1,0)-IF(BP_Num_Test!$A$4="Male",1,0))^2+(B17-BP_Num_Test!$B$4)^2+(C17-BP_Num_Test!$C$4)^2+(D17-BP_Num_Test!$D$4)^2)</f>
        <v>19.059118552545918</v>
      </c>
      <c r="M17">
        <f t="shared" si="3"/>
        <v>17</v>
      </c>
      <c r="N17">
        <f>SQRT((IF(A17="Male",1,0)-IF(BP_Num_Test!$A$5="Male",1,0))^2+(B17-BP_Num_Test!$B$5)^2+(C17-BP_Num_Test!$C$5)^2+(D17-BP_Num_Test!$D$5)^2)</f>
        <v>15.266384640772026</v>
      </c>
      <c r="O17">
        <f t="shared" si="4"/>
        <v>6</v>
      </c>
      <c r="P17">
        <f t="shared" si="5"/>
        <v>25.486516042801927</v>
      </c>
      <c r="Q17">
        <f t="shared" si="6"/>
        <v>20</v>
      </c>
    </row>
    <row r="18" spans="1:17" x14ac:dyDescent="0.2">
      <c r="A18" s="1" t="s">
        <v>7</v>
      </c>
      <c r="B18" s="1">
        <v>52</v>
      </c>
      <c r="C18" s="1">
        <v>59.25</v>
      </c>
      <c r="D18" s="1">
        <v>124</v>
      </c>
      <c r="E18" s="1" t="s">
        <v>10</v>
      </c>
      <c r="H18">
        <f t="shared" si="0"/>
        <v>90.507251090727536</v>
      </c>
      <c r="I18">
        <f t="shared" si="1"/>
        <v>34</v>
      </c>
      <c r="J18">
        <f>SQRT((IF(A18="Male",1,0)-IF(BP_Num_Test!$A$3="Male",1,0))^2+(B18-BP_Num_Test!$B$3)^2+(C18-BP_Num_Test!$C$3)^2+(D18-BP_Num_Test!$D$3)^2)</f>
        <v>32.765263618655659</v>
      </c>
      <c r="K18">
        <f t="shared" si="2"/>
        <v>30</v>
      </c>
      <c r="L18">
        <f>SQRT((IF(A18="Male",1,0)-IF(BP_Num_Test!$A$4="Male",1,0))^2+(B18-BP_Num_Test!$B$4)^2+(C18-BP_Num_Test!$C$4)^2+(D18-BP_Num_Test!$D$4)^2)</f>
        <v>18.445866745696716</v>
      </c>
      <c r="M18">
        <f t="shared" si="3"/>
        <v>14</v>
      </c>
      <c r="N18">
        <f>SQRT((IF(A18="Male",1,0)-IF(BP_Num_Test!$A$5="Male",1,0))^2+(B18-BP_Num_Test!$B$5)^2+(C18-BP_Num_Test!$C$5)^2+(D18-BP_Num_Test!$D$5)^2)</f>
        <v>38.653104661850904</v>
      </c>
      <c r="O18">
        <f t="shared" si="4"/>
        <v>30</v>
      </c>
      <c r="P18" s="6">
        <f t="shared" si="5"/>
        <v>7.25</v>
      </c>
      <c r="Q18">
        <f t="shared" si="6"/>
        <v>2</v>
      </c>
    </row>
    <row r="19" spans="1:17" x14ac:dyDescent="0.2">
      <c r="A19" s="1" t="s">
        <v>11</v>
      </c>
      <c r="B19" s="1">
        <v>45</v>
      </c>
      <c r="C19" s="1">
        <v>66.25</v>
      </c>
      <c r="D19" s="1">
        <v>192</v>
      </c>
      <c r="E19" s="1" t="s">
        <v>8</v>
      </c>
      <c r="H19">
        <f t="shared" si="0"/>
        <v>22.429054817356882</v>
      </c>
      <c r="I19">
        <f t="shared" si="1"/>
        <v>3</v>
      </c>
      <c r="J19">
        <f>SQRT((IF(A19="Male",1,0)-IF(BP_Num_Test!$A$3="Male",1,0))^2+(B19-BP_Num_Test!$B$3)^2+(C19-BP_Num_Test!$C$3)^2+(D19-BP_Num_Test!$D$3)^2)</f>
        <v>36.552188716956472</v>
      </c>
      <c r="K19">
        <f t="shared" si="2"/>
        <v>32</v>
      </c>
      <c r="L19">
        <f>SQRT((IF(A19="Male",1,0)-IF(BP_Num_Test!$A$4="Male",1,0))^2+(B19-BP_Num_Test!$B$4)^2+(C19-BP_Num_Test!$C$4)^2+(D19-BP_Num_Test!$D$4)^2)</f>
        <v>55.608003021147951</v>
      </c>
      <c r="M19">
        <f t="shared" si="3"/>
        <v>38</v>
      </c>
      <c r="N19">
        <f>SQRT((IF(A19="Male",1,0)-IF(BP_Num_Test!$A$5="Male",1,0))^2+(B19-BP_Num_Test!$B$5)^2+(C19-BP_Num_Test!$C$5)^2+(D19-BP_Num_Test!$D$5)^2)</f>
        <v>34.446516514736288</v>
      </c>
      <c r="O19">
        <f t="shared" si="4"/>
        <v>27</v>
      </c>
      <c r="P19">
        <f t="shared" si="5"/>
        <v>62.897237618197508</v>
      </c>
      <c r="Q19">
        <f t="shared" si="6"/>
        <v>38</v>
      </c>
    </row>
    <row r="20" spans="1:17" x14ac:dyDescent="0.2">
      <c r="A20" s="1" t="s">
        <v>11</v>
      </c>
      <c r="B20" s="1">
        <v>38</v>
      </c>
      <c r="C20" s="1">
        <v>67.75</v>
      </c>
      <c r="D20" s="1">
        <v>158</v>
      </c>
      <c r="E20" s="1" t="s">
        <v>8</v>
      </c>
      <c r="H20">
        <f t="shared" si="0"/>
        <v>56.476211806388008</v>
      </c>
      <c r="I20">
        <f t="shared" si="1"/>
        <v>15</v>
      </c>
      <c r="J20">
        <f>SQRT((IF(A20="Male",1,0)-IF(BP_Num_Test!$A$3="Male",1,0))^2+(B20-BP_Num_Test!$B$3)^2+(C20-BP_Num_Test!$C$3)^2+(D20-BP_Num_Test!$D$3)^2)</f>
        <v>10.680004681646913</v>
      </c>
      <c r="K20">
        <f t="shared" si="2"/>
        <v>5</v>
      </c>
      <c r="L20">
        <f>SQRT((IF(A20="Male",1,0)-IF(BP_Num_Test!$A$4="Male",1,0))^2+(B20-BP_Num_Test!$B$4)^2+(C20-BP_Num_Test!$C$4)^2+(D20-BP_Num_Test!$D$4)^2)</f>
        <v>22.181073012818835</v>
      </c>
      <c r="M20">
        <f t="shared" si="3"/>
        <v>22</v>
      </c>
      <c r="N20">
        <f>SQRT((IF(A20="Male",1,0)-IF(BP_Num_Test!$A$5="Male",1,0))^2+(B20-BP_Num_Test!$B$5)^2+(C20-BP_Num_Test!$C$5)^2+(D20-BP_Num_Test!$D$5)^2)</f>
        <v>22.216266563038893</v>
      </c>
      <c r="O20">
        <f t="shared" si="4"/>
        <v>12</v>
      </c>
      <c r="P20">
        <f t="shared" si="5"/>
        <v>32.133510545846057</v>
      </c>
      <c r="Q20">
        <f t="shared" si="6"/>
        <v>27</v>
      </c>
    </row>
    <row r="21" spans="1:17" x14ac:dyDescent="0.2">
      <c r="A21" s="1" t="s">
        <v>7</v>
      </c>
      <c r="B21" s="1">
        <v>44</v>
      </c>
      <c r="C21" s="1">
        <v>64.5</v>
      </c>
      <c r="D21" s="1">
        <v>128</v>
      </c>
      <c r="E21" s="1" t="s">
        <v>10</v>
      </c>
      <c r="H21">
        <f t="shared" si="0"/>
        <v>86.029064856012468</v>
      </c>
      <c r="I21">
        <f t="shared" si="1"/>
        <v>31</v>
      </c>
      <c r="J21">
        <f>SQRT((IF(A21="Male",1,0)-IF(BP_Num_Test!$A$3="Male",1,0))^2+(B21-BP_Num_Test!$B$3)^2+(C21-BP_Num_Test!$C$3)^2+(D21-BP_Num_Test!$D$3)^2)</f>
        <v>28.376927247325423</v>
      </c>
      <c r="K21">
        <f t="shared" si="2"/>
        <v>25</v>
      </c>
      <c r="L21">
        <f>SQRT((IF(A21="Male",1,0)-IF(BP_Num_Test!$A$4="Male",1,0))^2+(B21-BP_Num_Test!$B$4)^2+(C21-BP_Num_Test!$C$4)^2+(D21-BP_Num_Test!$D$4)^2)</f>
        <v>10.957303500405564</v>
      </c>
      <c r="M21">
        <f t="shared" si="3"/>
        <v>4</v>
      </c>
      <c r="N21">
        <f>SQRT((IF(A21="Male",1,0)-IF(BP_Num_Test!$A$5="Male",1,0))^2+(B21-BP_Num_Test!$B$5)^2+(C21-BP_Num_Test!$C$5)^2+(D21-BP_Num_Test!$D$5)^2)</f>
        <v>36.772952016393788</v>
      </c>
      <c r="O21">
        <f t="shared" si="4"/>
        <v>29</v>
      </c>
      <c r="P21">
        <f t="shared" si="5"/>
        <v>9.6436507609929549</v>
      </c>
      <c r="Q21">
        <f t="shared" si="6"/>
        <v>4</v>
      </c>
    </row>
    <row r="22" spans="1:17" x14ac:dyDescent="0.2">
      <c r="A22" s="1" t="s">
        <v>7</v>
      </c>
      <c r="B22" s="1">
        <v>35</v>
      </c>
      <c r="C22" s="1">
        <v>63</v>
      </c>
      <c r="D22" s="1">
        <v>108</v>
      </c>
      <c r="E22" s="1" t="s">
        <v>10</v>
      </c>
      <c r="H22">
        <f t="shared" si="0"/>
        <v>106.30263402192817</v>
      </c>
      <c r="I22">
        <f t="shared" si="1"/>
        <v>38</v>
      </c>
      <c r="J22">
        <f>SQRT((IF(A22="Male",1,0)-IF(BP_Num_Test!$A$3="Male",1,0))^2+(B22-BP_Num_Test!$B$3)^2+(C22-BP_Num_Test!$C$3)^2+(D22-BP_Num_Test!$D$3)^2)</f>
        <v>49.122296363260546</v>
      </c>
      <c r="K22">
        <f t="shared" si="2"/>
        <v>37</v>
      </c>
      <c r="L22">
        <f>SQRT((IF(A22="Male",1,0)-IF(BP_Num_Test!$A$4="Male",1,0))^2+(B22-BP_Num_Test!$B$4)^2+(C22-BP_Num_Test!$C$4)^2+(D22-BP_Num_Test!$D$4)^2)</f>
        <v>29.36090087173757</v>
      </c>
      <c r="M22">
        <f t="shared" si="3"/>
        <v>25</v>
      </c>
      <c r="N22">
        <f>SQRT((IF(A22="Male",1,0)-IF(BP_Num_Test!$A$5="Male",1,0))^2+(B22-BP_Num_Test!$B$5)^2+(C22-BP_Num_Test!$C$5)^2+(D22-BP_Num_Test!$D$5)^2)</f>
        <v>58.745212570898062</v>
      </c>
      <c r="O22">
        <f t="shared" si="4"/>
        <v>38</v>
      </c>
      <c r="P22">
        <f t="shared" si="5"/>
        <v>26.874709300753377</v>
      </c>
      <c r="Q22">
        <f t="shared" si="6"/>
        <v>23</v>
      </c>
    </row>
    <row r="23" spans="1:17" x14ac:dyDescent="0.2">
      <c r="A23" s="1" t="s">
        <v>11</v>
      </c>
      <c r="B23" s="1">
        <v>38</v>
      </c>
      <c r="C23" s="1">
        <v>66.75</v>
      </c>
      <c r="D23" s="1">
        <v>150</v>
      </c>
      <c r="E23" s="1" t="s">
        <v>8</v>
      </c>
      <c r="H23">
        <f t="shared" si="0"/>
        <v>64.343317446336258</v>
      </c>
      <c r="I23">
        <f t="shared" si="1"/>
        <v>23</v>
      </c>
      <c r="J23">
        <f>SQRT((IF(A23="Male",1,0)-IF(BP_Num_Test!$A$3="Male",1,0))^2+(B23-BP_Num_Test!$B$3)^2+(C23-BP_Num_Test!$C$3)^2+(D23-BP_Num_Test!$D$3)^2)</f>
        <v>11.470069746954461</v>
      </c>
      <c r="K23">
        <f t="shared" si="2"/>
        <v>8</v>
      </c>
      <c r="L23">
        <f>SQRT((IF(A23="Male",1,0)-IF(BP_Num_Test!$A$4="Male",1,0))^2+(B23-BP_Num_Test!$B$4)^2+(C23-BP_Num_Test!$C$4)^2+(D23-BP_Num_Test!$D$4)^2)</f>
        <v>14.387494569938159</v>
      </c>
      <c r="M23">
        <f t="shared" si="3"/>
        <v>8</v>
      </c>
      <c r="N23">
        <f>SQRT((IF(A23="Male",1,0)-IF(BP_Num_Test!$A$5="Male",1,0))^2+(B23-BP_Num_Test!$B$5)^2+(C23-BP_Num_Test!$C$5)^2+(D23-BP_Num_Test!$D$5)^2)</f>
        <v>24.598018212856093</v>
      </c>
      <c r="O23">
        <f t="shared" si="4"/>
        <v>16</v>
      </c>
      <c r="P23">
        <f t="shared" si="5"/>
        <v>25.041216024786017</v>
      </c>
      <c r="Q23">
        <f t="shared" si="6"/>
        <v>17</v>
      </c>
    </row>
    <row r="24" spans="1:17" x14ac:dyDescent="0.2">
      <c r="A24" s="1" t="s">
        <v>11</v>
      </c>
      <c r="B24" s="1">
        <v>48</v>
      </c>
      <c r="C24" s="1">
        <v>64.5</v>
      </c>
      <c r="D24" s="1">
        <v>187</v>
      </c>
      <c r="E24" s="1" t="s">
        <v>8</v>
      </c>
      <c r="H24">
        <f t="shared" si="0"/>
        <v>27.54995462791182</v>
      </c>
      <c r="I24">
        <f t="shared" si="1"/>
        <v>4</v>
      </c>
      <c r="J24">
        <f>SQRT((IF(A24="Male",1,0)-IF(BP_Num_Test!$A$3="Male",1,0))^2+(B24-BP_Num_Test!$B$3)^2+(C24-BP_Num_Test!$C$3)^2+(D24-BP_Num_Test!$D$3)^2)</f>
        <v>31.484122982862331</v>
      </c>
      <c r="K24">
        <f t="shared" si="2"/>
        <v>28</v>
      </c>
      <c r="L24">
        <f>SQRT((IF(A24="Male",1,0)-IF(BP_Num_Test!$A$4="Male",1,0))^2+(B24-BP_Num_Test!$B$4)^2+(C24-BP_Num_Test!$C$4)^2+(D24-BP_Num_Test!$D$4)^2)</f>
        <v>50.951570142636427</v>
      </c>
      <c r="M24">
        <f t="shared" si="3"/>
        <v>36</v>
      </c>
      <c r="N24">
        <f>SQRT((IF(A24="Male",1,0)-IF(BP_Num_Test!$A$5="Male",1,0))^2+(B24-BP_Num_Test!$B$5)^2+(C24-BP_Num_Test!$C$5)^2+(D24-BP_Num_Test!$D$5)^2)</f>
        <v>28.744564703609619</v>
      </c>
      <c r="O24">
        <f t="shared" si="4"/>
        <v>22</v>
      </c>
      <c r="P24">
        <f t="shared" si="5"/>
        <v>57.576036681939129</v>
      </c>
      <c r="Q24">
        <f t="shared" si="6"/>
        <v>36</v>
      </c>
    </row>
    <row r="25" spans="1:17" x14ac:dyDescent="0.2">
      <c r="A25" s="1" t="s">
        <v>11</v>
      </c>
      <c r="B25" s="1">
        <v>45</v>
      </c>
      <c r="C25" s="1">
        <v>69.75</v>
      </c>
      <c r="D25" s="1">
        <v>187</v>
      </c>
      <c r="E25" s="1" t="s">
        <v>10</v>
      </c>
      <c r="H25">
        <f t="shared" si="0"/>
        <v>28.045721598846409</v>
      </c>
      <c r="I25">
        <f t="shared" si="1"/>
        <v>5</v>
      </c>
      <c r="J25">
        <f>SQRT((IF(A25="Male",1,0)-IF(BP_Num_Test!$A$3="Male",1,0))^2+(B25-BP_Num_Test!$B$3)^2+(C25-BP_Num_Test!$C$3)^2+(D25-BP_Num_Test!$D$3)^2)</f>
        <v>32.51249759707796</v>
      </c>
      <c r="K25">
        <f t="shared" si="2"/>
        <v>29</v>
      </c>
      <c r="L25">
        <f>SQRT((IF(A25="Male",1,0)-IF(BP_Num_Test!$A$4="Male",1,0))^2+(B25-BP_Num_Test!$B$4)^2+(C25-BP_Num_Test!$C$4)^2+(D25-BP_Num_Test!$D$4)^2)</f>
        <v>51.166395221864128</v>
      </c>
      <c r="M25">
        <f t="shared" si="3"/>
        <v>37</v>
      </c>
      <c r="N25">
        <f>SQRT((IF(A25="Male",1,0)-IF(BP_Num_Test!$A$5="Male",1,0))^2+(B25-BP_Num_Test!$B$5)^2+(C25-BP_Num_Test!$C$5)^2+(D25-BP_Num_Test!$D$5)^2)</f>
        <v>30.142370510628389</v>
      </c>
      <c r="O25">
        <f t="shared" si="4"/>
        <v>25</v>
      </c>
      <c r="P25">
        <f t="shared" si="5"/>
        <v>58.664831884187649</v>
      </c>
      <c r="Q25">
        <f t="shared" si="6"/>
        <v>37</v>
      </c>
    </row>
    <row r="26" spans="1:17" x14ac:dyDescent="0.2">
      <c r="A26" s="1" t="s">
        <v>7</v>
      </c>
      <c r="B26" s="1">
        <v>48</v>
      </c>
      <c r="C26" s="1">
        <v>69.75</v>
      </c>
      <c r="D26" s="1">
        <v>198</v>
      </c>
      <c r="E26" s="1" t="s">
        <v>8</v>
      </c>
      <c r="H26" s="6">
        <f t="shared" si="0"/>
        <v>18.263693492828882</v>
      </c>
      <c r="I26">
        <f t="shared" si="1"/>
        <v>1</v>
      </c>
      <c r="J26">
        <f>SQRT((IF(A26="Male",1,0)-IF(BP_Num_Test!$A$3="Male",1,0))^2+(B26-BP_Num_Test!$B$3)^2+(C26-BP_Num_Test!$C$3)^2+(D26-BP_Num_Test!$D$3)^2)</f>
        <v>43.221088602671728</v>
      </c>
      <c r="K26">
        <f t="shared" si="2"/>
        <v>36</v>
      </c>
      <c r="L26">
        <f>SQRT((IF(A26="Male",1,0)-IF(BP_Num_Test!$A$4="Male",1,0))^2+(B26-BP_Num_Test!$B$4)^2+(C26-BP_Num_Test!$C$4)^2+(D26-BP_Num_Test!$D$4)^2)</f>
        <v>62.313722405261586</v>
      </c>
      <c r="M26">
        <f t="shared" si="3"/>
        <v>39</v>
      </c>
      <c r="N26">
        <f>SQRT((IF(A26="Male",1,0)-IF(BP_Num_Test!$A$5="Male",1,0))^2+(B26-BP_Num_Test!$B$5)^2+(C26-BP_Num_Test!$C$5)^2+(D26-BP_Num_Test!$D$5)^2)</f>
        <v>39.007210871837529</v>
      </c>
      <c r="O26">
        <f t="shared" si="4"/>
        <v>31</v>
      </c>
      <c r="P26">
        <f t="shared" si="5"/>
        <v>69.286091677911813</v>
      </c>
      <c r="Q26">
        <f t="shared" si="6"/>
        <v>39</v>
      </c>
    </row>
    <row r="27" spans="1:17" x14ac:dyDescent="0.2">
      <c r="A27" s="1" t="s">
        <v>7</v>
      </c>
      <c r="B27" s="1">
        <v>57</v>
      </c>
      <c r="C27" s="1">
        <v>62.25</v>
      </c>
      <c r="D27" s="1">
        <v>135</v>
      </c>
      <c r="E27" s="1" t="s">
        <v>8</v>
      </c>
      <c r="H27">
        <f t="shared" si="0"/>
        <v>80.231306233913458</v>
      </c>
      <c r="I27">
        <f t="shared" si="1"/>
        <v>28</v>
      </c>
      <c r="J27">
        <f>SQRT((IF(A27="Male",1,0)-IF(BP_Num_Test!$A$3="Male",1,0))^2+(B27-BP_Num_Test!$B$3)^2+(C27-BP_Num_Test!$C$3)^2+(D27-BP_Num_Test!$D$3)^2)</f>
        <v>24.291202111052471</v>
      </c>
      <c r="K27">
        <f t="shared" si="2"/>
        <v>21</v>
      </c>
      <c r="L27">
        <f>SQRT((IF(A27="Male",1,0)-IF(BP_Num_Test!$A$4="Male",1,0))^2+(B27-BP_Num_Test!$B$4)^2+(C27-BP_Num_Test!$C$4)^2+(D27-BP_Num_Test!$D$4)^2)</f>
        <v>18.172781845386247</v>
      </c>
      <c r="M27">
        <f t="shared" si="3"/>
        <v>13</v>
      </c>
      <c r="N27">
        <f>SQRT((IF(A27="Male",1,0)-IF(BP_Num_Test!$A$5="Male",1,0))^2+(B27-BP_Num_Test!$B$5)^2+(C27-BP_Num_Test!$C$5)^2+(D27-BP_Num_Test!$D$5)^2)</f>
        <v>26.618837314954234</v>
      </c>
      <c r="O27">
        <f t="shared" si="4"/>
        <v>19</v>
      </c>
      <c r="P27">
        <f t="shared" si="5"/>
        <v>11.048189896992177</v>
      </c>
      <c r="Q27">
        <f t="shared" si="6"/>
        <v>6</v>
      </c>
    </row>
    <row r="28" spans="1:17" x14ac:dyDescent="0.2">
      <c r="A28" s="1" t="s">
        <v>11</v>
      </c>
      <c r="B28" s="1">
        <v>40</v>
      </c>
      <c r="C28" s="1">
        <v>66.5</v>
      </c>
      <c r="D28" s="1">
        <v>171</v>
      </c>
      <c r="E28" s="1" t="s">
        <v>8</v>
      </c>
      <c r="H28">
        <f t="shared" si="0"/>
        <v>43.301270189221931</v>
      </c>
      <c r="I28">
        <f t="shared" si="1"/>
        <v>9</v>
      </c>
      <c r="J28">
        <f>SQRT((IF(A28="Male",1,0)-IF(BP_Num_Test!$A$3="Male",1,0))^2+(B28-BP_Num_Test!$B$3)^2+(C28-BP_Num_Test!$C$3)^2+(D28-BP_Num_Test!$D$3)^2)</f>
        <v>17.124543789543708</v>
      </c>
      <c r="K28">
        <f t="shared" si="2"/>
        <v>14</v>
      </c>
      <c r="L28">
        <f>SQRT((IF(A28="Male",1,0)-IF(BP_Num_Test!$A$4="Male",1,0))^2+(B28-BP_Num_Test!$B$4)^2+(C28-BP_Num_Test!$C$4)^2+(D28-BP_Num_Test!$D$4)^2)</f>
        <v>34.511773353451424</v>
      </c>
      <c r="M28">
        <f t="shared" si="3"/>
        <v>30</v>
      </c>
      <c r="N28">
        <f>SQRT((IF(A28="Male",1,0)-IF(BP_Num_Test!$A$5="Male",1,0))^2+(B28-BP_Num_Test!$B$5)^2+(C28-BP_Num_Test!$C$5)^2+(D28-BP_Num_Test!$D$5)^2)</f>
        <v>22.366269246345041</v>
      </c>
      <c r="O28">
        <f t="shared" si="4"/>
        <v>13</v>
      </c>
      <c r="P28">
        <f t="shared" si="5"/>
        <v>43.162483709814474</v>
      </c>
      <c r="Q28">
        <f t="shared" si="6"/>
        <v>30</v>
      </c>
    </row>
    <row r="29" spans="1:17" x14ac:dyDescent="0.2">
      <c r="A29" s="1" t="s">
        <v>11</v>
      </c>
      <c r="B29" s="1">
        <v>60</v>
      </c>
      <c r="C29" s="1">
        <v>64.25</v>
      </c>
      <c r="D29" s="1">
        <v>222</v>
      </c>
      <c r="E29" s="1" t="s">
        <v>8</v>
      </c>
      <c r="H29" s="6">
        <f t="shared" si="0"/>
        <v>18.896097480696906</v>
      </c>
      <c r="I29">
        <f t="shared" si="1"/>
        <v>2</v>
      </c>
      <c r="J29">
        <f>SQRT((IF(A29="Male",1,0)-IF(BP_Num_Test!$A$3="Male",1,0))^2+(B29-BP_Num_Test!$B$3)^2+(C29-BP_Num_Test!$C$3)^2+(D29-BP_Num_Test!$D$3)^2)</f>
        <v>67.823760585800613</v>
      </c>
      <c r="K29">
        <f t="shared" si="2"/>
        <v>40</v>
      </c>
      <c r="L29">
        <f>SQRT((IF(A29="Male",1,0)-IF(BP_Num_Test!$A$4="Male",1,0))^2+(B29-BP_Num_Test!$B$4)^2+(C29-BP_Num_Test!$C$4)^2+(D29-BP_Num_Test!$D$4)^2)</f>
        <v>87.631330013871178</v>
      </c>
      <c r="M29">
        <f t="shared" si="3"/>
        <v>40</v>
      </c>
      <c r="N29">
        <f>SQRT((IF(A29="Male",1,0)-IF(BP_Num_Test!$A$5="Male",1,0))^2+(B29-BP_Num_Test!$B$5)^2+(C29-BP_Num_Test!$C$5)^2+(D29-BP_Num_Test!$D$5)^2)</f>
        <v>61.06195624118179</v>
      </c>
      <c r="O29">
        <f t="shared" si="4"/>
        <v>40</v>
      </c>
      <c r="P29">
        <f t="shared" si="5"/>
        <v>92.984205648056161</v>
      </c>
      <c r="Q29">
        <f t="shared" si="6"/>
        <v>40</v>
      </c>
    </row>
    <row r="30" spans="1:17" x14ac:dyDescent="0.2">
      <c r="A30" s="1" t="s">
        <v>7</v>
      </c>
      <c r="B30" s="1">
        <v>31</v>
      </c>
      <c r="C30" s="1">
        <v>59</v>
      </c>
      <c r="D30" s="1">
        <v>126</v>
      </c>
      <c r="E30" s="1" t="s">
        <v>10</v>
      </c>
      <c r="H30">
        <f t="shared" si="0"/>
        <v>88.883350521905953</v>
      </c>
      <c r="I30">
        <f t="shared" si="1"/>
        <v>33</v>
      </c>
      <c r="J30">
        <f>SQRT((IF(A30="Male",1,0)-IF(BP_Num_Test!$A$3="Male",1,0))^2+(B30-BP_Num_Test!$B$3)^2+(C30-BP_Num_Test!$C$3)^2+(D30-BP_Num_Test!$D$3)^2)</f>
        <v>33.120990323358392</v>
      </c>
      <c r="K30">
        <f t="shared" si="2"/>
        <v>31</v>
      </c>
      <c r="L30">
        <f>SQRT((IF(A30="Male",1,0)-IF(BP_Num_Test!$A$4="Male",1,0))^2+(B30-BP_Num_Test!$B$4)^2+(C30-BP_Num_Test!$C$4)^2+(D30-BP_Num_Test!$D$4)^2)</f>
        <v>13.713588151902478</v>
      </c>
      <c r="M30">
        <f t="shared" si="3"/>
        <v>7</v>
      </c>
      <c r="N30">
        <f>SQRT((IF(A30="Male",1,0)-IF(BP_Num_Test!$A$5="Male",1,0))^2+(B30-BP_Num_Test!$B$5)^2+(C30-BP_Num_Test!$C$5)^2+(D30-BP_Num_Test!$D$5)^2)</f>
        <v>46.162755550335163</v>
      </c>
      <c r="O30">
        <f t="shared" si="4"/>
        <v>33</v>
      </c>
      <c r="P30">
        <f t="shared" si="5"/>
        <v>18.607794065928395</v>
      </c>
      <c r="Q30">
        <f t="shared" si="6"/>
        <v>10</v>
      </c>
    </row>
    <row r="31" spans="1:17" x14ac:dyDescent="0.2">
      <c r="A31" s="1" t="s">
        <v>7</v>
      </c>
      <c r="B31" s="1">
        <v>53</v>
      </c>
      <c r="C31" s="1">
        <v>66.25</v>
      </c>
      <c r="D31" s="1">
        <v>167</v>
      </c>
      <c r="E31" s="1" t="s">
        <v>8</v>
      </c>
      <c r="H31">
        <f t="shared" si="0"/>
        <v>48.198158678522148</v>
      </c>
      <c r="I31">
        <f t="shared" si="1"/>
        <v>13</v>
      </c>
      <c r="J31">
        <f>SQRT((IF(A31="Male",1,0)-IF(BP_Num_Test!$A$3="Male",1,0))^2+(B31-BP_Num_Test!$B$3)^2+(C31-BP_Num_Test!$C$3)^2+(D31-BP_Num_Test!$D$3)^2)</f>
        <v>14.968717379922703</v>
      </c>
      <c r="K31">
        <f t="shared" si="2"/>
        <v>11</v>
      </c>
      <c r="L31">
        <f>SQRT((IF(A31="Male",1,0)-IF(BP_Num_Test!$A$4="Male",1,0))^2+(B31-BP_Num_Test!$B$4)^2+(C31-BP_Num_Test!$C$4)^2+(D31-BP_Num_Test!$D$4)^2)</f>
        <v>33.559648389099671</v>
      </c>
      <c r="M31">
        <f t="shared" si="3"/>
        <v>28</v>
      </c>
      <c r="N31" s="6">
        <f>SQRT((IF(A31="Male",1,0)-IF(BP_Num_Test!$A$5="Male",1,0))^2+(B31-BP_Num_Test!$B$5)^2+(C31-BP_Num_Test!$C$5)^2+(D31-BP_Num_Test!$D$5)^2)</f>
        <v>9.3038970329641977</v>
      </c>
      <c r="O31">
        <f t="shared" si="4"/>
        <v>2</v>
      </c>
      <c r="P31">
        <f t="shared" si="5"/>
        <v>38.471580419837188</v>
      </c>
      <c r="Q31">
        <f t="shared" si="6"/>
        <v>28</v>
      </c>
    </row>
    <row r="32" spans="1:17" x14ac:dyDescent="0.2">
      <c r="A32" s="1" t="s">
        <v>7</v>
      </c>
      <c r="B32" s="1">
        <v>31</v>
      </c>
      <c r="C32" s="1">
        <v>61.25</v>
      </c>
      <c r="D32" s="1">
        <v>128</v>
      </c>
      <c r="E32" s="1" t="s">
        <v>10</v>
      </c>
      <c r="H32">
        <f t="shared" si="0"/>
        <v>86.842170055797197</v>
      </c>
      <c r="I32">
        <f t="shared" si="1"/>
        <v>32</v>
      </c>
      <c r="J32">
        <f>SQRT((IF(A32="Male",1,0)-IF(BP_Num_Test!$A$3="Male",1,0))^2+(B32-BP_Num_Test!$B$3)^2+(C32-BP_Num_Test!$C$3)^2+(D32-BP_Num_Test!$D$3)^2)</f>
        <v>31.329897861308133</v>
      </c>
      <c r="K32">
        <f t="shared" si="2"/>
        <v>27</v>
      </c>
      <c r="L32">
        <f>SQRT((IF(A32="Male",1,0)-IF(BP_Num_Test!$A$4="Male",1,0))^2+(B32-BP_Num_Test!$B$4)^2+(C32-BP_Num_Test!$C$4)^2+(D32-BP_Num_Test!$D$4)^2)</f>
        <v>12.05197079319395</v>
      </c>
      <c r="M32">
        <f t="shared" si="3"/>
        <v>5</v>
      </c>
      <c r="N32">
        <f>SQRT((IF(A32="Male",1,0)-IF(BP_Num_Test!$A$5="Male",1,0))^2+(B32-BP_Num_Test!$B$5)^2+(C32-BP_Num_Test!$C$5)^2+(D32-BP_Num_Test!$D$5)^2)</f>
        <v>44.317744753089592</v>
      </c>
      <c r="O32">
        <f t="shared" si="4"/>
        <v>32</v>
      </c>
      <c r="P32">
        <f t="shared" si="5"/>
        <v>18.723314343352783</v>
      </c>
      <c r="Q32">
        <f t="shared" si="6"/>
        <v>11</v>
      </c>
    </row>
    <row r="33" spans="1:17" x14ac:dyDescent="0.2">
      <c r="A33" s="1" t="s">
        <v>11</v>
      </c>
      <c r="B33" s="1">
        <v>42</v>
      </c>
      <c r="C33" s="1">
        <v>63.75</v>
      </c>
      <c r="D33" s="1">
        <v>117</v>
      </c>
      <c r="E33" s="1" t="s">
        <v>8</v>
      </c>
      <c r="H33">
        <f t="shared" si="0"/>
        <v>97.018361664171593</v>
      </c>
      <c r="I33">
        <f t="shared" si="1"/>
        <v>36</v>
      </c>
      <c r="J33">
        <f>SQRT((IF(A33="Male",1,0)-IF(BP_Num_Test!$A$3="Male",1,0))^2+(B33-BP_Num_Test!$B$3)^2+(C33-BP_Num_Test!$C$3)^2+(D33-BP_Num_Test!$D$3)^2)</f>
        <v>39.307283040169544</v>
      </c>
      <c r="K33">
        <f t="shared" si="2"/>
        <v>34</v>
      </c>
      <c r="L33">
        <f>SQRT((IF(A33="Male",1,0)-IF(BP_Num_Test!$A$4="Male",1,0))^2+(B33-BP_Num_Test!$B$4)^2+(C33-BP_Num_Test!$C$4)^2+(D33-BP_Num_Test!$D$4)^2)</f>
        <v>20.46948949045872</v>
      </c>
      <c r="M33">
        <f t="shared" si="3"/>
        <v>19</v>
      </c>
      <c r="N33">
        <f>SQRT((IF(A33="Male",1,0)-IF(BP_Num_Test!$A$5="Male",1,0))^2+(B33-BP_Num_Test!$B$5)^2+(C33-BP_Num_Test!$C$5)^2+(D33-BP_Num_Test!$D$5)^2)</f>
        <v>47.65041972532876</v>
      </c>
      <c r="O33">
        <f t="shared" si="4"/>
        <v>34</v>
      </c>
      <c r="P33">
        <f t="shared" si="5"/>
        <v>16.479153497676997</v>
      </c>
      <c r="Q33">
        <f t="shared" si="6"/>
        <v>9</v>
      </c>
    </row>
    <row r="34" spans="1:17" x14ac:dyDescent="0.2">
      <c r="A34" s="1" t="s">
        <v>7</v>
      </c>
      <c r="B34" s="1">
        <v>49</v>
      </c>
      <c r="C34" s="1">
        <v>65.75</v>
      </c>
      <c r="D34" s="1">
        <v>142</v>
      </c>
      <c r="E34" s="1" t="s">
        <v>8</v>
      </c>
      <c r="H34">
        <f t="shared" si="0"/>
        <v>72.322627856017505</v>
      </c>
      <c r="I34">
        <f t="shared" si="1"/>
        <v>24</v>
      </c>
      <c r="J34">
        <f>SQRT((IF(A34="Male",1,0)-IF(BP_Num_Test!$A$3="Male",1,0))^2+(B34-BP_Num_Test!$B$3)^2+(C34-BP_Num_Test!$C$3)^2+(D34-BP_Num_Test!$D$3)^2)</f>
        <v>15.654472204453269</v>
      </c>
      <c r="K34">
        <f t="shared" si="2"/>
        <v>12</v>
      </c>
      <c r="L34">
        <f>SQRT((IF(A34="Male",1,0)-IF(BP_Num_Test!$A$4="Male",1,0))^2+(B34-BP_Num_Test!$B$4)^2+(C34-BP_Num_Test!$C$4)^2+(D34-BP_Num_Test!$D$4)^2)</f>
        <v>12.24744871391589</v>
      </c>
      <c r="M34">
        <f t="shared" si="3"/>
        <v>6</v>
      </c>
      <c r="N34">
        <f>SQRT((IF(A34="Male",1,0)-IF(BP_Num_Test!$A$5="Male",1,0))^2+(B34-BP_Num_Test!$B$5)^2+(C34-BP_Num_Test!$C$5)^2+(D34-BP_Num_Test!$D$5)^2)</f>
        <v>22.012780378680016</v>
      </c>
      <c r="O34">
        <f t="shared" si="4"/>
        <v>11</v>
      </c>
      <c r="P34">
        <f t="shared" si="5"/>
        <v>15.15132007450176</v>
      </c>
      <c r="Q34">
        <f t="shared" si="6"/>
        <v>8</v>
      </c>
    </row>
    <row r="35" spans="1:17" x14ac:dyDescent="0.2">
      <c r="A35" s="1" t="s">
        <v>11</v>
      </c>
      <c r="B35" s="1">
        <v>38</v>
      </c>
      <c r="C35" s="1">
        <v>68.25</v>
      </c>
      <c r="D35" s="1">
        <v>171</v>
      </c>
      <c r="E35" s="1" t="s">
        <v>8</v>
      </c>
      <c r="H35">
        <f t="shared" si="0"/>
        <v>43.681374749428386</v>
      </c>
      <c r="I35">
        <f t="shared" si="1"/>
        <v>10</v>
      </c>
      <c r="J35">
        <f>SQRT((IF(A35="Male",1,0)-IF(BP_Num_Test!$A$3="Male",1,0))^2+(B35-BP_Num_Test!$B$3)^2+(C35-BP_Num_Test!$C$3)^2+(D35-BP_Num_Test!$D$3)^2)</f>
        <v>18.521946441991457</v>
      </c>
      <c r="K35">
        <f t="shared" si="2"/>
        <v>16</v>
      </c>
      <c r="L35">
        <f>SQRT((IF(A35="Male",1,0)-IF(BP_Num_Test!$A$4="Male",1,0))^2+(B35-BP_Num_Test!$B$4)^2+(C35-BP_Num_Test!$C$4)^2+(D35-BP_Num_Test!$D$4)^2)</f>
        <v>34.846090168051852</v>
      </c>
      <c r="M35">
        <f t="shared" si="3"/>
        <v>31</v>
      </c>
      <c r="N35">
        <f>SQRT((IF(A35="Male",1,0)-IF(BP_Num_Test!$A$5="Male",1,0))^2+(B35-BP_Num_Test!$B$5)^2+(C35-BP_Num_Test!$C$5)^2+(D35-BP_Num_Test!$D$5)^2)</f>
        <v>24.198398707352517</v>
      </c>
      <c r="O35">
        <f t="shared" si="4"/>
        <v>15</v>
      </c>
      <c r="P35">
        <f t="shared" si="5"/>
        <v>44.057490850024585</v>
      </c>
      <c r="Q35">
        <f t="shared" si="6"/>
        <v>31</v>
      </c>
    </row>
    <row r="36" spans="1:17" x14ac:dyDescent="0.2">
      <c r="A36" s="1" t="s">
        <v>7</v>
      </c>
      <c r="B36" s="1">
        <v>56</v>
      </c>
      <c r="C36" s="1">
        <v>60.25</v>
      </c>
      <c r="D36" s="1">
        <v>154</v>
      </c>
      <c r="E36" s="1" t="s">
        <v>10</v>
      </c>
      <c r="H36">
        <f t="shared" si="0"/>
        <v>61.433398896691365</v>
      </c>
      <c r="I36">
        <f t="shared" si="1"/>
        <v>19</v>
      </c>
      <c r="J36">
        <f>SQRT((IF(A36="Male",1,0)-IF(BP_Num_Test!$A$3="Male",1,0))^2+(B36-BP_Num_Test!$B$3)^2+(C36-BP_Num_Test!$C$3)^2+(D36-BP_Num_Test!$D$3)^2)</f>
        <v>11.183134623172521</v>
      </c>
      <c r="K36">
        <f t="shared" si="2"/>
        <v>7</v>
      </c>
      <c r="L36">
        <f>SQRT((IF(A36="Male",1,0)-IF(BP_Num_Test!$A$4="Male",1,0))^2+(B36-BP_Num_Test!$B$4)^2+(C36-BP_Num_Test!$C$4)^2+(D36-BP_Num_Test!$D$4)^2)</f>
        <v>24.046829312822098</v>
      </c>
      <c r="M36">
        <f t="shared" si="3"/>
        <v>23</v>
      </c>
      <c r="N36" s="7">
        <f>SQRT((IF(A36="Male",1,0)-IF(BP_Num_Test!$A$5="Male",1,0))^2+(B36-BP_Num_Test!$B$5)^2+(C36-BP_Num_Test!$C$5)^2+(D36-BP_Num_Test!$D$5)^2)</f>
        <v>10.562315087138805</v>
      </c>
      <c r="O36">
        <f t="shared" si="4"/>
        <v>3</v>
      </c>
      <c r="P36">
        <f t="shared" si="5"/>
        <v>25.279685520195855</v>
      </c>
      <c r="Q36">
        <f t="shared" si="6"/>
        <v>18</v>
      </c>
    </row>
    <row r="37" spans="1:17" x14ac:dyDescent="0.2">
      <c r="A37" s="1" t="s">
        <v>11</v>
      </c>
      <c r="B37" s="1">
        <v>34</v>
      </c>
      <c r="C37" s="1">
        <v>63.5</v>
      </c>
      <c r="D37" s="1">
        <v>120</v>
      </c>
      <c r="E37" s="1" t="s">
        <v>10</v>
      </c>
      <c r="H37">
        <f t="shared" si="0"/>
        <v>94.440457432183166</v>
      </c>
      <c r="I37">
        <f t="shared" si="1"/>
        <v>35</v>
      </c>
      <c r="J37">
        <f>SQRT((IF(A37="Male",1,0)-IF(BP_Num_Test!$A$3="Male",1,0))^2+(B37-BP_Num_Test!$B$3)^2+(C37-BP_Num_Test!$C$3)^2+(D37-BP_Num_Test!$D$3)^2)</f>
        <v>37.818646194701365</v>
      </c>
      <c r="K37">
        <f t="shared" si="2"/>
        <v>33</v>
      </c>
      <c r="L37">
        <f>SQRT((IF(A37="Male",1,0)-IF(BP_Num_Test!$A$4="Male",1,0))^2+(B37-BP_Num_Test!$B$4)^2+(C37-BP_Num_Test!$C$4)^2+(D37-BP_Num_Test!$D$4)^2)</f>
        <v>17.960025055661809</v>
      </c>
      <c r="M37">
        <f t="shared" si="3"/>
        <v>12</v>
      </c>
      <c r="N37">
        <f>SQRT((IF(A37="Male",1,0)-IF(BP_Num_Test!$A$5="Male",1,0))^2+(B37-BP_Num_Test!$B$5)^2+(C37-BP_Num_Test!$C$5)^2+(D37-BP_Num_Test!$D$5)^2)</f>
        <v>48.674942218763853</v>
      </c>
      <c r="O37">
        <f t="shared" si="4"/>
        <v>35</v>
      </c>
      <c r="P37">
        <f t="shared" si="5"/>
        <v>19.364916731037084</v>
      </c>
      <c r="Q37">
        <f t="shared" si="6"/>
        <v>12</v>
      </c>
    </row>
    <row r="38" spans="1:17" x14ac:dyDescent="0.2">
      <c r="A38" s="1" t="s">
        <v>11</v>
      </c>
      <c r="B38" s="1">
        <v>47</v>
      </c>
      <c r="C38" s="1">
        <v>63.5</v>
      </c>
      <c r="D38" s="1">
        <v>185</v>
      </c>
      <c r="E38" s="1" t="s">
        <v>8</v>
      </c>
      <c r="H38">
        <f t="shared" si="0"/>
        <v>29.308701779505689</v>
      </c>
      <c r="I38">
        <f t="shared" si="1"/>
        <v>6</v>
      </c>
      <c r="J38">
        <f>SQRT((IF(A38="Male",1,0)-IF(BP_Num_Test!$A$3="Male",1,0))^2+(B38-BP_Num_Test!$B$3)^2+(C38-BP_Num_Test!$C$3)^2+(D38-BP_Num_Test!$D$3)^2)</f>
        <v>29.295904150580505</v>
      </c>
      <c r="K38">
        <f t="shared" si="2"/>
        <v>26</v>
      </c>
      <c r="L38">
        <f>SQRT((IF(A38="Male",1,0)-IF(BP_Num_Test!$A$4="Male",1,0))^2+(B38-BP_Num_Test!$B$4)^2+(C38-BP_Num_Test!$C$4)^2+(D38-BP_Num_Test!$D$4)^2)</f>
        <v>48.75</v>
      </c>
      <c r="M38">
        <f t="shared" si="3"/>
        <v>35</v>
      </c>
      <c r="N38">
        <f>SQRT((IF(A38="Male",1,0)-IF(BP_Num_Test!$A$5="Male",1,0))^2+(B38-BP_Num_Test!$B$5)^2+(C38-BP_Num_Test!$C$5)^2+(D38-BP_Num_Test!$D$5)^2)</f>
        <v>27.518175811634027</v>
      </c>
      <c r="O38">
        <f t="shared" si="4"/>
        <v>20</v>
      </c>
      <c r="P38">
        <f t="shared" si="5"/>
        <v>55.488737596020329</v>
      </c>
      <c r="Q38">
        <f t="shared" si="6"/>
        <v>35</v>
      </c>
    </row>
    <row r="39" spans="1:17" x14ac:dyDescent="0.2">
      <c r="A39" s="1" t="s">
        <v>11</v>
      </c>
      <c r="B39" s="1">
        <v>46</v>
      </c>
      <c r="C39" s="1">
        <v>68.75</v>
      </c>
      <c r="D39" s="1">
        <v>174</v>
      </c>
      <c r="E39" s="1" t="s">
        <v>8</v>
      </c>
      <c r="H39">
        <f t="shared" si="0"/>
        <v>40.608650556254638</v>
      </c>
      <c r="I39">
        <f t="shared" si="1"/>
        <v>8</v>
      </c>
      <c r="J39">
        <f>SQRT((IF(A39="Male",1,0)-IF(BP_Num_Test!$A$3="Male",1,0))^2+(B39-BP_Num_Test!$B$3)^2+(C39-BP_Num_Test!$C$3)^2+(D39-BP_Num_Test!$D$3)^2)</f>
        <v>20.063960227233306</v>
      </c>
      <c r="K39">
        <f t="shared" si="2"/>
        <v>18</v>
      </c>
      <c r="L39">
        <f>SQRT((IF(A39="Male",1,0)-IF(BP_Num_Test!$A$4="Male",1,0))^2+(B39-BP_Num_Test!$B$4)^2+(C39-BP_Num_Test!$C$4)^2+(D39-BP_Num_Test!$D$4)^2)</f>
        <v>38.509739027939411</v>
      </c>
      <c r="M39">
        <f t="shared" si="3"/>
        <v>33</v>
      </c>
      <c r="N39">
        <f>SQRT((IF(A39="Male",1,0)-IF(BP_Num_Test!$A$5="Male",1,0))^2+(B39-BP_Num_Test!$B$5)^2+(C39-BP_Num_Test!$C$5)^2+(D39-BP_Num_Test!$D$5)^2)</f>
        <v>19.184955042949671</v>
      </c>
      <c r="O39">
        <f t="shared" si="4"/>
        <v>7</v>
      </c>
      <c r="P39">
        <f t="shared" si="5"/>
        <v>45.782775145244308</v>
      </c>
      <c r="Q39">
        <f t="shared" si="6"/>
        <v>32</v>
      </c>
    </row>
    <row r="40" spans="1:17" x14ac:dyDescent="0.2">
      <c r="A40" s="1" t="s">
        <v>7</v>
      </c>
      <c r="B40" s="1">
        <v>34</v>
      </c>
      <c r="C40" s="1">
        <v>61.75</v>
      </c>
      <c r="D40" s="1">
        <v>142</v>
      </c>
      <c r="E40" s="1" t="s">
        <v>8</v>
      </c>
      <c r="H40">
        <f t="shared" si="0"/>
        <v>72.564195716620461</v>
      </c>
      <c r="I40">
        <f t="shared" si="1"/>
        <v>25</v>
      </c>
      <c r="J40">
        <f>SQRT((IF(A40="Male",1,0)-IF(BP_Num_Test!$A$3="Male",1,0))^2+(B40-BP_Num_Test!$B$3)^2+(C40-BP_Num_Test!$C$3)^2+(D40-BP_Num_Test!$D$3)^2)</f>
        <v>17.890290662814845</v>
      </c>
      <c r="K40">
        <f t="shared" si="2"/>
        <v>15</v>
      </c>
      <c r="L40" s="6">
        <f>SQRT((IF(A40="Male",1,0)-IF(BP_Num_Test!$A$4="Male",1,0))^2+(B40-BP_Num_Test!$B$4)^2+(C40-BP_Num_Test!$C$4)^2+(D40-BP_Num_Test!$D$4)^2)</f>
        <v>7.1414284285428504</v>
      </c>
      <c r="M40">
        <f t="shared" si="3"/>
        <v>1</v>
      </c>
      <c r="N40">
        <f>SQRT((IF(A40="Male",1,0)-IF(BP_Num_Test!$A$5="Male",1,0))^2+(B40-BP_Num_Test!$B$5)^2+(C40-BP_Num_Test!$C$5)^2+(D40-BP_Num_Test!$D$5)^2)</f>
        <v>32.64295482948809</v>
      </c>
      <c r="O40">
        <f t="shared" si="4"/>
        <v>26</v>
      </c>
      <c r="P40">
        <f t="shared" si="5"/>
        <v>19.913877071027631</v>
      </c>
      <c r="Q40">
        <f t="shared" si="6"/>
        <v>13</v>
      </c>
    </row>
    <row r="41" spans="1:17" x14ac:dyDescent="0.2">
      <c r="A41" s="1" t="s">
        <v>7</v>
      </c>
      <c r="B41" s="1">
        <v>36</v>
      </c>
      <c r="C41" s="1">
        <v>62.5</v>
      </c>
      <c r="D41" s="1">
        <v>116</v>
      </c>
      <c r="E41" s="1" t="s">
        <v>8</v>
      </c>
      <c r="H41">
        <f t="shared" si="0"/>
        <v>98.249681933327395</v>
      </c>
      <c r="I41">
        <f t="shared" si="1"/>
        <v>37</v>
      </c>
      <c r="J41">
        <f>SQRT((IF(A41="Male",1,0)-IF(BP_Num_Test!$A$3="Male",1,0))^2+(B41-BP_Num_Test!$B$3)^2+(C41-BP_Num_Test!$C$3)^2+(D41-BP_Num_Test!$D$3)^2)</f>
        <v>41.076148797081743</v>
      </c>
      <c r="K41">
        <f t="shared" si="2"/>
        <v>35</v>
      </c>
      <c r="L41">
        <f>SQRT((IF(A41="Male",1,0)-IF(BP_Num_Test!$A$4="Male",1,0))^2+(B41-BP_Num_Test!$B$4)^2+(C41-BP_Num_Test!$C$4)^2+(D41-BP_Num_Test!$D$4)^2)</f>
        <v>21.28526485623329</v>
      </c>
      <c r="M41">
        <f t="shared" si="3"/>
        <v>21</v>
      </c>
      <c r="N41">
        <f>SQRT((IF(A41="Male",1,0)-IF(BP_Num_Test!$A$5="Male",1,0))^2+(B41-BP_Num_Test!$B$5)^2+(C41-BP_Num_Test!$C$5)^2+(D41-BP_Num_Test!$D$5)^2)</f>
        <v>51.207909545303643</v>
      </c>
      <c r="O41">
        <f t="shared" si="4"/>
        <v>36</v>
      </c>
      <c r="P41">
        <f t="shared" si="5"/>
        <v>20.024984394500787</v>
      </c>
      <c r="Q41">
        <f t="shared" si="6"/>
        <v>14</v>
      </c>
    </row>
    <row r="43" spans="1:17" x14ac:dyDescent="0.2">
      <c r="A43" t="s">
        <v>70</v>
      </c>
    </row>
    <row r="44" spans="1:17" x14ac:dyDescent="0.2">
      <c r="A44" t="str">
        <f>BP_Num_Test!A2</f>
        <v>Female</v>
      </c>
      <c r="B44">
        <f>BP_Num_Test!B2</f>
        <v>43</v>
      </c>
      <c r="C44">
        <f>BP_Num_Test!C2</f>
        <v>62.5</v>
      </c>
      <c r="D44">
        <f>BP_Num_Test!D2</f>
        <v>214</v>
      </c>
    </row>
    <row r="45" spans="1:17" x14ac:dyDescent="0.2">
      <c r="A45" t="str">
        <f>BP_Num_Test!A3</f>
        <v>Female</v>
      </c>
      <c r="B45">
        <f>BP_Num_Test!B3</f>
        <v>45</v>
      </c>
      <c r="C45">
        <f>BP_Num_Test!C3</f>
        <v>60</v>
      </c>
      <c r="D45">
        <f>BP_Num_Test!D3</f>
        <v>156</v>
      </c>
    </row>
    <row r="46" spans="1:17" x14ac:dyDescent="0.2">
      <c r="A46" t="str">
        <f>BP_Num_Test!A4</f>
        <v>Female</v>
      </c>
      <c r="B46">
        <f>BP_Num_Test!B4</f>
        <v>39</v>
      </c>
      <c r="C46">
        <f>BP_Num_Test!C4</f>
        <v>60.75</v>
      </c>
      <c r="D46">
        <f>BP_Num_Test!D4</f>
        <v>137</v>
      </c>
    </row>
    <row r="47" spans="1:17" x14ac:dyDescent="0.2">
      <c r="A47" t="str">
        <f>BP_Num_Test!A5</f>
        <v>Male</v>
      </c>
      <c r="B47">
        <f>BP_Num_Test!B5</f>
        <v>60</v>
      </c>
      <c r="C47">
        <f>BP_Num_Test!C5</f>
        <v>67</v>
      </c>
      <c r="D47">
        <f>BP_Num_Test!D5</f>
        <v>161</v>
      </c>
    </row>
    <row r="48" spans="1:17" x14ac:dyDescent="0.2">
      <c r="A48" t="str">
        <f>BP_Num_Test!A6</f>
        <v>Female</v>
      </c>
      <c r="B48">
        <f>BP_Num_Test!B6</f>
        <v>49</v>
      </c>
      <c r="C48">
        <f>BP_Num_Test!C6</f>
        <v>56.5</v>
      </c>
      <c r="D48">
        <f>BP_Num_Test!D6</f>
        <v>130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"/>
  <sheetViews>
    <sheetView workbookViewId="0">
      <selection activeCell="J16" sqref="J16"/>
    </sheetView>
  </sheetViews>
  <sheetFormatPr baseColWidth="10" defaultColWidth="8.83203125" defaultRowHeight="15" x14ac:dyDescent="0.2"/>
  <cols>
    <col min="6" max="6" width="15.1640625" customWidth="1"/>
    <col min="7" max="7" width="17.1640625" customWidth="1"/>
    <col min="8" max="8" width="16.1640625" customWidth="1"/>
  </cols>
  <sheetData>
    <row r="1" spans="1:8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5" t="s">
        <v>64</v>
      </c>
      <c r="G1" s="5" t="s">
        <v>69</v>
      </c>
    </row>
    <row r="2" spans="1:8" x14ac:dyDescent="0.2">
      <c r="A2" s="1" t="s">
        <v>7</v>
      </c>
      <c r="B2" s="1">
        <v>43</v>
      </c>
      <c r="C2" s="1">
        <v>62.5</v>
      </c>
      <c r="D2" s="1">
        <v>214</v>
      </c>
      <c r="E2" s="1" t="s">
        <v>8</v>
      </c>
      <c r="F2" t="s">
        <v>65</v>
      </c>
      <c r="G2" t="s">
        <v>8</v>
      </c>
    </row>
    <row r="3" spans="1:8" x14ac:dyDescent="0.2">
      <c r="A3" s="1" t="s">
        <v>7</v>
      </c>
      <c r="B3" s="1">
        <v>45</v>
      </c>
      <c r="C3" s="1">
        <v>60</v>
      </c>
      <c r="D3" s="1">
        <v>156</v>
      </c>
      <c r="E3" s="1" t="s">
        <v>8</v>
      </c>
      <c r="F3" t="s">
        <v>66</v>
      </c>
      <c r="G3" t="s">
        <v>8</v>
      </c>
      <c r="H3" t="s">
        <v>74</v>
      </c>
    </row>
    <row r="4" spans="1:8" x14ac:dyDescent="0.2">
      <c r="A4" s="1" t="s">
        <v>7</v>
      </c>
      <c r="B4" s="1">
        <v>39</v>
      </c>
      <c r="C4" s="1">
        <v>60.75</v>
      </c>
      <c r="D4" s="1">
        <v>137</v>
      </c>
      <c r="E4" s="1" t="s">
        <v>10</v>
      </c>
      <c r="F4" t="s">
        <v>67</v>
      </c>
      <c r="G4" t="s">
        <v>10</v>
      </c>
      <c r="H4" t="s">
        <v>75</v>
      </c>
    </row>
    <row r="5" spans="1:8" x14ac:dyDescent="0.2">
      <c r="A5" s="1" t="s">
        <v>11</v>
      </c>
      <c r="B5" s="1">
        <v>60</v>
      </c>
      <c r="C5" s="1">
        <v>67</v>
      </c>
      <c r="D5" s="1">
        <v>161</v>
      </c>
      <c r="E5" s="1" t="s">
        <v>10</v>
      </c>
      <c r="F5" t="s">
        <v>65</v>
      </c>
      <c r="G5" t="s">
        <v>8</v>
      </c>
    </row>
    <row r="6" spans="1:8" x14ac:dyDescent="0.2">
      <c r="A6" s="1" t="s">
        <v>7</v>
      </c>
      <c r="B6" s="1">
        <v>49</v>
      </c>
      <c r="C6" s="1">
        <v>56.5</v>
      </c>
      <c r="D6" s="1">
        <v>130</v>
      </c>
      <c r="E6" s="1" t="s">
        <v>10</v>
      </c>
      <c r="F6" t="s">
        <v>68</v>
      </c>
      <c r="G6" t="s">
        <v>10</v>
      </c>
    </row>
    <row r="7" spans="1:8" x14ac:dyDescent="0.2">
      <c r="F7" t="s">
        <v>73</v>
      </c>
      <c r="G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BP_Train</vt:lpstr>
      <vt:lpstr>BP_test</vt:lpstr>
      <vt:lpstr>BP_Cat_Train</vt:lpstr>
      <vt:lpstr>BP_Cat_Test</vt:lpstr>
      <vt:lpstr>BP_Num_Train</vt:lpstr>
      <vt:lpstr>BP_Num_Test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Khasha Dehnad</dc:creator>
  <cp:lastModifiedBy>Shubhankar Deol</cp:lastModifiedBy>
  <dcterms:created xsi:type="dcterms:W3CDTF">2023-11-04T15:22:56Z</dcterms:created>
  <dcterms:modified xsi:type="dcterms:W3CDTF">2023-11-09T03:58:44Z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2023-11-04T15:33:39Z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c36a5d9e-854e-481f-b938-ea36ddafa27b</vt:lpwstr>
  </property>
  <property fmtid="{D5CDD505-2E9C-101B-9397-08002B2CF9AE}" pid="8" name="MSIP_Label_a73fd474-4f3c-44ed-88fb-5cc4bd2471bf_ContentBits">
    <vt:lpwstr>0</vt:lpwstr>
  </property>
</Properties>
</file>