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kumar\OneDrive - Rennes School of Business\Bureau\"/>
    </mc:Choice>
  </mc:AlternateContent>
  <xr:revisionPtr revIDLastSave="0" documentId="13_ncr:1_{2FDDA287-B159-4A4D-AF0C-8718185A52EE}" xr6:coauthVersionLast="47" xr6:coauthVersionMax="47" xr10:uidLastSave="{00000000-0000-0000-0000-000000000000}"/>
  <bookViews>
    <workbookView xWindow="-110" yWindow="-110" windowWidth="19420" windowHeight="10300" tabRatio="825" firstSheet="3" activeTab="11" xr2:uid="{00000000-000D-0000-FFFF-FFFF00000000}"/>
  </bookViews>
  <sheets>
    <sheet name="Index" sheetId="13" r:id="rId1"/>
    <sheet name="Income Statement" sheetId="1" r:id="rId2"/>
    <sheet name="Balance Sheet" sheetId="2" r:id="rId3"/>
    <sheet name="Cash Flow" sheetId="3" r:id="rId4"/>
    <sheet name="Ratio Analysis" sheetId="5" state="hidden" r:id="rId5"/>
    <sheet name="Revenue Build Up" sheetId="6" r:id="rId6"/>
    <sheet name="Cost Sheet" sheetId="7" r:id="rId7"/>
    <sheet name="Working cap" sheetId="8" r:id="rId8"/>
    <sheet name="Depreciation Schedule" sheetId="14" r:id="rId9"/>
    <sheet name="Shareholders Equity" sheetId="4" state="hidden" r:id="rId10"/>
    <sheet name="Debt Schedule" sheetId="12" r:id="rId11"/>
    <sheet name="DCF Valuation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2" l="1"/>
  <c r="D73" i="11"/>
  <c r="C73" i="11"/>
  <c r="D71" i="11"/>
  <c r="D70" i="11"/>
  <c r="C71" i="11"/>
  <c r="C70" i="11"/>
  <c r="G11" i="11"/>
  <c r="H11" i="11"/>
  <c r="I11" i="11"/>
  <c r="J11" i="11"/>
  <c r="F11" i="11"/>
  <c r="G10" i="11"/>
  <c r="H10" i="11"/>
  <c r="I10" i="11"/>
  <c r="J10" i="11"/>
  <c r="F10" i="11"/>
  <c r="G9" i="11"/>
  <c r="H9" i="11"/>
  <c r="I9" i="11"/>
  <c r="J9" i="11"/>
  <c r="F9" i="11"/>
  <c r="G8" i="11"/>
  <c r="H8" i="11"/>
  <c r="I8" i="11"/>
  <c r="J8" i="11"/>
  <c r="F8" i="11"/>
  <c r="G7" i="11"/>
  <c r="G12" i="11" s="1"/>
  <c r="I7" i="11"/>
  <c r="I12" i="11" s="1"/>
  <c r="J7" i="11"/>
  <c r="J12" i="11" s="1"/>
  <c r="F7" i="11"/>
  <c r="F12" i="11" s="1"/>
  <c r="G56" i="11" s="1"/>
  <c r="G4" i="11"/>
  <c r="H4" i="11"/>
  <c r="H7" i="11" s="1"/>
  <c r="H12" i="11" s="1"/>
  <c r="I4" i="11"/>
  <c r="J4" i="11"/>
  <c r="F4" i="11"/>
  <c r="I56" i="11" l="1"/>
  <c r="H13" i="11"/>
  <c r="J13" i="11"/>
  <c r="K56" i="11"/>
  <c r="K12" i="11"/>
  <c r="I13" i="11"/>
  <c r="J56" i="11"/>
  <c r="H56" i="11"/>
  <c r="G13" i="11"/>
  <c r="C35" i="11"/>
  <c r="C34" i="11"/>
  <c r="C28" i="11"/>
  <c r="C31" i="11" s="1"/>
  <c r="C49" i="11"/>
  <c r="C48" i="11"/>
  <c r="C50" i="11" s="1"/>
  <c r="C46" i="11"/>
  <c r="C45" i="11"/>
  <c r="C44" i="11"/>
  <c r="C23" i="11"/>
  <c r="C47" i="11" s="1"/>
  <c r="F47" i="3"/>
  <c r="G47" i="3"/>
  <c r="H47" i="3"/>
  <c r="I47" i="3"/>
  <c r="J47" i="3"/>
  <c r="G39" i="3"/>
  <c r="H39" i="3"/>
  <c r="I39" i="3"/>
  <c r="J39" i="3"/>
  <c r="F39" i="3"/>
  <c r="G21" i="12"/>
  <c r="H21" i="12"/>
  <c r="I21" i="12"/>
  <c r="J21" i="12"/>
  <c r="F21" i="12"/>
  <c r="E21" i="12"/>
  <c r="D22" i="12"/>
  <c r="E22" i="12"/>
  <c r="C22" i="12"/>
  <c r="E20" i="12"/>
  <c r="D20" i="12"/>
  <c r="D21" i="12" s="1"/>
  <c r="G16" i="12"/>
  <c r="H16" i="12"/>
  <c r="I16" i="12"/>
  <c r="F16" i="12"/>
  <c r="C13" i="12"/>
  <c r="D16" i="12"/>
  <c r="D17" i="12" s="1"/>
  <c r="E16" i="12"/>
  <c r="E17" i="12" s="1"/>
  <c r="C16" i="12"/>
  <c r="E13" i="12"/>
  <c r="F10" i="12" s="1"/>
  <c r="F13" i="12" s="1"/>
  <c r="G10" i="12" s="1"/>
  <c r="G13" i="12" s="1"/>
  <c r="H10" i="12" s="1"/>
  <c r="H13" i="12" s="1"/>
  <c r="I10" i="12" s="1"/>
  <c r="I13" i="12" s="1"/>
  <c r="J10" i="12" s="1"/>
  <c r="J13" i="12" s="1"/>
  <c r="J16" i="12" s="1"/>
  <c r="D13" i="12"/>
  <c r="E10" i="12" s="1"/>
  <c r="F50" i="3"/>
  <c r="F5" i="12"/>
  <c r="C2" i="12"/>
  <c r="H35" i="3"/>
  <c r="G24" i="3"/>
  <c r="G35" i="3" s="1"/>
  <c r="H24" i="3"/>
  <c r="I24" i="3"/>
  <c r="I35" i="3" s="1"/>
  <c r="J24" i="3"/>
  <c r="J35" i="3" s="1"/>
  <c r="F24" i="3"/>
  <c r="F35" i="3" s="1"/>
  <c r="G19" i="3"/>
  <c r="H19" i="3"/>
  <c r="I19" i="3"/>
  <c r="J19" i="3"/>
  <c r="F19" i="3"/>
  <c r="F18" i="3"/>
  <c r="G17" i="3"/>
  <c r="H17" i="3"/>
  <c r="I17" i="3"/>
  <c r="J17" i="3"/>
  <c r="F17" i="3"/>
  <c r="G6" i="3"/>
  <c r="H6" i="3"/>
  <c r="I6" i="3"/>
  <c r="J6" i="3"/>
  <c r="F6" i="3"/>
  <c r="E31" i="2"/>
  <c r="F31" i="2"/>
  <c r="G31" i="2"/>
  <c r="H31" i="2"/>
  <c r="I31" i="2"/>
  <c r="J31" i="2"/>
  <c r="D31" i="2"/>
  <c r="L56" i="11" l="1"/>
  <c r="L12" i="11"/>
  <c r="C36" i="11"/>
  <c r="C39" i="11" s="1"/>
  <c r="C41" i="11"/>
  <c r="G41" i="1"/>
  <c r="H41" i="1"/>
  <c r="I41" i="1"/>
  <c r="J41" i="1"/>
  <c r="F41" i="1"/>
  <c r="G8" i="14"/>
  <c r="H8" i="14"/>
  <c r="I8" i="14"/>
  <c r="J8" i="14"/>
  <c r="G9" i="14"/>
  <c r="H9" i="14"/>
  <c r="I9" i="14"/>
  <c r="J9" i="14"/>
  <c r="F8" i="14"/>
  <c r="F9" i="14"/>
  <c r="E11" i="14"/>
  <c r="F7" i="14" s="1"/>
  <c r="G103" i="14"/>
  <c r="H103" i="14"/>
  <c r="I103" i="14"/>
  <c r="J103" i="14"/>
  <c r="F103" i="14"/>
  <c r="G101" i="14"/>
  <c r="H101" i="14"/>
  <c r="I101" i="14"/>
  <c r="J101" i="14"/>
  <c r="F101" i="14"/>
  <c r="G89" i="14"/>
  <c r="H89" i="14"/>
  <c r="I89" i="14"/>
  <c r="J89" i="14"/>
  <c r="F89" i="14"/>
  <c r="G77" i="14"/>
  <c r="H77" i="14"/>
  <c r="I77" i="14"/>
  <c r="J77" i="14"/>
  <c r="F77" i="14"/>
  <c r="G65" i="14"/>
  <c r="H65" i="14"/>
  <c r="I65" i="14"/>
  <c r="J65" i="14"/>
  <c r="F65" i="14"/>
  <c r="G53" i="14"/>
  <c r="H53" i="14"/>
  <c r="I53" i="14"/>
  <c r="J53" i="14"/>
  <c r="F53" i="14"/>
  <c r="G41" i="14"/>
  <c r="H41" i="14"/>
  <c r="I41" i="14"/>
  <c r="J41" i="14"/>
  <c r="F41" i="14"/>
  <c r="J93" i="14"/>
  <c r="I93" i="14"/>
  <c r="H93" i="14"/>
  <c r="G93" i="14"/>
  <c r="F93" i="14"/>
  <c r="J81" i="14"/>
  <c r="I81" i="14"/>
  <c r="H81" i="14"/>
  <c r="G81" i="14"/>
  <c r="F81" i="14"/>
  <c r="J69" i="14"/>
  <c r="I69" i="14"/>
  <c r="H69" i="14"/>
  <c r="G69" i="14"/>
  <c r="F69" i="14"/>
  <c r="J100" i="14"/>
  <c r="J99" i="14"/>
  <c r="I99" i="14"/>
  <c r="J98" i="14"/>
  <c r="I98" i="14"/>
  <c r="H98" i="14"/>
  <c r="J97" i="14"/>
  <c r="I97" i="14"/>
  <c r="H97" i="14"/>
  <c r="G97" i="14"/>
  <c r="J96" i="14"/>
  <c r="I96" i="14"/>
  <c r="H96" i="14"/>
  <c r="G96" i="14"/>
  <c r="F96" i="14"/>
  <c r="J88" i="14"/>
  <c r="J87" i="14"/>
  <c r="I87" i="14"/>
  <c r="J86" i="14"/>
  <c r="I86" i="14"/>
  <c r="H86" i="14"/>
  <c r="J85" i="14"/>
  <c r="I85" i="14"/>
  <c r="H85" i="14"/>
  <c r="G85" i="14"/>
  <c r="J84" i="14"/>
  <c r="I84" i="14"/>
  <c r="H84" i="14"/>
  <c r="G84" i="14"/>
  <c r="F84" i="14"/>
  <c r="J76" i="14"/>
  <c r="J75" i="14"/>
  <c r="I75" i="14"/>
  <c r="J74" i="14"/>
  <c r="I74" i="14"/>
  <c r="H74" i="14"/>
  <c r="J73" i="14"/>
  <c r="I73" i="14"/>
  <c r="H73" i="14"/>
  <c r="G73" i="14"/>
  <c r="J72" i="14"/>
  <c r="I72" i="14"/>
  <c r="H72" i="14"/>
  <c r="G72" i="14"/>
  <c r="F72" i="14"/>
  <c r="C96" i="14" a="1"/>
  <c r="C96" i="14" s="1"/>
  <c r="C84" i="14" a="1"/>
  <c r="C84" i="14" s="1"/>
  <c r="C72" i="14" a="1"/>
  <c r="C72" i="14" s="1"/>
  <c r="C60" i="14" a="1"/>
  <c r="C60" i="14" s="1"/>
  <c r="J64" i="14"/>
  <c r="J63" i="14"/>
  <c r="I63" i="14"/>
  <c r="J62" i="14"/>
  <c r="I62" i="14"/>
  <c r="H62" i="14"/>
  <c r="J61" i="14"/>
  <c r="I61" i="14"/>
  <c r="H61" i="14"/>
  <c r="G61" i="14"/>
  <c r="D97" i="14"/>
  <c r="D98" i="14"/>
  <c r="D99" i="14"/>
  <c r="D100" i="14"/>
  <c r="D96" i="14"/>
  <c r="D85" i="14"/>
  <c r="D86" i="14"/>
  <c r="D87" i="14"/>
  <c r="D88" i="14"/>
  <c r="D84" i="14"/>
  <c r="D73" i="14"/>
  <c r="D74" i="14"/>
  <c r="D75" i="14"/>
  <c r="D76" i="14"/>
  <c r="D72" i="14"/>
  <c r="D61" i="14"/>
  <c r="D62" i="14"/>
  <c r="D63" i="14"/>
  <c r="D64" i="14"/>
  <c r="D60" i="14"/>
  <c r="B96" i="14"/>
  <c r="B97" i="14" s="1"/>
  <c r="B98" i="14" s="1"/>
  <c r="B99" i="14" s="1"/>
  <c r="B100" i="14" s="1"/>
  <c r="B85" i="14"/>
  <c r="B86" i="14" s="1"/>
  <c r="B87" i="14" s="1"/>
  <c r="B88" i="14" s="1"/>
  <c r="B84" i="14"/>
  <c r="B72" i="14"/>
  <c r="B73" i="14" s="1"/>
  <c r="B74" i="14" s="1"/>
  <c r="B75" i="14" s="1"/>
  <c r="B76" i="14" s="1"/>
  <c r="B60" i="14"/>
  <c r="B61" i="14" s="1"/>
  <c r="B62" i="14" s="1"/>
  <c r="B63" i="14" s="1"/>
  <c r="B64" i="14" s="1"/>
  <c r="B48" i="14"/>
  <c r="B37" i="14"/>
  <c r="B38" i="14" s="1"/>
  <c r="B39" i="14" s="1"/>
  <c r="B40" i="14" s="1"/>
  <c r="B36" i="14"/>
  <c r="J57" i="14"/>
  <c r="I57" i="14"/>
  <c r="H57" i="14"/>
  <c r="G57" i="14"/>
  <c r="F57" i="14"/>
  <c r="C48" i="14" a="1"/>
  <c r="C48" i="14" s="1"/>
  <c r="J52" i="14"/>
  <c r="J51" i="14"/>
  <c r="I51" i="14"/>
  <c r="J50" i="14"/>
  <c r="I50" i="14"/>
  <c r="H50" i="14"/>
  <c r="J49" i="14"/>
  <c r="I49" i="14"/>
  <c r="H49" i="14"/>
  <c r="G49" i="14"/>
  <c r="J45" i="14"/>
  <c r="I45" i="14"/>
  <c r="H45" i="14"/>
  <c r="G45" i="14"/>
  <c r="F45" i="14"/>
  <c r="J40" i="14"/>
  <c r="J39" i="14"/>
  <c r="I39" i="14"/>
  <c r="J38" i="14"/>
  <c r="I38" i="14"/>
  <c r="H38" i="14"/>
  <c r="J37" i="14"/>
  <c r="I37" i="14"/>
  <c r="H37" i="14"/>
  <c r="G37" i="14"/>
  <c r="H36" i="14"/>
  <c r="I36" i="14"/>
  <c r="J36" i="14"/>
  <c r="G36" i="14"/>
  <c r="F36" i="14"/>
  <c r="C40" i="14"/>
  <c r="C39" i="14"/>
  <c r="C38" i="14"/>
  <c r="C37" i="14"/>
  <c r="C36" i="14"/>
  <c r="G33" i="14"/>
  <c r="H33" i="14"/>
  <c r="I33" i="14"/>
  <c r="J33" i="14"/>
  <c r="F33" i="14"/>
  <c r="C93" i="14"/>
  <c r="C92" i="14"/>
  <c r="C81" i="14"/>
  <c r="C80" i="14"/>
  <c r="C69" i="14"/>
  <c r="C68" i="14"/>
  <c r="C56" i="14"/>
  <c r="C45" i="14"/>
  <c r="C57" i="14"/>
  <c r="D52" i="14"/>
  <c r="D51" i="14"/>
  <c r="D50" i="14"/>
  <c r="D49" i="14"/>
  <c r="D48" i="14"/>
  <c r="C44" i="14"/>
  <c r="D40" i="14"/>
  <c r="D39" i="14"/>
  <c r="D38" i="14"/>
  <c r="D37" i="14"/>
  <c r="D36" i="14"/>
  <c r="C33" i="14"/>
  <c r="C32" i="14"/>
  <c r="G23" i="14"/>
  <c r="H23" i="14" s="1"/>
  <c r="I23" i="14" s="1"/>
  <c r="J23" i="14" s="1"/>
  <c r="C20" i="14"/>
  <c r="E19" i="14" s="1"/>
  <c r="E18" i="14"/>
  <c r="E17" i="14"/>
  <c r="E15" i="14"/>
  <c r="E14" i="14"/>
  <c r="E4" i="14"/>
  <c r="E5" i="14" s="1"/>
  <c r="D4" i="14"/>
  <c r="D5" i="14" s="1"/>
  <c r="C4" i="14"/>
  <c r="C5" i="14" s="1"/>
  <c r="J3" i="14"/>
  <c r="J4" i="14" s="1"/>
  <c r="J24" i="14" s="1"/>
  <c r="I3" i="14"/>
  <c r="I4" i="14" s="1"/>
  <c r="H3" i="14"/>
  <c r="H4" i="14" s="1"/>
  <c r="H27" i="14" s="1"/>
  <c r="G3" i="14"/>
  <c r="G4" i="14" s="1"/>
  <c r="G24" i="14" s="1"/>
  <c r="F3" i="14"/>
  <c r="F4" i="14" s="1"/>
  <c r="F28" i="14" s="1"/>
  <c r="E3" i="14"/>
  <c r="D3" i="14"/>
  <c r="C3" i="14"/>
  <c r="E2" i="14"/>
  <c r="F2" i="14" s="1"/>
  <c r="D2" i="14"/>
  <c r="A1" i="14"/>
  <c r="M12" i="11" l="1"/>
  <c r="M56" i="11"/>
  <c r="C40" i="11"/>
  <c r="C51" i="11" s="1"/>
  <c r="F11" i="14"/>
  <c r="G60" i="14"/>
  <c r="H60" i="14"/>
  <c r="F60" i="14"/>
  <c r="J60" i="14"/>
  <c r="I60" i="14"/>
  <c r="J48" i="14"/>
  <c r="I48" i="14"/>
  <c r="F48" i="14"/>
  <c r="H48" i="14"/>
  <c r="G48" i="14"/>
  <c r="G2" i="14"/>
  <c r="H2" i="14" s="1"/>
  <c r="I2" i="14" s="1"/>
  <c r="J2" i="14" s="1"/>
  <c r="B49" i="14"/>
  <c r="B50" i="14" s="1"/>
  <c r="B51" i="14" s="1"/>
  <c r="B52" i="14" s="1"/>
  <c r="I24" i="14"/>
  <c r="J29" i="14"/>
  <c r="H29" i="14"/>
  <c r="F29" i="14"/>
  <c r="G29" i="14"/>
  <c r="I29" i="14"/>
  <c r="F25" i="14"/>
  <c r="J27" i="14"/>
  <c r="G28" i="14"/>
  <c r="G25" i="14"/>
  <c r="H28" i="14"/>
  <c r="E16" i="14"/>
  <c r="H25" i="14"/>
  <c r="F27" i="14"/>
  <c r="I28" i="14"/>
  <c r="F24" i="14"/>
  <c r="I25" i="14"/>
  <c r="G27" i="14"/>
  <c r="J28" i="14"/>
  <c r="H24" i="14"/>
  <c r="I27" i="14"/>
  <c r="J25" i="14"/>
  <c r="N12" i="11" l="1"/>
  <c r="N56" i="11"/>
  <c r="G7" i="14"/>
  <c r="G11" i="14" s="1"/>
  <c r="F16" i="2"/>
  <c r="F22" i="2" s="1"/>
  <c r="I26" i="14"/>
  <c r="H26" i="14"/>
  <c r="G26" i="14"/>
  <c r="F26" i="14"/>
  <c r="J26" i="14"/>
  <c r="G20" i="3"/>
  <c r="H20" i="3"/>
  <c r="I20" i="3"/>
  <c r="J20" i="3"/>
  <c r="F20" i="3"/>
  <c r="E47" i="3"/>
  <c r="D47" i="3"/>
  <c r="C47" i="3"/>
  <c r="E35" i="3"/>
  <c r="D35" i="3"/>
  <c r="C35" i="3"/>
  <c r="F6" i="2"/>
  <c r="G6" i="2" s="1"/>
  <c r="G26" i="8"/>
  <c r="H26" i="8"/>
  <c r="I26" i="8"/>
  <c r="J26" i="8"/>
  <c r="F26" i="8"/>
  <c r="G21" i="8"/>
  <c r="H21" i="8"/>
  <c r="I21" i="8"/>
  <c r="J21" i="8"/>
  <c r="F21" i="8"/>
  <c r="G19" i="8"/>
  <c r="H19" i="8"/>
  <c r="I19" i="8"/>
  <c r="J19" i="8"/>
  <c r="F19" i="8"/>
  <c r="E28" i="8"/>
  <c r="E29" i="8" s="1"/>
  <c r="D28" i="8"/>
  <c r="D29" i="8" s="1"/>
  <c r="E23" i="8"/>
  <c r="D23" i="8"/>
  <c r="E12" i="8"/>
  <c r="D12" i="8"/>
  <c r="E11" i="8"/>
  <c r="D11" i="8"/>
  <c r="E8" i="8"/>
  <c r="D8" i="8"/>
  <c r="E7" i="8"/>
  <c r="D7" i="8"/>
  <c r="E6" i="8"/>
  <c r="D6" i="8"/>
  <c r="D4" i="8"/>
  <c r="E4" i="8"/>
  <c r="C4" i="8"/>
  <c r="D3" i="8"/>
  <c r="E3" i="8"/>
  <c r="F3" i="8"/>
  <c r="F6" i="8" s="1"/>
  <c r="F7" i="2" s="1"/>
  <c r="G3" i="8"/>
  <c r="G28" i="8" s="1"/>
  <c r="G12" i="8" s="1"/>
  <c r="G28" i="2" s="1"/>
  <c r="H3" i="8"/>
  <c r="H28" i="8" s="1"/>
  <c r="H12" i="8" s="1"/>
  <c r="H28" i="2" s="1"/>
  <c r="I3" i="8"/>
  <c r="I23" i="8" s="1"/>
  <c r="I8" i="8" s="1"/>
  <c r="I9" i="2" s="1"/>
  <c r="J3" i="8"/>
  <c r="J23" i="8" s="1"/>
  <c r="J8" i="8" s="1"/>
  <c r="J9" i="2" s="1"/>
  <c r="C3" i="8"/>
  <c r="F47" i="2"/>
  <c r="G47" i="2"/>
  <c r="H47" i="2"/>
  <c r="I47" i="2"/>
  <c r="J47" i="2"/>
  <c r="F37" i="2"/>
  <c r="G37" i="2"/>
  <c r="H37" i="2"/>
  <c r="I37" i="2"/>
  <c r="J37" i="2"/>
  <c r="E47" i="2"/>
  <c r="D47" i="2"/>
  <c r="E37" i="2"/>
  <c r="D37" i="2"/>
  <c r="E22" i="2"/>
  <c r="D22" i="2"/>
  <c r="E10" i="2"/>
  <c r="D10" i="2"/>
  <c r="C51" i="2"/>
  <c r="C27" i="1"/>
  <c r="D19" i="1"/>
  <c r="E19" i="1"/>
  <c r="C19" i="1"/>
  <c r="D18" i="1"/>
  <c r="E18" i="1"/>
  <c r="C18" i="1"/>
  <c r="D17" i="1"/>
  <c r="E17" i="1"/>
  <c r="C17" i="1"/>
  <c r="G25" i="7"/>
  <c r="H25" i="7"/>
  <c r="I25" i="7"/>
  <c r="J25" i="7"/>
  <c r="F25" i="7"/>
  <c r="G22" i="7"/>
  <c r="H22" i="7"/>
  <c r="I22" i="7"/>
  <c r="J22" i="7"/>
  <c r="F22" i="7"/>
  <c r="G18" i="7"/>
  <c r="H18" i="7"/>
  <c r="I18" i="7"/>
  <c r="J18" i="7"/>
  <c r="F18" i="7"/>
  <c r="G15" i="7"/>
  <c r="H15" i="7"/>
  <c r="I15" i="7"/>
  <c r="J15" i="7"/>
  <c r="F15" i="7"/>
  <c r="G12" i="7"/>
  <c r="H12" i="7"/>
  <c r="I12" i="7"/>
  <c r="J12" i="7"/>
  <c r="F12" i="7"/>
  <c r="D17" i="7"/>
  <c r="E17" i="7"/>
  <c r="C17" i="7"/>
  <c r="D14" i="7"/>
  <c r="E14" i="7"/>
  <c r="C14" i="7"/>
  <c r="D11" i="7"/>
  <c r="E11" i="7"/>
  <c r="C11" i="7"/>
  <c r="E13" i="1"/>
  <c r="D13" i="1"/>
  <c r="C13" i="1"/>
  <c r="J6" i="1"/>
  <c r="J7" i="7" s="1"/>
  <c r="J17" i="7" s="1"/>
  <c r="J12" i="1" s="1"/>
  <c r="I6" i="1"/>
  <c r="I7" i="7" s="1"/>
  <c r="H6" i="1"/>
  <c r="H7" i="7" s="1"/>
  <c r="G6" i="1"/>
  <c r="G7" i="7" s="1"/>
  <c r="F6" i="1"/>
  <c r="F7" i="7" s="1"/>
  <c r="E6" i="1"/>
  <c r="E7" i="7" s="1"/>
  <c r="E18" i="7" s="1"/>
  <c r="D6" i="1"/>
  <c r="D7" i="7" s="1"/>
  <c r="C6" i="1"/>
  <c r="C7" i="7" s="1"/>
  <c r="J5" i="1"/>
  <c r="J6" i="7" s="1"/>
  <c r="I5" i="1"/>
  <c r="I6" i="7" s="1"/>
  <c r="H5" i="1"/>
  <c r="H6" i="7" s="1"/>
  <c r="H14" i="7" s="1"/>
  <c r="H11" i="1" s="1"/>
  <c r="G5" i="1"/>
  <c r="G6" i="7" s="1"/>
  <c r="G14" i="7" s="1"/>
  <c r="G11" i="1" s="1"/>
  <c r="F5" i="1"/>
  <c r="F6" i="7" s="1"/>
  <c r="E5" i="1"/>
  <c r="E6" i="7" s="1"/>
  <c r="D5" i="1"/>
  <c r="D6" i="7" s="1"/>
  <c r="C5" i="1"/>
  <c r="C6" i="7" s="1"/>
  <c r="D4" i="1"/>
  <c r="D7" i="1" s="1"/>
  <c r="D14" i="1" s="1"/>
  <c r="E4" i="1"/>
  <c r="E5" i="7" s="1"/>
  <c r="F4" i="1"/>
  <c r="F5" i="7" s="1"/>
  <c r="F11" i="7" s="1"/>
  <c r="F10" i="1" s="1"/>
  <c r="G4" i="1"/>
  <c r="G7" i="1" s="1"/>
  <c r="H4" i="1"/>
  <c r="H5" i="7" s="1"/>
  <c r="H11" i="7" s="1"/>
  <c r="H10" i="1" s="1"/>
  <c r="I4" i="1"/>
  <c r="I5" i="7" s="1"/>
  <c r="I11" i="7" s="1"/>
  <c r="I10" i="1" s="1"/>
  <c r="J4" i="1"/>
  <c r="J5" i="7" s="1"/>
  <c r="J11" i="7" s="1"/>
  <c r="J10" i="1" s="1"/>
  <c r="C4" i="1"/>
  <c r="C5" i="7" s="1"/>
  <c r="G16" i="6"/>
  <c r="H16" i="6" s="1"/>
  <c r="I16" i="6" s="1"/>
  <c r="J16" i="6" s="1"/>
  <c r="F16" i="6"/>
  <c r="G14" i="6"/>
  <c r="H14" i="6" s="1"/>
  <c r="I14" i="6" s="1"/>
  <c r="J14" i="6" s="1"/>
  <c r="F14" i="6"/>
  <c r="G10" i="6"/>
  <c r="H10" i="6" s="1"/>
  <c r="I10" i="6" s="1"/>
  <c r="J10" i="6" s="1"/>
  <c r="F10" i="6"/>
  <c r="G8" i="6"/>
  <c r="H8" i="6" s="1"/>
  <c r="I8" i="6" s="1"/>
  <c r="J8" i="6" s="1"/>
  <c r="F8" i="6"/>
  <c r="G6" i="6"/>
  <c r="H6" i="6" s="1"/>
  <c r="I6" i="6" s="1"/>
  <c r="J6" i="6" s="1"/>
  <c r="F6" i="6"/>
  <c r="G4" i="6"/>
  <c r="H4" i="6" s="1"/>
  <c r="F4" i="6"/>
  <c r="G17" i="6"/>
  <c r="H17" i="6"/>
  <c r="I17" i="6"/>
  <c r="J17" i="6"/>
  <c r="F17" i="6"/>
  <c r="G15" i="6"/>
  <c r="H15" i="6"/>
  <c r="I15" i="6"/>
  <c r="J15" i="6"/>
  <c r="F15" i="6"/>
  <c r="G11" i="6"/>
  <c r="H11" i="6"/>
  <c r="I11" i="6"/>
  <c r="J11" i="6"/>
  <c r="F11" i="6"/>
  <c r="G9" i="6"/>
  <c r="H9" i="6"/>
  <c r="I9" i="6"/>
  <c r="J9" i="6"/>
  <c r="F9" i="6"/>
  <c r="G7" i="6"/>
  <c r="H7" i="6"/>
  <c r="I7" i="6"/>
  <c r="J7" i="6"/>
  <c r="F7" i="6"/>
  <c r="D7" i="6"/>
  <c r="E7" i="6"/>
  <c r="G5" i="6"/>
  <c r="H5" i="6"/>
  <c r="I5" i="6"/>
  <c r="J5" i="6"/>
  <c r="F5" i="6"/>
  <c r="E17" i="6"/>
  <c r="D17" i="6"/>
  <c r="E15" i="6"/>
  <c r="D15" i="6"/>
  <c r="E11" i="6"/>
  <c r="D11" i="6"/>
  <c r="E9" i="6"/>
  <c r="D9" i="6"/>
  <c r="E5" i="6"/>
  <c r="D5" i="6"/>
  <c r="F12" i="6"/>
  <c r="E12" i="6"/>
  <c r="E18" i="6" s="1"/>
  <c r="D12" i="6"/>
  <c r="D18" i="6" s="1"/>
  <c r="C12" i="6"/>
  <c r="C18" i="6" s="1"/>
  <c r="O12" i="11" l="1"/>
  <c r="O56" i="11"/>
  <c r="E38" i="2"/>
  <c r="E49" i="2" s="1"/>
  <c r="E23" i="2"/>
  <c r="H7" i="14"/>
  <c r="H11" i="14" s="1"/>
  <c r="G16" i="2"/>
  <c r="G22" i="2" s="1"/>
  <c r="D24" i="8"/>
  <c r="E19" i="8"/>
  <c r="E24" i="8"/>
  <c r="F28" i="8"/>
  <c r="F12" i="8" s="1"/>
  <c r="F28" i="2" s="1"/>
  <c r="D19" i="8"/>
  <c r="D21" i="8"/>
  <c r="H23" i="8"/>
  <c r="H8" i="8" s="1"/>
  <c r="H9" i="2" s="1"/>
  <c r="J6" i="8"/>
  <c r="J7" i="2" s="1"/>
  <c r="G23" i="8"/>
  <c r="G8" i="8" s="1"/>
  <c r="G9" i="2" s="1"/>
  <c r="I6" i="8"/>
  <c r="I7" i="2" s="1"/>
  <c r="E26" i="8"/>
  <c r="H6" i="8"/>
  <c r="H7" i="2" s="1"/>
  <c r="J28" i="8"/>
  <c r="J12" i="8" s="1"/>
  <c r="J28" i="2" s="1"/>
  <c r="G6" i="8"/>
  <c r="G7" i="2" s="1"/>
  <c r="F23" i="8"/>
  <c r="F8" i="8" s="1"/>
  <c r="F9" i="2" s="1"/>
  <c r="I28" i="8"/>
  <c r="I12" i="8" s="1"/>
  <c r="I28" i="2" s="1"/>
  <c r="J14" i="7"/>
  <c r="J11" i="1" s="1"/>
  <c r="J13" i="1" s="1"/>
  <c r="J4" i="8" s="1"/>
  <c r="C12" i="7"/>
  <c r="D18" i="7"/>
  <c r="F17" i="7"/>
  <c r="F12" i="1" s="1"/>
  <c r="G17" i="7"/>
  <c r="G12" i="1" s="1"/>
  <c r="F14" i="7"/>
  <c r="F11" i="1" s="1"/>
  <c r="F13" i="1" s="1"/>
  <c r="F4" i="8" s="1"/>
  <c r="H17" i="7"/>
  <c r="H12" i="1" s="1"/>
  <c r="H13" i="1" s="1"/>
  <c r="H4" i="8" s="1"/>
  <c r="I14" i="7"/>
  <c r="I11" i="1" s="1"/>
  <c r="I13" i="1" s="1"/>
  <c r="I4" i="8" s="1"/>
  <c r="I17" i="7"/>
  <c r="I12" i="1" s="1"/>
  <c r="E20" i="1"/>
  <c r="E21" i="8"/>
  <c r="D26" i="8"/>
  <c r="F14" i="3"/>
  <c r="H6" i="2"/>
  <c r="D9" i="8"/>
  <c r="E9" i="8"/>
  <c r="E13" i="8"/>
  <c r="D13" i="8"/>
  <c r="D38" i="2"/>
  <c r="D49" i="2" s="1"/>
  <c r="D23" i="2"/>
  <c r="D20" i="1"/>
  <c r="D22" i="1" s="1"/>
  <c r="D26" i="1" s="1"/>
  <c r="C20" i="1"/>
  <c r="E15" i="7"/>
  <c r="C15" i="7"/>
  <c r="D15" i="7"/>
  <c r="E12" i="7"/>
  <c r="C18" i="7"/>
  <c r="G5" i="7"/>
  <c r="G11" i="7" s="1"/>
  <c r="G10" i="1" s="1"/>
  <c r="G13" i="1" s="1"/>
  <c r="D5" i="7"/>
  <c r="D12" i="7" s="1"/>
  <c r="J8" i="7"/>
  <c r="I7" i="1"/>
  <c r="E7" i="1"/>
  <c r="E14" i="1" s="1"/>
  <c r="H7" i="1"/>
  <c r="F8" i="7"/>
  <c r="E8" i="7"/>
  <c r="I8" i="7"/>
  <c r="H8" i="7"/>
  <c r="F7" i="1"/>
  <c r="J7" i="1"/>
  <c r="C7" i="1"/>
  <c r="C14" i="1" s="1"/>
  <c r="C8" i="7"/>
  <c r="C22" i="7" s="1"/>
  <c r="F18" i="6"/>
  <c r="I4" i="6"/>
  <c r="H12" i="6"/>
  <c r="H18" i="6" s="1"/>
  <c r="G12" i="6"/>
  <c r="G18" i="6" s="1"/>
  <c r="A1" i="11"/>
  <c r="P12" i="11" l="1"/>
  <c r="P56" i="11"/>
  <c r="J14" i="3"/>
  <c r="I7" i="14"/>
  <c r="I11" i="14" s="1"/>
  <c r="H16" i="2"/>
  <c r="H22" i="2" s="1"/>
  <c r="I14" i="3"/>
  <c r="H14" i="3"/>
  <c r="G14" i="3"/>
  <c r="C22" i="1"/>
  <c r="C26" i="1" s="1"/>
  <c r="C29" i="1" s="1"/>
  <c r="C4" i="3" s="1"/>
  <c r="C21" i="3" s="1"/>
  <c r="E22" i="1"/>
  <c r="E26" i="1" s="1"/>
  <c r="E29" i="1" s="1"/>
  <c r="E4" i="3" s="1"/>
  <c r="E21" i="3" s="1"/>
  <c r="J14" i="1"/>
  <c r="H11" i="8"/>
  <c r="H7" i="8"/>
  <c r="G14" i="1"/>
  <c r="G4" i="8"/>
  <c r="I11" i="8"/>
  <c r="I7" i="8"/>
  <c r="J11" i="8"/>
  <c r="J7" i="8"/>
  <c r="F7" i="8"/>
  <c r="F11" i="8"/>
  <c r="D29" i="1"/>
  <c r="D4" i="3" s="1"/>
  <c r="D21" i="3" s="1"/>
  <c r="D28" i="1"/>
  <c r="I6" i="2"/>
  <c r="E15" i="8"/>
  <c r="D15" i="8"/>
  <c r="H14" i="1"/>
  <c r="I14" i="1"/>
  <c r="F14" i="1"/>
  <c r="C34" i="7"/>
  <c r="C25" i="7"/>
  <c r="F24" i="7"/>
  <c r="F18" i="1" s="1"/>
  <c r="F21" i="7"/>
  <c r="F17" i="1" s="1"/>
  <c r="E34" i="7"/>
  <c r="F34" i="7" s="1"/>
  <c r="E25" i="7"/>
  <c r="E22" i="7"/>
  <c r="G8" i="7"/>
  <c r="H21" i="7"/>
  <c r="H17" i="1" s="1"/>
  <c r="H24" i="7"/>
  <c r="H18" i="1" s="1"/>
  <c r="D8" i="7"/>
  <c r="J21" i="7"/>
  <c r="J17" i="1" s="1"/>
  <c r="J24" i="7"/>
  <c r="J18" i="1" s="1"/>
  <c r="I21" i="7"/>
  <c r="I17" i="1" s="1"/>
  <c r="I24" i="7"/>
  <c r="I18" i="1" s="1"/>
  <c r="I12" i="6"/>
  <c r="I18" i="6" s="1"/>
  <c r="J4" i="6"/>
  <c r="J12" i="6" s="1"/>
  <c r="J18" i="6" s="1"/>
  <c r="A1" i="12"/>
  <c r="Q12" i="11" l="1"/>
  <c r="Q56" i="11"/>
  <c r="J7" i="14"/>
  <c r="J11" i="14" s="1"/>
  <c r="J16" i="2" s="1"/>
  <c r="J22" i="2" s="1"/>
  <c r="I16" i="2"/>
  <c r="I22" i="2" s="1"/>
  <c r="E28" i="1"/>
  <c r="C28" i="1"/>
  <c r="F27" i="2"/>
  <c r="F13" i="8"/>
  <c r="J9" i="8"/>
  <c r="J8" i="2"/>
  <c r="H9" i="8"/>
  <c r="H8" i="2"/>
  <c r="J27" i="2"/>
  <c r="J38" i="2" s="1"/>
  <c r="J49" i="2" s="1"/>
  <c r="J13" i="8"/>
  <c r="F8" i="2"/>
  <c r="F9" i="8"/>
  <c r="F15" i="8" s="1"/>
  <c r="F16" i="8" s="1"/>
  <c r="I9" i="8"/>
  <c r="I8" i="2"/>
  <c r="J15" i="3" s="1"/>
  <c r="I27" i="2"/>
  <c r="I13" i="8"/>
  <c r="H27" i="2"/>
  <c r="H13" i="8"/>
  <c r="G11" i="8"/>
  <c r="G7" i="8"/>
  <c r="J6" i="2"/>
  <c r="E16" i="8"/>
  <c r="F33" i="7"/>
  <c r="F19" i="1" s="1"/>
  <c r="F20" i="1" s="1"/>
  <c r="F22" i="1" s="1"/>
  <c r="G34" i="7"/>
  <c r="D25" i="7"/>
  <c r="D22" i="7"/>
  <c r="D34" i="7"/>
  <c r="G21" i="7"/>
  <c r="G17" i="1" s="1"/>
  <c r="G24" i="7"/>
  <c r="G18" i="1" s="1"/>
  <c r="A1" i="4"/>
  <c r="R12" i="11" l="1"/>
  <c r="R56" i="11"/>
  <c r="H15" i="8"/>
  <c r="F40" i="1"/>
  <c r="F43" i="1" s="1"/>
  <c r="F26" i="1"/>
  <c r="J18" i="3"/>
  <c r="I38" i="2"/>
  <c r="I49" i="2" s="1"/>
  <c r="I15" i="8"/>
  <c r="I15" i="3"/>
  <c r="G8" i="2"/>
  <c r="G15" i="3" s="1"/>
  <c r="G9" i="8"/>
  <c r="J15" i="8"/>
  <c r="G27" i="2"/>
  <c r="G13" i="8"/>
  <c r="F15" i="3"/>
  <c r="I18" i="3"/>
  <c r="H38" i="2"/>
  <c r="H49" i="2" s="1"/>
  <c r="F38" i="2"/>
  <c r="H34" i="7"/>
  <c r="G33" i="7"/>
  <c r="G19" i="1" s="1"/>
  <c r="G20" i="1" s="1"/>
  <c r="G22" i="1" s="1"/>
  <c r="A1" i="8"/>
  <c r="A1" i="7"/>
  <c r="A1" i="5"/>
  <c r="A1" i="6"/>
  <c r="A1" i="3"/>
  <c r="A1" i="2"/>
  <c r="S12" i="11" l="1"/>
  <c r="S56" i="11"/>
  <c r="I16" i="8"/>
  <c r="G40" i="1"/>
  <c r="G43" i="1" s="1"/>
  <c r="G26" i="1"/>
  <c r="H18" i="3"/>
  <c r="G38" i="2"/>
  <c r="G49" i="2" s="1"/>
  <c r="G18" i="3"/>
  <c r="J16" i="8"/>
  <c r="F29" i="1"/>
  <c r="F27" i="1"/>
  <c r="G15" i="8"/>
  <c r="H15" i="3"/>
  <c r="H33" i="7"/>
  <c r="H19" i="1" s="1"/>
  <c r="H20" i="1" s="1"/>
  <c r="H22" i="1" s="1"/>
  <c r="I34" i="7"/>
  <c r="T12" i="11" l="1"/>
  <c r="T56" i="11"/>
  <c r="H40" i="1"/>
  <c r="H43" i="1" s="1"/>
  <c r="H26" i="1"/>
  <c r="G27" i="1"/>
  <c r="G29" i="1"/>
  <c r="F4" i="3"/>
  <c r="F21" i="3" s="1"/>
  <c r="F33" i="1"/>
  <c r="F32" i="1"/>
  <c r="G16" i="8"/>
  <c r="H16" i="8"/>
  <c r="J34" i="7"/>
  <c r="J33" i="7" s="1"/>
  <c r="J19" i="1" s="1"/>
  <c r="J20" i="1" s="1"/>
  <c r="J22" i="1" s="1"/>
  <c r="I33" i="7"/>
  <c r="I19" i="1" s="1"/>
  <c r="I20" i="1" s="1"/>
  <c r="I22" i="1" s="1"/>
  <c r="C2" i="2"/>
  <c r="U12" i="11" l="1"/>
  <c r="U56" i="11"/>
  <c r="F3" i="12"/>
  <c r="F7" i="12" s="1"/>
  <c r="F49" i="3"/>
  <c r="I40" i="1"/>
  <c r="I43" i="1" s="1"/>
  <c r="I26" i="1"/>
  <c r="G4" i="3"/>
  <c r="G21" i="3" s="1"/>
  <c r="G3" i="12" s="1"/>
  <c r="G33" i="1"/>
  <c r="G32" i="1"/>
  <c r="H27" i="1"/>
  <c r="H29" i="1"/>
  <c r="J40" i="1"/>
  <c r="J43" i="1" s="1"/>
  <c r="J26" i="1"/>
  <c r="A1" i="1"/>
  <c r="V12" i="11" l="1"/>
  <c r="V56" i="11"/>
  <c r="H4" i="3"/>
  <c r="H21" i="3" s="1"/>
  <c r="H3" i="12" s="1"/>
  <c r="H32" i="1"/>
  <c r="H33" i="1"/>
  <c r="I27" i="1"/>
  <c r="I29" i="1" s="1"/>
  <c r="J27" i="1"/>
  <c r="J29" i="1" s="1"/>
  <c r="D2" i="6"/>
  <c r="E2" i="6" s="1"/>
  <c r="F2" i="6" s="1"/>
  <c r="G2" i="6" s="1"/>
  <c r="H2" i="6" s="1"/>
  <c r="I2" i="6" s="1"/>
  <c r="J2" i="6" s="1"/>
  <c r="D2" i="3"/>
  <c r="E2" i="3" s="1"/>
  <c r="F2" i="3" s="1"/>
  <c r="G2" i="3" s="1"/>
  <c r="H2" i="3" s="1"/>
  <c r="I2" i="3" s="1"/>
  <c r="J2" i="3" s="1"/>
  <c r="W12" i="11" l="1"/>
  <c r="W56" i="11"/>
  <c r="J32" i="1"/>
  <c r="J4" i="3"/>
  <c r="J21" i="3" s="1"/>
  <c r="J3" i="12" s="1"/>
  <c r="J33" i="1"/>
  <c r="I32" i="1"/>
  <c r="I4" i="3"/>
  <c r="I21" i="3" s="1"/>
  <c r="I3" i="12" s="1"/>
  <c r="I33" i="1"/>
  <c r="H55" i="11"/>
  <c r="I55" i="11" s="1"/>
  <c r="J55" i="11" s="1"/>
  <c r="K55" i="11" s="1"/>
  <c r="L55" i="11" s="1"/>
  <c r="M55" i="11" s="1"/>
  <c r="N55" i="11" s="1"/>
  <c r="O55" i="11" s="1"/>
  <c r="P55" i="11" s="1"/>
  <c r="Q55" i="11" s="1"/>
  <c r="R55" i="11" s="1"/>
  <c r="S55" i="11" s="1"/>
  <c r="T55" i="11" s="1"/>
  <c r="U55" i="11" s="1"/>
  <c r="V55" i="11" s="1"/>
  <c r="W55" i="11" s="1"/>
  <c r="X55" i="11" s="1"/>
  <c r="Y55" i="11" s="1"/>
  <c r="E2" i="1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C2" i="4"/>
  <c r="D2" i="8"/>
  <c r="E2" i="8" s="1"/>
  <c r="F2" i="8" s="1"/>
  <c r="G2" i="8" s="1"/>
  <c r="H2" i="8" s="1"/>
  <c r="I2" i="8" s="1"/>
  <c r="J2" i="8" s="1"/>
  <c r="D2" i="7"/>
  <c r="E2" i="7" s="1"/>
  <c r="F2" i="7" s="1"/>
  <c r="G2" i="7" s="1"/>
  <c r="H2" i="7" s="1"/>
  <c r="I2" i="7" s="1"/>
  <c r="J2" i="7" s="1"/>
  <c r="X12" i="11" l="1"/>
  <c r="X56" i="11"/>
  <c r="D2" i="5"/>
  <c r="E2" i="5" s="1"/>
  <c r="F2" i="5" s="1"/>
  <c r="G2" i="5" s="1"/>
  <c r="H2" i="5" s="1"/>
  <c r="I2" i="5" s="1"/>
  <c r="D2" i="1"/>
  <c r="D2" i="12" s="1"/>
  <c r="Y12" i="11" l="1"/>
  <c r="Y14" i="11" s="1"/>
  <c r="Y61" i="11" s="1"/>
  <c r="D68" i="11" s="1"/>
  <c r="Y56" i="11"/>
  <c r="D2" i="2"/>
  <c r="E2" i="2" s="1"/>
  <c r="F2" i="2" s="1"/>
  <c r="G2" i="2" s="1"/>
  <c r="H2" i="2" s="1"/>
  <c r="I2" i="2" s="1"/>
  <c r="J2" i="2" s="1"/>
  <c r="E2" i="1"/>
  <c r="E2" i="12" s="1"/>
  <c r="D2" i="4"/>
  <c r="C57" i="11" l="1"/>
  <c r="C67" i="11" s="1"/>
  <c r="D67" i="11"/>
  <c r="D69" i="11" s="1"/>
  <c r="D72" i="11" s="1"/>
  <c r="D74" i="11" s="1"/>
  <c r="D75" i="11" s="1"/>
  <c r="D51" i="2"/>
  <c r="E51" i="2"/>
  <c r="F2" i="1"/>
  <c r="F2" i="12" s="1"/>
  <c r="E2" i="4"/>
  <c r="G2" i="1" l="1"/>
  <c r="G2" i="12" s="1"/>
  <c r="F2" i="4"/>
  <c r="H2" i="1" l="1"/>
  <c r="H2" i="12" s="1"/>
  <c r="G2" i="4"/>
  <c r="I2" i="1" l="1"/>
  <c r="I2" i="12" s="1"/>
  <c r="H2" i="4"/>
  <c r="J2" i="1" l="1"/>
  <c r="J2" i="12" s="1"/>
  <c r="I2" i="4"/>
  <c r="J2" i="4" l="1"/>
  <c r="C62" i="11" l="1"/>
  <c r="C68" i="11" s="1"/>
  <c r="C69" i="11" s="1"/>
  <c r="C72" i="11" s="1"/>
  <c r="C74" i="11" s="1"/>
  <c r="C75" i="11" s="1"/>
  <c r="D79" i="11" s="1"/>
  <c r="F51" i="3" l="1"/>
  <c r="G49" i="3"/>
  <c r="H49" i="3"/>
  <c r="I49" i="3"/>
  <c r="J49" i="3"/>
  <c r="G50" i="3" l="1"/>
  <c r="G5" i="12" s="1"/>
  <c r="G7" i="12" s="1"/>
  <c r="F5" i="2"/>
  <c r="G51" i="3"/>
  <c r="G5" i="2" s="1"/>
  <c r="G20" i="12" l="1"/>
  <c r="G22" i="12" s="1"/>
  <c r="G24" i="12" s="1"/>
  <c r="F20" i="12"/>
  <c r="F22" i="12" s="1"/>
  <c r="F24" i="12" s="1"/>
  <c r="F10" i="2"/>
  <c r="F23" i="2" s="1"/>
  <c r="F51" i="2" s="1"/>
  <c r="G10" i="2"/>
  <c r="G23" i="2" s="1"/>
  <c r="H50" i="3"/>
  <c r="H5" i="12" s="1"/>
  <c r="H7" i="12" s="1"/>
  <c r="H51" i="3" l="1"/>
  <c r="H5" i="2" s="1"/>
  <c r="H10" i="2" l="1"/>
  <c r="H23" i="2" s="1"/>
  <c r="H20" i="12"/>
  <c r="H22" i="12" s="1"/>
  <c r="H24" i="12" s="1"/>
  <c r="I50" i="3"/>
  <c r="I5" i="12" s="1"/>
  <c r="I7" i="12" s="1"/>
  <c r="G51" i="2"/>
  <c r="I51" i="3" l="1"/>
  <c r="I5" i="2" s="1"/>
  <c r="J50" i="3"/>
  <c r="J5" i="12" s="1"/>
  <c r="J7" i="12" s="1"/>
  <c r="H51" i="2"/>
  <c r="I10" i="2" l="1"/>
  <c r="I23" i="2" s="1"/>
  <c r="I51" i="2" s="1"/>
  <c r="I20" i="12"/>
  <c r="I22" i="12" s="1"/>
  <c r="I24" i="12" s="1"/>
  <c r="J51" i="3"/>
  <c r="J5" i="2" l="1"/>
  <c r="J10" i="2" l="1"/>
  <c r="J23" i="2" s="1"/>
  <c r="J51" i="2" s="1"/>
  <c r="J20" i="12"/>
  <c r="J22" i="12" s="1"/>
  <c r="J24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yatin rane</author>
  </authors>
  <commentList>
    <comment ref="B13" authorId="0" shapeId="0" xr:uid="{00000000-0006-0000-0B00-000001000000}">
      <text>
        <r>
          <rPr>
            <sz val="9"/>
            <color indexed="81"/>
            <rFont val="Tahoma"/>
            <family val="2"/>
          </rPr>
          <t xml:space="preserve">FCFF projected till the year 2040 by considering % y-o-y growth method.
</t>
        </r>
      </text>
    </comment>
    <comment ref="C20" authorId="0" shapeId="0" xr:uid="{00000000-0006-0000-0B00-000002000000}">
      <text>
        <r>
          <rPr>
            <sz val="9"/>
            <color indexed="81"/>
            <rFont val="Tahoma"/>
            <family val="2"/>
          </rPr>
          <t xml:space="preserve">US 10-YearTreasury Constant Maturity rate
</t>
        </r>
      </text>
    </comment>
    <comment ref="C22" authorId="0" shapeId="0" xr:uid="{00000000-0006-0000-0B00-000003000000}">
      <text>
        <r>
          <rPr>
            <sz val="9"/>
            <color indexed="81"/>
            <rFont val="Tahoma"/>
            <family val="2"/>
          </rPr>
          <t>http://pages.stern.nyu.edu/~adamodar/New_Home_Page/datafile/ctryprem.html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<sst xmlns="http://schemas.openxmlformats.org/spreadsheetml/2006/main" count="428" uniqueCount="318">
  <si>
    <t>Services</t>
  </si>
  <si>
    <t>Total net sales</t>
  </si>
  <si>
    <t>Total 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</si>
  <si>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</si>
  <si>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</si>
  <si>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</si>
  <si>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</si>
  <si>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</si>
  <si>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</si>
  <si>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income/(expense),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</si>
  <si>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</si>
  <si>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</si>
  <si>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</si>
  <si>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</si>
  <si>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</si>
  <si>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</si>
  <si>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</si>
  <si>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Tax rate</t>
  </si>
  <si>
    <t>Historicals</t>
  </si>
  <si>
    <t>Cash and cash equivalents</t>
  </si>
  <si>
    <t>Accounts receivable, net</t>
  </si>
  <si>
    <t>Inventories</t>
  </si>
  <si>
    <t>Other current assets</t>
  </si>
  <si>
    <t>Non-current assets:</t>
  </si>
  <si>
    <t>Property, plant and equipment, net</t>
  </si>
  <si>
    <t>Other non-current assets</t>
  </si>
  <si>
    <t>Current liabilities:</t>
  </si>
  <si>
    <t>Accounts payable</t>
  </si>
  <si>
    <t>Other current liabilities</t>
  </si>
  <si>
    <t>Deferred revenue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</si>
  <si>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</si>
  <si>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</si>
  <si>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</si>
  <si>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</si>
  <si>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</si>
  <si>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</si>
  <si>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Shareholders’ equity:</t>
  </si>
  <si>
    <t>Retained earnings</t>
  </si>
  <si>
    <t>Accumulated other comprehensive income/(loss)</t>
  </si>
  <si>
    <t>Total shareholders’ equity</t>
  </si>
  <si>
    <t>Total liabilities and shareholders’ equity</t>
  </si>
  <si>
    <t xml:space="preserve">Common stock </t>
  </si>
  <si>
    <t>Common stock and additional paid-in capital:</t>
  </si>
  <si>
    <t>Beginning balances</t>
  </si>
  <si>
    <t>Common stock issued</t>
  </si>
  <si>
    <t>Share-based compensation</t>
  </si>
  <si>
    <t>Ending balances</t>
  </si>
  <si>
    <t>Common stock withheld related to net share settlement of equity awards</t>
  </si>
  <si>
    <t>Retained earnings:</t>
  </si>
  <si>
    <t>Dividends and dividend equivalents declared</t>
  </si>
  <si>
    <t>Common stock repurchased</t>
  </si>
  <si>
    <t>Cumulative effects of changes in accounting principles</t>
  </si>
  <si>
    <t>Accumulated other comprehensive income/(loss):</t>
  </si>
  <si>
    <t>Other comprehensive income/(loss)</t>
  </si>
  <si>
    <t>Total shareholders’ equity, ending balances</t>
  </si>
  <si>
    <t>Dividends and dividend equivalents declared per share or RSU</t>
  </si>
  <si>
    <t>Cash, cash equivalents and restricted cash, beginning balances</t>
  </si>
  <si>
    <t>Depreciation and amortization</t>
  </si>
  <si>
    <t>Share-based compensation expense</t>
  </si>
  <si>
    <t>Deferred income tax benefit</t>
  </si>
  <si>
    <t>Other</t>
  </si>
  <si>
    <t>Changes in operating assets and liabilities:</t>
  </si>
  <si>
    <t>Other current and non-current assets</t>
  </si>
  <si>
    <t>Cash used in financing activities</t>
  </si>
  <si>
    <t>Increase/(Decrease) in cash, cash equivalents and restricted cash</t>
  </si>
  <si>
    <t>Cash, cash equivalents and restricted cash, ending balances</t>
  </si>
  <si>
    <t>Forecasts</t>
  </si>
  <si>
    <t>(All Data is in Millions $, Except Per Share Information)</t>
  </si>
  <si>
    <t>Ratio Analysis</t>
  </si>
  <si>
    <t>Solvency Ratios</t>
  </si>
  <si>
    <t>Current ratio</t>
  </si>
  <si>
    <t>Cash ratio</t>
  </si>
  <si>
    <t>Receivables turnover</t>
  </si>
  <si>
    <t>Payables turnover</t>
  </si>
  <si>
    <t>Operating Efficiency</t>
  </si>
  <si>
    <t>Total asset turnover</t>
  </si>
  <si>
    <t>Equity turnover</t>
  </si>
  <si>
    <t>Operating Profitability</t>
  </si>
  <si>
    <t>Gross Profit Margin</t>
  </si>
  <si>
    <t>Operating Profit Margin</t>
  </si>
  <si>
    <t>Net Profit Margin</t>
  </si>
  <si>
    <t>Return on total capital</t>
  </si>
  <si>
    <t>ROE (Net Income / Common Equity)</t>
  </si>
  <si>
    <t xml:space="preserve">ROE DuPont Analysis </t>
  </si>
  <si>
    <t>Profit Margin</t>
  </si>
  <si>
    <t>Asset Turnover</t>
  </si>
  <si>
    <t>Financial Leverage</t>
  </si>
  <si>
    <t>ROE</t>
  </si>
  <si>
    <t>Financial Risk Ratios</t>
  </si>
  <si>
    <t>Debt to equity ratio</t>
  </si>
  <si>
    <t>Net sales by category:</t>
  </si>
  <si>
    <t>% of sales</t>
  </si>
  <si>
    <t>Other Income/(Expense), Net</t>
  </si>
  <si>
    <t>Interest and dividend income</t>
  </si>
  <si>
    <t>Interest expense</t>
  </si>
  <si>
    <t>Total other income/(expense), net</t>
  </si>
  <si>
    <t>Revenue</t>
  </si>
  <si>
    <t>% Sales</t>
  </si>
  <si>
    <t>Net Sales</t>
  </si>
  <si>
    <t>Accounts receivable, net of allowance</t>
  </si>
  <si>
    <t xml:space="preserve">Total Non Cash Current Assets </t>
  </si>
  <si>
    <t>Accounts payable and accrued expenses</t>
  </si>
  <si>
    <t>Total Current Liabilities</t>
  </si>
  <si>
    <t>Net Working Capital</t>
  </si>
  <si>
    <t>(Increase) / Decrease in Working Capital</t>
  </si>
  <si>
    <t>Ratios &amp; Assumptions</t>
  </si>
  <si>
    <t>% of Sales</t>
  </si>
  <si>
    <t>Leasehold improvements</t>
  </si>
  <si>
    <t>Capital Expenditures</t>
  </si>
  <si>
    <t>Capital Expenditures as % of Net Sales</t>
  </si>
  <si>
    <t>Beginning Net PP&amp;E</t>
  </si>
  <si>
    <t>(Depreciation Expense)</t>
  </si>
  <si>
    <t>(Asset Sales )</t>
  </si>
  <si>
    <t>Ending Net PP&amp;E</t>
  </si>
  <si>
    <t>Total</t>
  </si>
  <si>
    <t>Amount</t>
  </si>
  <si>
    <t>Useful Life</t>
  </si>
  <si>
    <t>Proportion of Assets</t>
  </si>
  <si>
    <t>Total Capex</t>
  </si>
  <si>
    <t>Breakup</t>
  </si>
  <si>
    <t xml:space="preserve">Year </t>
  </si>
  <si>
    <t>Capex</t>
  </si>
  <si>
    <t>(a)</t>
  </si>
  <si>
    <t>(b)</t>
  </si>
  <si>
    <t>(c)</t>
  </si>
  <si>
    <t>EBITDA</t>
  </si>
  <si>
    <t>Income from Operations (EBIT)</t>
  </si>
  <si>
    <t>Add: Depreciation and Amortization</t>
  </si>
  <si>
    <t>Add: Stock-based compensation</t>
  </si>
  <si>
    <t>Adjusted EBITDA</t>
  </si>
  <si>
    <t>Total Revenue</t>
  </si>
  <si>
    <t>EBIT</t>
  </si>
  <si>
    <t>Free Cash Flow to Firm (FCFF)</t>
  </si>
  <si>
    <t>EBIT x (1-t)</t>
  </si>
  <si>
    <t>Add: Depreciation &amp; amortization</t>
  </si>
  <si>
    <t>Add: Stock Based Compensation</t>
  </si>
  <si>
    <t>Less: Capex</t>
  </si>
  <si>
    <t>Add: Change in working capital</t>
  </si>
  <si>
    <t>FCFF</t>
  </si>
  <si>
    <t>% yoy (FCFF)</t>
  </si>
  <si>
    <t>Terminal Value</t>
  </si>
  <si>
    <t>WACC Inputs</t>
  </si>
  <si>
    <t>Cost of Equity &amp; Cost of Debt</t>
  </si>
  <si>
    <t>Risk Free Rate</t>
  </si>
  <si>
    <t>Beta</t>
  </si>
  <si>
    <t>Equity Risk Premium</t>
  </si>
  <si>
    <t>Cost of equity</t>
  </si>
  <si>
    <t>Terminal Growth Rate</t>
  </si>
  <si>
    <t>Market Value of Equity</t>
  </si>
  <si>
    <t>Current Stock Price</t>
  </si>
  <si>
    <t>Current shares outstanding</t>
  </si>
  <si>
    <t>Options/Warrants Converts</t>
  </si>
  <si>
    <t>Fully converted shares</t>
  </si>
  <si>
    <t>Fully converted equity value</t>
  </si>
  <si>
    <t>Calculating Book value of Debt</t>
  </si>
  <si>
    <t>Short-Term Debt</t>
  </si>
  <si>
    <t>Straight Long-Term Debt</t>
  </si>
  <si>
    <t>Value of Debt</t>
  </si>
  <si>
    <t>Calculating Debt to Equity ratio</t>
  </si>
  <si>
    <t>Proporiton of Equity in the Capital Strucuture</t>
  </si>
  <si>
    <t>Proporiton of Debt in the Capital Strucuture</t>
  </si>
  <si>
    <t>WACC Calculations</t>
  </si>
  <si>
    <t>Risk Free rate</t>
  </si>
  <si>
    <t>Market risk premium</t>
  </si>
  <si>
    <t>Levered beta of company</t>
  </si>
  <si>
    <t>Pre-tax cost of debt</t>
  </si>
  <si>
    <t>After tax cost of debt</t>
  </si>
  <si>
    <t>WACC</t>
  </si>
  <si>
    <t>Free cash flow to firm of explicit period (2021E to 2040E)</t>
  </si>
  <si>
    <t>Cash Flows</t>
  </si>
  <si>
    <t>NPV of explicit period</t>
  </si>
  <si>
    <t>Terminal value @ perpetual growth</t>
  </si>
  <si>
    <t>Terminal value</t>
  </si>
  <si>
    <t>NPV of terminal value</t>
  </si>
  <si>
    <t>DCF Valuation Summary</t>
  </si>
  <si>
    <t>DCF calculation as of</t>
  </si>
  <si>
    <t xml:space="preserve">Valuation </t>
  </si>
  <si>
    <t>Target (Year end)</t>
  </si>
  <si>
    <t>Enterprise Value</t>
  </si>
  <si>
    <t>+ Cash</t>
  </si>
  <si>
    <t>- Debt</t>
  </si>
  <si>
    <t>Equity value</t>
  </si>
  <si>
    <t>+ Marketable securities, restricted cash</t>
  </si>
  <si>
    <t>Adjusted Equity Value</t>
  </si>
  <si>
    <t>Share Price</t>
  </si>
  <si>
    <t>Sensitivity Analysis</t>
  </si>
  <si>
    <t>Growth</t>
  </si>
  <si>
    <t>Cash Flow Available for Financing Activities</t>
  </si>
  <si>
    <t>Proceeds from/ (Repurchase of) Equity</t>
  </si>
  <si>
    <t>+ Beginning Cash Balance</t>
  </si>
  <si>
    <t>- Minimum Cash Balance</t>
  </si>
  <si>
    <t>Cash Available for Debt Repayment</t>
  </si>
  <si>
    <t>Long Term  (commited payments)</t>
  </si>
  <si>
    <t>Beginning Balance</t>
  </si>
  <si>
    <t>Issuance</t>
  </si>
  <si>
    <t>(Repayment/ Amortization)</t>
  </si>
  <si>
    <t>Ending Balance</t>
  </si>
  <si>
    <t>Interest Expense Calculation</t>
  </si>
  <si>
    <t>Average Interest rate</t>
  </si>
  <si>
    <t>Cash Balances</t>
  </si>
  <si>
    <t>Average Cash Balance</t>
  </si>
  <si>
    <t>Interest Rate</t>
  </si>
  <si>
    <t>Interest Earned</t>
  </si>
  <si>
    <t>Net Interest Expense</t>
  </si>
  <si>
    <t>Forcast</t>
  </si>
  <si>
    <t>Inventory Turnover</t>
  </si>
  <si>
    <t>Core Financial Statements</t>
  </si>
  <si>
    <t>Income Statement</t>
  </si>
  <si>
    <t>Balance Sheet</t>
  </si>
  <si>
    <t>Supporting Financial Modeling Schedules</t>
  </si>
  <si>
    <t>Revenue Built-up</t>
  </si>
  <si>
    <t>Cost Sheet</t>
  </si>
  <si>
    <t>Working Capital</t>
  </si>
  <si>
    <t>Depreciation Schedule</t>
  </si>
  <si>
    <t>Shareholder's Equity</t>
  </si>
  <si>
    <t>Debt Schedule</t>
  </si>
  <si>
    <t>Valuations</t>
  </si>
  <si>
    <t>DCF Valuation</t>
  </si>
  <si>
    <t xml:space="preserve">Disclaimer: </t>
  </si>
  <si>
    <t>We do not recommend any sell or buy recommendation to investors.</t>
  </si>
  <si>
    <t>Check</t>
  </si>
  <si>
    <t>Assets</t>
  </si>
  <si>
    <t>Current Assets</t>
  </si>
  <si>
    <t>Total Current Assets</t>
  </si>
  <si>
    <t>Total Assets</t>
  </si>
  <si>
    <t xml:space="preserve">Liabilities and Equity </t>
  </si>
  <si>
    <t>Total Non-current Assets</t>
  </si>
  <si>
    <t>Cash flows from operating activities</t>
  </si>
  <si>
    <t>Adjustments:</t>
  </si>
  <si>
    <t>Total Net Sales</t>
  </si>
  <si>
    <t>Cost of Sales:</t>
  </si>
  <si>
    <t>Operating Expense:</t>
  </si>
  <si>
    <t>The Apple Financial Model is only for educational purposes.</t>
  </si>
  <si>
    <t>TESLA Inc. Financial Modeling</t>
  </si>
  <si>
    <t>Automotive sales</t>
  </si>
  <si>
    <t>Automotive regulatory credits</t>
  </si>
  <si>
    <t>Energy generation and storage sales</t>
  </si>
  <si>
    <t>Services and other</t>
  </si>
  <si>
    <t>Total revenues from sales and services</t>
  </si>
  <si>
    <t>Automotive leasing</t>
  </si>
  <si>
    <t>Energy generation and storage leasing</t>
  </si>
  <si>
    <t>Revenue:</t>
  </si>
  <si>
    <t>Automotive</t>
  </si>
  <si>
    <t>Energy Generation &amp; Storage</t>
  </si>
  <si>
    <t>Restructuring</t>
  </si>
  <si>
    <t>%Sales</t>
  </si>
  <si>
    <t>Interest Income</t>
  </si>
  <si>
    <t>Interest Expense</t>
  </si>
  <si>
    <t>Short Term Investments</t>
  </si>
  <si>
    <t>Solar energy systems, net</t>
  </si>
  <si>
    <t>Operating lease vehicles,	 net</t>
  </si>
  <si>
    <t>Operating lease right-of-use assets</t>
  </si>
  <si>
    <t>Digital assets, net</t>
  </si>
  <si>
    <t>Intangible assets, net</t>
  </si>
  <si>
    <t>Goodwill</t>
  </si>
  <si>
    <t>Accrued 	liabilities and other</t>
  </si>
  <si>
    <t>Deferred revenue, net of current portion</t>
  </si>
  <si>
    <t xml:space="preserve"> Redeemable noncontrolling interests in subsidiaries</t>
  </si>
  <si>
    <t>Additional paid-in capital</t>
  </si>
  <si>
    <t>Noncontrolling interests in subsidiaries</t>
  </si>
  <si>
    <t>Prepaid Expense &amp; Other current assets</t>
  </si>
  <si>
    <t>Deferred tax assets</t>
  </si>
  <si>
    <t>Cost of Sales (COGS)</t>
  </si>
  <si>
    <t>Term Debt</t>
  </si>
  <si>
    <t xml:space="preserve">Accounts payable </t>
  </si>
  <si>
    <t>Inventory and purchase commitments write-downs</t>
  </si>
  <si>
    <t>Foreign currency transaction net unrealized (gain) loss</t>
  </si>
  <si>
    <t>Non-cash interest and other operating activities</t>
  </si>
  <si>
    <t>Digital assets loss (gain), net</t>
  </si>
  <si>
    <t>Operating lease vehicles</t>
  </si>
  <si>
    <t>Purchases of property and equipment excluding finance leases, net of sales</t>
  </si>
  <si>
    <t>Purchases of solar energy systems, net of sales</t>
  </si>
  <si>
    <t>Purchases of digital assets</t>
  </si>
  <si>
    <t>Proceeds from sales of digital assets</t>
  </si>
  <si>
    <t>Purchase of intangible assets</t>
  </si>
  <si>
    <t>Purchases of investments</t>
  </si>
  <si>
    <t>Proceeds from maturities of investments</t>
  </si>
  <si>
    <t>Proceeds from sales of investments</t>
  </si>
  <si>
    <t>Receipt of government grants</t>
  </si>
  <si>
    <t>Business combinations, net of cash acquired</t>
  </si>
  <si>
    <t>Proceeds from issuances of debt</t>
  </si>
  <si>
    <t>Repayments of debt</t>
  </si>
  <si>
    <t>Collateralized lease repayments</t>
  </si>
  <si>
    <t>Proceeds from exercises of stock options and other stock issuances</t>
  </si>
  <si>
    <t>Principal payments on finance leases</t>
  </si>
  <si>
    <t>Debt issuance costs</t>
  </si>
  <si>
    <t>Proceeds from investments by noncontrolling interests in subsidiaries</t>
  </si>
  <si>
    <t>Distributions paid to noncontrolling interests in subsidiaries</t>
  </si>
  <si>
    <t>Payments for buy-outs of noncontrolling interests in subsidiaries</t>
  </si>
  <si>
    <t>Effect of exchange rate changes on cash and cash equivalents and restricted cash</t>
  </si>
  <si>
    <t>Machinery, equipment, vehicles and office furniture</t>
  </si>
  <si>
    <t>Tooling</t>
  </si>
  <si>
    <t>Land and buildings</t>
  </si>
  <si>
    <t>Computer equipment, hardware and software</t>
  </si>
  <si>
    <t>Construction in progress</t>
  </si>
  <si>
    <t>PPE (Break-up for 2023)</t>
  </si>
  <si>
    <t>Machinery, equipment, vehicles and office furniture - Straight Line Method</t>
  </si>
  <si>
    <t>Tooling  - Straight Line Method</t>
  </si>
  <si>
    <t>Depreciation: Tooling</t>
  </si>
  <si>
    <t>Depreciation: Machinery, equipment, vehicles and office furniture</t>
  </si>
  <si>
    <t>Land and buildings  - Straight Line Method</t>
  </si>
  <si>
    <t>Depreciation: Land and buildings</t>
  </si>
  <si>
    <t>Depreciation: Computer equipment, hardware and software</t>
  </si>
  <si>
    <t>(d)</t>
  </si>
  <si>
    <t>(e)</t>
  </si>
  <si>
    <t>(f)</t>
  </si>
  <si>
    <t>Leasehold improvements - Straight Line Method</t>
  </si>
  <si>
    <t>Depreciation: Leasehold improvements</t>
  </si>
  <si>
    <t>Computer equipment, hardware and software  - Straight Line Method</t>
  </si>
  <si>
    <t>Construction in progress - Straight Line Method</t>
  </si>
  <si>
    <t>Depreciation: Construction in progress</t>
  </si>
  <si>
    <t>Total Depreciation (a+b+c+d+e+f)</t>
  </si>
  <si>
    <t xml:space="preserve">Accounts payable, accrued and </t>
  </si>
  <si>
    <t>other liabilities</t>
  </si>
  <si>
    <t>Cash flows from investing activities:</t>
  </si>
  <si>
    <t>Cash Flow available for Financing Activities:</t>
  </si>
  <si>
    <t>Cash generated by operating activities:</t>
  </si>
  <si>
    <t>Cash generated by/(used in) investing activities: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</si>
</sst>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 * #,##0.00_ ;_ * \-#,##0.00_ ;_ * &quot;-&quot;??_ ;_ @_ "/>
    <numFmt numFmtId="164" formatCode="&quot;$&quot;#,##0.00_);[Red]\(&quot;$&quot;#,##0.00\)"/>
    <numFmt numFmtId="165" formatCode="_(* #,##0.00_);_(* \(#,##0.00\);_(* &quot;-&quot;??_);_(@_)"/>
    <numFmt numFmtId="166" formatCode="&quot;FY&quot;\ 0"/>
    <numFmt numFmtId="167" formatCode="#,##0.0;\(#,##0.0\);\-"/>
    <numFmt numFmtId="168" formatCode="_(* #,##0_);_(* \(#,##0\);_(* &quot;-&quot;??_);_(@_)"/>
    <numFmt numFmtId="169" formatCode="0.0%"/>
    <numFmt numFmtId="170" formatCode="0.00_);\(0.00\)"/>
    <numFmt numFmtId="171" formatCode="_(* #,##0.0_);_(* \(#,##0.0\);_(* &quot;-&quot;??_);_(@_)"/>
    <numFmt numFmtId="172" formatCode="#,##0.00;\(#,##0.00\);\-"/>
    <numFmt numFmtId="173" formatCode="#,##0;\(#,##0\);\-"/>
    <numFmt numFmtId="174" formatCode="_(* #,##0.000_);_(* \(#,##0.000\);_(* &quot;-&quot;??_);_(@_)"/>
    <numFmt numFmtId="175" formatCode="[$-409]mmm\-yy;@"/>
    <numFmt numFmtId="176" formatCode="0_);\(0\)"/>
    <numFmt numFmtId="177" formatCode="0.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 val="singleAccounting"/>
      <sz val="11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b/>
      <u val="singleAccounting"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rgb="FF0BA1A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ED1D24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5"/>
      <color theme="0"/>
      <name val="Calibri"/>
      <family val="2"/>
      <scheme val="minor"/>
    </font>
    <font>
      <u/>
      <sz val="11"/>
      <color rgb="FF9AC240"/>
      <name val="Calibri"/>
      <family val="2"/>
      <scheme val="minor"/>
    </font>
    <font>
      <u/>
      <sz val="11"/>
      <color theme="0"/>
      <name val="Calibri"/>
      <family val="2"/>
    </font>
    <font>
      <u/>
      <sz val="12.65"/>
      <color theme="0"/>
      <name val="Calibri"/>
      <family val="2"/>
      <scheme val="minor"/>
    </font>
    <font>
      <sz val="11"/>
      <color rgb="FFFF3B3B"/>
      <name val="Calibri"/>
      <family val="2"/>
      <scheme val="minor"/>
    </font>
    <font>
      <b/>
      <sz val="11"/>
      <color rgb="FF0F733D"/>
      <name val="Calibri"/>
      <family val="2"/>
      <scheme val="minor"/>
    </font>
    <font>
      <sz val="11"/>
      <color rgb="FF0F733D"/>
      <name val="Calibri"/>
      <family val="2"/>
      <scheme val="minor"/>
    </font>
    <font>
      <b/>
      <u val="singleAccounting"/>
      <sz val="11"/>
      <color rgb="FF0F733D"/>
      <name val="Calibri"/>
      <family val="2"/>
      <scheme val="minor"/>
    </font>
    <font>
      <b/>
      <u/>
      <sz val="11"/>
      <color rgb="FF0F733D"/>
      <name val="Calibri"/>
      <family val="2"/>
      <scheme val="minor"/>
    </font>
    <font>
      <sz val="11"/>
      <color rgb="FF0E9693"/>
      <name val="Calibri"/>
      <family val="2"/>
      <scheme val="minor"/>
    </font>
    <font>
      <sz val="11"/>
      <color rgb="FF104C55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04C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F733D"/>
        <bgColor indexed="64"/>
      </patternFill>
    </fill>
    <fill>
      <patternFill patternType="solid">
        <fgColor rgb="FFDEEDD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rgb="FFF49C9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1499984740745262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4659260841701"/>
      </top>
      <bottom style="medium">
        <color rgb="FF0F733D"/>
      </bottom>
      <diagonal/>
    </border>
    <border>
      <left/>
      <right/>
      <top style="thin">
        <color rgb="FF0F733D"/>
      </top>
      <bottom style="medium">
        <color rgb="FF0F733D"/>
      </bottom>
      <diagonal/>
    </border>
    <border>
      <left/>
      <right/>
      <top style="thin">
        <color rgb="FF0F733D"/>
      </top>
      <bottom style="double">
        <color rgb="FF0F733D"/>
      </bottom>
      <diagonal/>
    </border>
    <border>
      <left/>
      <right/>
      <top style="thin">
        <color theme="0" tint="-0.249977111117893"/>
      </top>
      <bottom style="medium">
        <color rgb="FF0F733D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rgb="FF0F733D"/>
      </bottom>
      <diagonal/>
    </border>
    <border>
      <left/>
      <right/>
      <top style="medium">
        <color rgb="FF0E9693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medium">
        <color rgb="FF104C55"/>
      </top>
      <bottom style="thin">
        <color theme="0" tint="-0.24994659260841701"/>
      </bottom>
      <diagonal/>
    </border>
    <border>
      <left/>
      <right/>
      <top style="medium">
        <color rgb="FF104C55"/>
      </top>
      <bottom style="thin">
        <color rgb="FF0F733D"/>
      </bottom>
      <diagonal/>
    </border>
    <border>
      <left/>
      <right/>
      <top style="thin">
        <color theme="0" tint="-0.24994659260841701"/>
      </top>
      <bottom style="thin">
        <color theme="0" tint="-0.249977111117893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5" fillId="0" borderId="1">
      <alignment vertical="center"/>
    </xf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314">
    <xf numFmtId="0" fontId="0" fillId="0" borderId="0" xfId="0"/>
    <xf numFmtId="3" fontId="0" fillId="0" borderId="0" xfId="0" applyNumberFormat="1"/>
    <xf numFmtId="0" fontId="2" fillId="0" borderId="0" xfId="0" applyFont="1"/>
    <xf numFmtId="168" fontId="0" fillId="0" borderId="0" xfId="1" applyNumberFormat="1" applyFont="1"/>
    <xf numFmtId="0" fontId="0" fillId="4" borderId="0" xfId="0" applyFill="1"/>
    <xf numFmtId="0" fontId="0" fillId="3" borderId="0" xfId="0" applyFill="1"/>
    <xf numFmtId="0" fontId="0" fillId="0" borderId="1" xfId="0" applyBorder="1" applyAlignment="1">
      <alignment vertical="center" wrapText="1"/>
    </xf>
    <xf numFmtId="165" fontId="0" fillId="3" borderId="0" xfId="4" applyNumberFormat="1" applyFont="1" applyFill="1" applyBorder="1"/>
    <xf numFmtId="165" fontId="0" fillId="4" borderId="0" xfId="4" applyNumberFormat="1" applyFont="1" applyFill="1" applyBorder="1"/>
    <xf numFmtId="0" fontId="0" fillId="0" borderId="1" xfId="0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indent="1"/>
    </xf>
    <xf numFmtId="166" fontId="3" fillId="2" borderId="0" xfId="0" applyNumberFormat="1" applyFont="1" applyFill="1" applyAlignment="1">
      <alignment horizontal="right" vertical="center"/>
    </xf>
    <xf numFmtId="0" fontId="0" fillId="0" borderId="1" xfId="0" applyBorder="1" applyAlignment="1">
      <alignment vertical="center"/>
    </xf>
    <xf numFmtId="167" fontId="5" fillId="0" borderId="1" xfId="0" applyNumberFormat="1" applyFont="1" applyBorder="1" applyAlignment="1">
      <alignment vertical="center"/>
    </xf>
    <xf numFmtId="172" fontId="0" fillId="0" borderId="1" xfId="0" applyNumberFormat="1" applyBorder="1" applyAlignment="1">
      <alignment vertical="center"/>
    </xf>
    <xf numFmtId="173" fontId="6" fillId="0" borderId="1" xfId="0" applyNumberFormat="1" applyFont="1" applyBorder="1" applyAlignment="1">
      <alignment vertical="center"/>
    </xf>
    <xf numFmtId="10" fontId="0" fillId="0" borderId="1" xfId="2" applyNumberFormat="1" applyFont="1" applyBorder="1" applyAlignment="1">
      <alignment vertical="center"/>
    </xf>
    <xf numFmtId="0" fontId="0" fillId="0" borderId="0" xfId="0" applyAlignment="1">
      <alignment horizontal="right"/>
    </xf>
    <xf numFmtId="9" fontId="0" fillId="0" borderId="1" xfId="0" applyNumberFormat="1" applyBorder="1" applyAlignment="1">
      <alignment vertical="center"/>
    </xf>
    <xf numFmtId="0" fontId="10" fillId="4" borderId="4" xfId="0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3"/>
    </xf>
    <xf numFmtId="9" fontId="6" fillId="0" borderId="0" xfId="2" applyFont="1" applyBorder="1" applyAlignment="1">
      <alignment horizontal="right"/>
    </xf>
    <xf numFmtId="10" fontId="0" fillId="0" borderId="6" xfId="2" applyNumberFormat="1" applyFont="1" applyBorder="1"/>
    <xf numFmtId="10" fontId="2" fillId="0" borderId="6" xfId="2" applyNumberFormat="1" applyFont="1" applyBorder="1"/>
    <xf numFmtId="169" fontId="11" fillId="0" borderId="6" xfId="2" applyNumberFormat="1" applyFont="1" applyBorder="1"/>
    <xf numFmtId="0" fontId="13" fillId="3" borderId="0" xfId="0" applyFont="1" applyFill="1" applyAlignment="1">
      <alignment vertical="center" wrapText="1"/>
    </xf>
    <xf numFmtId="175" fontId="0" fillId="0" borderId="0" xfId="0" applyNumberFormat="1"/>
    <xf numFmtId="168" fontId="0" fillId="0" borderId="0" xfId="0" applyNumberFormat="1"/>
    <xf numFmtId="164" fontId="0" fillId="0" borderId="0" xfId="0" applyNumberFormat="1"/>
    <xf numFmtId="2" fontId="0" fillId="3" borderId="0" xfId="2" applyNumberFormat="1" applyFont="1" applyFill="1"/>
    <xf numFmtId="169" fontId="0" fillId="3" borderId="0" xfId="2" applyNumberFormat="1" applyFont="1" applyFill="1"/>
    <xf numFmtId="168" fontId="0" fillId="3" borderId="0" xfId="1" applyNumberFormat="1" applyFont="1" applyFill="1"/>
    <xf numFmtId="0" fontId="0" fillId="0" borderId="0" xfId="0" quotePrefix="1"/>
    <xf numFmtId="3" fontId="14" fillId="0" borderId="0" xfId="0" applyNumberFormat="1" applyFont="1"/>
    <xf numFmtId="165" fontId="3" fillId="0" borderId="0" xfId="0" applyNumberFormat="1" applyFont="1"/>
    <xf numFmtId="0" fontId="16" fillId="3" borderId="0" xfId="0" applyFont="1" applyFill="1"/>
    <xf numFmtId="0" fontId="16" fillId="4" borderId="0" xfId="0" applyFont="1" applyFill="1"/>
    <xf numFmtId="0" fontId="2" fillId="0" borderId="1" xfId="0" applyFont="1" applyBorder="1" applyAlignment="1">
      <alignment horizontal="left" vertical="center" wrapText="1" indent="2"/>
    </xf>
    <xf numFmtId="168" fontId="2" fillId="0" borderId="1" xfId="1" applyNumberFormat="1" applyFont="1" applyBorder="1" applyAlignment="1">
      <alignment horizontal="right" vertical="center"/>
    </xf>
    <xf numFmtId="9" fontId="1" fillId="0" borderId="1" xfId="2" applyFont="1" applyBorder="1" applyAlignment="1">
      <alignment horizontal="right" vertical="center"/>
    </xf>
    <xf numFmtId="9" fontId="11" fillId="0" borderId="1" xfId="2" applyFont="1" applyBorder="1" applyAlignment="1">
      <alignment horizontal="right" vertical="center"/>
    </xf>
    <xf numFmtId="168" fontId="0" fillId="0" borderId="0" xfId="1" applyNumberFormat="1" applyFont="1" applyBorder="1"/>
    <xf numFmtId="165" fontId="0" fillId="0" borderId="0" xfId="1" applyFont="1" applyBorder="1"/>
    <xf numFmtId="0" fontId="0" fillId="0" borderId="9" xfId="0" applyBorder="1"/>
    <xf numFmtId="0" fontId="2" fillId="0" borderId="9" xfId="0" applyFont="1" applyBorder="1"/>
    <xf numFmtId="165" fontId="0" fillId="0" borderId="1" xfId="1" applyFont="1" applyBorder="1"/>
    <xf numFmtId="0" fontId="2" fillId="0" borderId="1" xfId="0" applyFont="1" applyBorder="1"/>
    <xf numFmtId="0" fontId="0" fillId="0" borderId="1" xfId="0" applyBorder="1"/>
    <xf numFmtId="3" fontId="0" fillId="0" borderId="1" xfId="0" applyNumberFormat="1" applyBorder="1"/>
    <xf numFmtId="176" fontId="0" fillId="0" borderId="1" xfId="0" applyNumberFormat="1" applyBorder="1"/>
    <xf numFmtId="176" fontId="6" fillId="0" borderId="1" xfId="0" applyNumberFormat="1" applyFont="1" applyBorder="1"/>
    <xf numFmtId="176" fontId="11" fillId="0" borderId="1" xfId="0" applyNumberFormat="1" applyFont="1" applyBorder="1"/>
    <xf numFmtId="176" fontId="2" fillId="0" borderId="1" xfId="0" applyNumberFormat="1" applyFont="1" applyBorder="1"/>
    <xf numFmtId="176" fontId="0" fillId="0" borderId="0" xfId="0" applyNumberFormat="1"/>
    <xf numFmtId="0" fontId="23" fillId="0" borderId="0" xfId="0" applyFont="1"/>
    <xf numFmtId="176" fontId="23" fillId="0" borderId="0" xfId="0" applyNumberFormat="1" applyFont="1"/>
    <xf numFmtId="168" fontId="0" fillId="0" borderId="1" xfId="1" applyNumberFormat="1" applyFont="1" applyBorder="1"/>
    <xf numFmtId="168" fontId="0" fillId="0" borderId="1" xfId="1" applyNumberFormat="1" applyFont="1" applyBorder="1" applyAlignment="1">
      <alignment horizontal="right"/>
    </xf>
    <xf numFmtId="168" fontId="2" fillId="0" borderId="1" xfId="1" applyNumberFormat="1" applyFont="1" applyBorder="1" applyAlignment="1">
      <alignment horizontal="right"/>
    </xf>
    <xf numFmtId="0" fontId="10" fillId="0" borderId="1" xfId="0" applyFont="1" applyBorder="1" applyAlignment="1">
      <alignment vertical="center"/>
    </xf>
    <xf numFmtId="166" fontId="0" fillId="0" borderId="1" xfId="0" applyNumberFormat="1" applyBorder="1" applyAlignment="1">
      <alignment vertical="center"/>
    </xf>
    <xf numFmtId="0" fontId="0" fillId="4" borderId="1" xfId="0" applyFill="1" applyBorder="1"/>
    <xf numFmtId="166" fontId="8" fillId="5" borderId="0" xfId="0" applyNumberFormat="1" applyFont="1" applyFill="1" applyAlignment="1">
      <alignment vertical="center"/>
    </xf>
    <xf numFmtId="0" fontId="9" fillId="5" borderId="0" xfId="0" applyFont="1" applyFill="1" applyAlignment="1">
      <alignment vertical="center"/>
    </xf>
    <xf numFmtId="166" fontId="3" fillId="5" borderId="0" xfId="0" applyNumberFormat="1" applyFont="1" applyFill="1" applyAlignment="1">
      <alignment vertical="center"/>
    </xf>
    <xf numFmtId="0" fontId="24" fillId="0" borderId="9" xfId="0" applyFont="1" applyBorder="1" applyAlignment="1">
      <alignment vertical="center" wrapText="1"/>
    </xf>
    <xf numFmtId="0" fontId="24" fillId="0" borderId="0" xfId="0" applyFont="1" applyAlignment="1">
      <alignment vertical="center" wrapText="1"/>
    </xf>
    <xf numFmtId="0" fontId="24" fillId="0" borderId="1" xfId="0" applyFont="1" applyBorder="1" applyAlignment="1">
      <alignment horizontal="left" vertical="center" wrapText="1" indent="1"/>
    </xf>
    <xf numFmtId="0" fontId="24" fillId="0" borderId="0" xfId="0" applyFont="1" applyAlignment="1">
      <alignment vertical="center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24" fillId="0" borderId="1" xfId="0" applyFont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 indent="2"/>
    </xf>
    <xf numFmtId="0" fontId="2" fillId="6" borderId="0" xfId="0" applyFont="1" applyFill="1" applyAlignment="1">
      <alignment vertical="center" wrapText="1"/>
    </xf>
    <xf numFmtId="0" fontId="2" fillId="6" borderId="1" xfId="0" applyFont="1" applyFill="1" applyBorder="1"/>
    <xf numFmtId="166" fontId="3" fillId="5" borderId="0" xfId="0" applyNumberFormat="1" applyFont="1" applyFill="1" applyAlignment="1">
      <alignment horizontal="right" vertical="center"/>
    </xf>
    <xf numFmtId="166" fontId="3" fillId="5" borderId="5" xfId="0" applyNumberFormat="1" applyFont="1" applyFill="1" applyBorder="1" applyAlignment="1">
      <alignment vertical="center"/>
    </xf>
    <xf numFmtId="0" fontId="3" fillId="5" borderId="5" xfId="0" applyFont="1" applyFill="1" applyBorder="1" applyAlignment="1">
      <alignment vertical="center" wrapText="1"/>
    </xf>
    <xf numFmtId="168" fontId="1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9" fontId="11" fillId="0" borderId="1" xfId="0" applyNumberFormat="1" applyFont="1" applyBorder="1" applyAlignment="1">
      <alignment horizontal="right"/>
    </xf>
    <xf numFmtId="9" fontId="6" fillId="0" borderId="1" xfId="2" applyFont="1" applyBorder="1" applyAlignment="1">
      <alignment horizontal="right" vertical="center"/>
    </xf>
    <xf numFmtId="9" fontId="6" fillId="0" borderId="1" xfId="0" applyNumberFormat="1" applyFont="1" applyBorder="1" applyAlignment="1">
      <alignment horizontal="right"/>
    </xf>
    <xf numFmtId="0" fontId="24" fillId="6" borderId="1" xfId="0" applyFont="1" applyFill="1" applyBorder="1" applyAlignment="1">
      <alignment vertical="center"/>
    </xf>
    <xf numFmtId="0" fontId="24" fillId="0" borderId="3" xfId="0" applyFont="1" applyBorder="1" applyAlignment="1">
      <alignment vertical="center"/>
    </xf>
    <xf numFmtId="0" fontId="24" fillId="4" borderId="1" xfId="0" applyFont="1" applyFill="1" applyBorder="1" applyAlignment="1">
      <alignment horizontal="left" vertical="center" wrapText="1" indent="2"/>
    </xf>
    <xf numFmtId="0" fontId="24" fillId="0" borderId="0" xfId="0" applyFont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169" fontId="0" fillId="0" borderId="1" xfId="0" applyNumberForma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8" fontId="2" fillId="4" borderId="1" xfId="1" applyNumberFormat="1" applyFont="1" applyFill="1" applyBorder="1" applyAlignment="1">
      <alignment horizontal="left" vertical="center" wrapText="1" indent="2"/>
    </xf>
    <xf numFmtId="0" fontId="24" fillId="6" borderId="1" xfId="0" applyFont="1" applyFill="1" applyBorder="1" applyAlignment="1">
      <alignment horizontal="left" vertical="center" wrapText="1" indent="2"/>
    </xf>
    <xf numFmtId="168" fontId="2" fillId="6" borderId="1" xfId="1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right" vertical="center" wrapText="1" indent="2"/>
    </xf>
    <xf numFmtId="9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25" fillId="0" borderId="1" xfId="0" applyNumberFormat="1" applyFont="1" applyBorder="1" applyAlignment="1">
      <alignment horizontal="right" vertical="center"/>
    </xf>
    <xf numFmtId="168" fontId="24" fillId="6" borderId="1" xfId="1" applyNumberFormat="1" applyFont="1" applyFill="1" applyBorder="1" applyAlignment="1">
      <alignment horizontal="left" vertical="center" wrapText="1" indent="2"/>
    </xf>
    <xf numFmtId="3" fontId="6" fillId="0" borderId="1" xfId="0" applyNumberFormat="1" applyFont="1" applyBorder="1" applyAlignment="1">
      <alignment horizontal="center" vertical="center"/>
    </xf>
    <xf numFmtId="0" fontId="24" fillId="4" borderId="1" xfId="0" applyFont="1" applyFill="1" applyBorder="1" applyAlignment="1">
      <alignment horizontal="left" vertical="center" indent="2"/>
    </xf>
    <xf numFmtId="168" fontId="2" fillId="3" borderId="1" xfId="1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right" vertical="center" wrapText="1" indent="2"/>
    </xf>
    <xf numFmtId="0" fontId="0" fillId="0" borderId="14" xfId="0" applyBorder="1"/>
    <xf numFmtId="0" fontId="0" fillId="0" borderId="14" xfId="0" applyBorder="1" applyAlignment="1">
      <alignment horizontal="left" vertical="center" wrapText="1" indent="2"/>
    </xf>
    <xf numFmtId="0" fontId="24" fillId="0" borderId="14" xfId="0" applyFont="1" applyBorder="1" applyAlignment="1">
      <alignment vertical="center" wrapText="1"/>
    </xf>
    <xf numFmtId="0" fontId="25" fillId="6" borderId="14" xfId="0" applyFont="1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 indent="2"/>
    </xf>
    <xf numFmtId="0" fontId="24" fillId="6" borderId="14" xfId="0" applyFont="1" applyFill="1" applyBorder="1" applyAlignment="1">
      <alignment horizontal="left" vertical="center" wrapText="1" indent="2"/>
    </xf>
    <xf numFmtId="0" fontId="24" fillId="6" borderId="0" xfId="0" applyFont="1" applyFill="1" applyAlignment="1">
      <alignment vertical="center" wrapText="1"/>
    </xf>
    <xf numFmtId="0" fontId="24" fillId="6" borderId="0" xfId="0" applyFont="1" applyFill="1" applyAlignment="1">
      <alignment vertical="center"/>
    </xf>
    <xf numFmtId="0" fontId="24" fillId="6" borderId="0" xfId="0" applyFont="1" applyFill="1" applyAlignment="1">
      <alignment horizontal="right" vertical="center"/>
    </xf>
    <xf numFmtId="2" fontId="24" fillId="6" borderId="0" xfId="0" applyNumberFormat="1" applyFont="1" applyFill="1" applyAlignment="1">
      <alignment vertical="center"/>
    </xf>
    <xf numFmtId="167" fontId="24" fillId="6" borderId="12" xfId="0" applyNumberFormat="1" applyFont="1" applyFill="1" applyBorder="1" applyAlignment="1">
      <alignment vertical="center" wrapText="1"/>
    </xf>
    <xf numFmtId="167" fontId="2" fillId="6" borderId="12" xfId="0" applyNumberFormat="1" applyFont="1" applyFill="1" applyBorder="1" applyAlignment="1">
      <alignment vertical="center" wrapText="1"/>
    </xf>
    <xf numFmtId="167" fontId="2" fillId="6" borderId="12" xfId="0" applyNumberFormat="1" applyFont="1" applyFill="1" applyBorder="1" applyAlignment="1">
      <alignment horizontal="right" vertical="center" wrapText="1"/>
    </xf>
    <xf numFmtId="168" fontId="0" fillId="0" borderId="0" xfId="1" applyNumberFormat="1" applyFont="1" applyBorder="1" applyAlignment="1">
      <alignment horizontal="right"/>
    </xf>
    <xf numFmtId="169" fontId="0" fillId="0" borderId="0" xfId="2" applyNumberFormat="1" applyFont="1" applyBorder="1" applyAlignment="1">
      <alignment horizontal="right"/>
    </xf>
    <xf numFmtId="172" fontId="24" fillId="6" borderId="12" xfId="0" applyNumberFormat="1" applyFont="1" applyFill="1" applyBorder="1" applyAlignment="1">
      <alignment horizontal="left" vertical="center"/>
    </xf>
    <xf numFmtId="172" fontId="2" fillId="6" borderId="12" xfId="0" applyNumberFormat="1" applyFont="1" applyFill="1" applyBorder="1" applyAlignment="1">
      <alignment horizontal="right" vertical="center"/>
    </xf>
    <xf numFmtId="0" fontId="24" fillId="3" borderId="0" xfId="0" applyFont="1" applyFill="1"/>
    <xf numFmtId="0" fontId="27" fillId="0" borderId="0" xfId="0" applyFont="1"/>
    <xf numFmtId="168" fontId="2" fillId="6" borderId="12" xfId="0" applyNumberFormat="1" applyFont="1" applyFill="1" applyBorder="1" applyAlignment="1">
      <alignment horizontal="right" vertical="center" wrapText="1"/>
    </xf>
    <xf numFmtId="169" fontId="2" fillId="0" borderId="7" xfId="0" applyNumberFormat="1" applyFont="1" applyBorder="1"/>
    <xf numFmtId="1" fontId="0" fillId="0" borderId="1" xfId="1" applyNumberFormat="1" applyFont="1" applyBorder="1" applyAlignment="1">
      <alignment horizontal="right"/>
    </xf>
    <xf numFmtId="2" fontId="0" fillId="0" borderId="1" xfId="1" applyNumberFormat="1" applyFont="1" applyBorder="1"/>
    <xf numFmtId="1" fontId="6" fillId="0" borderId="1" xfId="1" applyNumberFormat="1" applyFont="1" applyBorder="1" applyAlignment="1">
      <alignment horizontal="right" vertical="center"/>
    </xf>
    <xf numFmtId="1" fontId="1" fillId="0" borderId="1" xfId="1" applyNumberFormat="1" applyFont="1" applyBorder="1" applyAlignment="1">
      <alignment horizontal="right" vertical="center"/>
    </xf>
    <xf numFmtId="9" fontId="6" fillId="0" borderId="1" xfId="2" applyFont="1" applyBorder="1"/>
    <xf numFmtId="1" fontId="11" fillId="0" borderId="1" xfId="1" applyNumberFormat="1" applyFont="1" applyBorder="1" applyAlignment="1">
      <alignment horizontal="right" vertical="center"/>
    </xf>
    <xf numFmtId="1" fontId="2" fillId="6" borderId="1" xfId="1" applyNumberFormat="1" applyFont="1" applyFill="1" applyBorder="1" applyAlignment="1">
      <alignment horizontal="right" vertical="center"/>
    </xf>
    <xf numFmtId="1" fontId="2" fillId="6" borderId="1" xfId="0" applyNumberFormat="1" applyFont="1" applyFill="1" applyBorder="1" applyAlignment="1">
      <alignment horizontal="right" vertical="center"/>
    </xf>
    <xf numFmtId="168" fontId="2" fillId="6" borderId="1" xfId="1" applyNumberFormat="1" applyFont="1" applyFill="1" applyBorder="1" applyAlignment="1">
      <alignment horizontal="right" vertical="center" wrapText="1"/>
    </xf>
    <xf numFmtId="1" fontId="0" fillId="0" borderId="1" xfId="1" applyNumberFormat="1" applyFont="1" applyBorder="1" applyAlignment="1">
      <alignment horizontal="right" vertical="center" wrapText="1"/>
    </xf>
    <xf numFmtId="168" fontId="2" fillId="3" borderId="1" xfId="1" applyNumberFormat="1" applyFont="1" applyFill="1" applyBorder="1" applyAlignment="1">
      <alignment horizontal="right" vertical="center" wrapText="1"/>
    </xf>
    <xf numFmtId="168" fontId="0" fillId="6" borderId="1" xfId="1" applyNumberFormat="1" applyFont="1" applyFill="1" applyBorder="1" applyAlignment="1">
      <alignment horizontal="right" vertical="center" wrapText="1"/>
    </xf>
    <xf numFmtId="168" fontId="0" fillId="3" borderId="1" xfId="1" applyNumberFormat="1" applyFont="1" applyFill="1" applyBorder="1" applyAlignment="1">
      <alignment horizontal="right" vertical="center" wrapText="1"/>
    </xf>
    <xf numFmtId="168" fontId="0" fillId="0" borderId="1" xfId="1" applyNumberFormat="1" applyFont="1" applyBorder="1" applyAlignment="1">
      <alignment horizontal="right" vertical="center" wrapText="1"/>
    </xf>
    <xf numFmtId="168" fontId="2" fillId="4" borderId="1" xfId="1" applyNumberFormat="1" applyFont="1" applyFill="1" applyBorder="1" applyAlignment="1">
      <alignment horizontal="right" vertical="center" wrapText="1"/>
    </xf>
    <xf numFmtId="1" fontId="2" fillId="4" borderId="1" xfId="1" applyNumberFormat="1" applyFont="1" applyFill="1" applyBorder="1" applyAlignment="1">
      <alignment horizontal="right" vertical="center" wrapText="1"/>
    </xf>
    <xf numFmtId="176" fontId="6" fillId="0" borderId="1" xfId="1" applyNumberFormat="1" applyFont="1" applyBorder="1"/>
    <xf numFmtId="176" fontId="0" fillId="0" borderId="1" xfId="1" applyNumberFormat="1" applyFont="1" applyBorder="1"/>
    <xf numFmtId="176" fontId="6" fillId="0" borderId="1" xfId="1" applyNumberFormat="1" applyFont="1" applyBorder="1" applyAlignment="1">
      <alignment horizontal="right" vertical="center" wrapText="1"/>
    </xf>
    <xf numFmtId="176" fontId="17" fillId="4" borderId="1" xfId="1" applyNumberFormat="1" applyFont="1" applyFill="1" applyBorder="1" applyAlignment="1">
      <alignment horizontal="right" vertical="center"/>
    </xf>
    <xf numFmtId="176" fontId="2" fillId="4" borderId="1" xfId="1" applyNumberFormat="1" applyFont="1" applyFill="1" applyBorder="1" applyAlignment="1">
      <alignment horizontal="right" vertical="center"/>
    </xf>
    <xf numFmtId="176" fontId="11" fillId="0" borderId="1" xfId="1" applyNumberFormat="1" applyFont="1" applyBorder="1" applyAlignment="1">
      <alignment horizontal="right" vertical="center" wrapText="1"/>
    </xf>
    <xf numFmtId="0" fontId="24" fillId="6" borderId="1" xfId="0" applyFont="1" applyFill="1" applyBorder="1" applyAlignment="1">
      <alignment horizontal="left" vertical="center" wrapText="1" indent="3"/>
    </xf>
    <xf numFmtId="171" fontId="11" fillId="0" borderId="1" xfId="1" applyNumberFormat="1" applyFont="1" applyBorder="1"/>
    <xf numFmtId="171" fontId="11" fillId="0" borderId="1" xfId="1" applyNumberFormat="1" applyFont="1" applyBorder="1" applyAlignment="1">
      <alignment horizontal="right"/>
    </xf>
    <xf numFmtId="168" fontId="11" fillId="0" borderId="1" xfId="1" applyNumberFormat="1" applyFont="1" applyBorder="1" applyAlignment="1">
      <alignment horizontal="right"/>
    </xf>
    <xf numFmtId="168" fontId="0" fillId="0" borderId="1" xfId="0" applyNumberFormat="1" applyBorder="1"/>
    <xf numFmtId="168" fontId="0" fillId="3" borderId="1" xfId="0" applyNumberFormat="1" applyFill="1" applyBorder="1"/>
    <xf numFmtId="0" fontId="0" fillId="0" borderId="1" xfId="0" applyBorder="1" applyAlignment="1">
      <alignment horizontal="left" vertical="center" wrapText="1" indent="3"/>
    </xf>
    <xf numFmtId="0" fontId="2" fillId="0" borderId="1" xfId="0" applyFont="1" applyBorder="1" applyAlignment="1">
      <alignment horizontal="left" vertical="center" wrapText="1" indent="3"/>
    </xf>
    <xf numFmtId="0" fontId="0" fillId="3" borderId="1" xfId="0" applyFill="1" applyBorder="1" applyAlignment="1">
      <alignment horizontal="left" vertical="center" wrapText="1" indent="3"/>
    </xf>
    <xf numFmtId="171" fontId="11" fillId="3" borderId="1" xfId="1" applyNumberFormat="1" applyFont="1" applyFill="1" applyBorder="1" applyAlignment="1">
      <alignment horizontal="right"/>
    </xf>
    <xf numFmtId="168" fontId="11" fillId="3" borderId="1" xfId="1" applyNumberFormat="1" applyFont="1" applyFill="1" applyBorder="1" applyAlignment="1">
      <alignment horizontal="right"/>
    </xf>
    <xf numFmtId="0" fontId="0" fillId="0" borderId="15" xfId="0" applyBorder="1" applyAlignment="1">
      <alignment horizontal="left" vertical="center" wrapText="1" indent="3"/>
    </xf>
    <xf numFmtId="168" fontId="0" fillId="0" borderId="15" xfId="1" applyNumberFormat="1" applyFont="1" applyBorder="1"/>
    <xf numFmtId="171" fontId="11" fillId="0" borderId="15" xfId="1" applyNumberFormat="1" applyFont="1" applyBorder="1" applyAlignment="1">
      <alignment horizontal="right"/>
    </xf>
    <xf numFmtId="168" fontId="11" fillId="0" borderId="15" xfId="1" applyNumberFormat="1" applyFont="1" applyBorder="1" applyAlignment="1">
      <alignment horizontal="right"/>
    </xf>
    <xf numFmtId="168" fontId="0" fillId="0" borderId="15" xfId="0" applyNumberFormat="1" applyBorder="1"/>
    <xf numFmtId="168" fontId="0" fillId="3" borderId="15" xfId="0" applyNumberFormat="1" applyFill="1" applyBorder="1"/>
    <xf numFmtId="0" fontId="2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4" fillId="3" borderId="1" xfId="0" applyFont="1" applyFill="1" applyBorder="1" applyAlignment="1">
      <alignment horizontal="left" vertical="center" wrapText="1" indent="1"/>
    </xf>
    <xf numFmtId="170" fontId="0" fillId="3" borderId="1" xfId="0" applyNumberFormat="1" applyFill="1" applyBorder="1" applyAlignment="1">
      <alignment horizontal="right" vertical="center" wrapText="1"/>
    </xf>
    <xf numFmtId="170" fontId="11" fillId="3" borderId="1" xfId="0" applyNumberFormat="1" applyFont="1" applyFill="1" applyBorder="1" applyAlignment="1">
      <alignment horizontal="right" vertical="center" wrapText="1"/>
    </xf>
    <xf numFmtId="2" fontId="0" fillId="0" borderId="2" xfId="1" applyNumberFormat="1" applyFont="1" applyBorder="1"/>
    <xf numFmtId="9" fontId="6" fillId="0" borderId="2" xfId="2" applyFont="1" applyBorder="1"/>
    <xf numFmtId="3" fontId="2" fillId="4" borderId="16" xfId="1" applyNumberFormat="1" applyFont="1" applyFill="1" applyBorder="1" applyAlignment="1">
      <alignment horizontal="right" vertical="center"/>
    </xf>
    <xf numFmtId="9" fontId="6" fillId="0" borderId="2" xfId="2" applyFont="1" applyBorder="1" applyAlignment="1">
      <alignment horizontal="right" vertical="center"/>
    </xf>
    <xf numFmtId="1" fontId="2" fillId="4" borderId="16" xfId="1" applyNumberFormat="1" applyFont="1" applyFill="1" applyBorder="1" applyAlignment="1">
      <alignment horizontal="right" vertical="center"/>
    </xf>
    <xf numFmtId="1" fontId="28" fillId="0" borderId="1" xfId="1" applyNumberFormat="1" applyFont="1" applyBorder="1" applyAlignment="1">
      <alignment horizontal="right" vertical="center"/>
    </xf>
    <xf numFmtId="1" fontId="29" fillId="0" borderId="1" xfId="1" applyNumberFormat="1" applyFont="1" applyBorder="1" applyAlignment="1">
      <alignment horizontal="right" vertical="center"/>
    </xf>
    <xf numFmtId="176" fontId="6" fillId="0" borderId="2" xfId="0" applyNumberFormat="1" applyFont="1" applyBorder="1"/>
    <xf numFmtId="176" fontId="11" fillId="0" borderId="2" xfId="0" applyNumberFormat="1" applyFont="1" applyBorder="1"/>
    <xf numFmtId="176" fontId="2" fillId="6" borderId="19" xfId="0" applyNumberFormat="1" applyFont="1" applyFill="1" applyBorder="1"/>
    <xf numFmtId="3" fontId="6" fillId="0" borderId="1" xfId="0" applyNumberFormat="1" applyFont="1" applyBorder="1"/>
    <xf numFmtId="3" fontId="6" fillId="0" borderId="2" xfId="0" applyNumberFormat="1" applyFont="1" applyBorder="1"/>
    <xf numFmtId="173" fontId="6" fillId="0" borderId="1" xfId="0" applyNumberFormat="1" applyFont="1" applyBorder="1"/>
    <xf numFmtId="173" fontId="0" fillId="0" borderId="1" xfId="0" applyNumberFormat="1" applyBorder="1"/>
    <xf numFmtId="173" fontId="11" fillId="0" borderId="1" xfId="0" applyNumberFormat="1" applyFont="1" applyBorder="1"/>
    <xf numFmtId="173" fontId="6" fillId="0" borderId="2" xfId="0" applyNumberFormat="1" applyFont="1" applyBorder="1"/>
    <xf numFmtId="173" fontId="2" fillId="6" borderId="20" xfId="0" applyNumberFormat="1" applyFont="1" applyFill="1" applyBorder="1"/>
    <xf numFmtId="173" fontId="2" fillId="6" borderId="20" xfId="0" applyNumberFormat="1" applyFont="1" applyFill="1" applyBorder="1" applyAlignment="1">
      <alignment horizontal="right"/>
    </xf>
    <xf numFmtId="173" fontId="2" fillId="6" borderId="12" xfId="0" applyNumberFormat="1" applyFont="1" applyFill="1" applyBorder="1"/>
    <xf numFmtId="173" fontId="0" fillId="0" borderId="3" xfId="0" applyNumberFormat="1" applyBorder="1"/>
    <xf numFmtId="173" fontId="2" fillId="6" borderId="19" xfId="0" applyNumberFormat="1" applyFont="1" applyFill="1" applyBorder="1"/>
    <xf numFmtId="173" fontId="11" fillId="0" borderId="2" xfId="0" applyNumberFormat="1" applyFont="1" applyBorder="1"/>
    <xf numFmtId="173" fontId="2" fillId="6" borderId="1" xfId="0" applyNumberFormat="1" applyFont="1" applyFill="1" applyBorder="1"/>
    <xf numFmtId="173" fontId="0" fillId="0" borderId="0" xfId="0" applyNumberFormat="1"/>
    <xf numFmtId="173" fontId="2" fillId="3" borderId="2" xfId="0" applyNumberFormat="1" applyFont="1" applyFill="1" applyBorder="1"/>
    <xf numFmtId="173" fontId="11" fillId="0" borderId="3" xfId="0" applyNumberFormat="1" applyFont="1" applyBorder="1" applyAlignment="1">
      <alignment vertical="center"/>
    </xf>
    <xf numFmtId="173" fontId="11" fillId="0" borderId="1" xfId="0" applyNumberFormat="1" applyFont="1" applyBorder="1" applyAlignment="1">
      <alignment vertical="center"/>
    </xf>
    <xf numFmtId="173" fontId="5" fillId="0" borderId="1" xfId="0" applyNumberFormat="1" applyFont="1" applyBorder="1" applyAlignment="1">
      <alignment vertical="center"/>
    </xf>
    <xf numFmtId="173" fontId="0" fillId="0" borderId="1" xfId="0" applyNumberFormat="1" applyBorder="1" applyAlignment="1">
      <alignment vertical="center"/>
    </xf>
    <xf numFmtId="173" fontId="11" fillId="0" borderId="10" xfId="0" applyNumberFormat="1" applyFont="1" applyBorder="1" applyAlignment="1">
      <alignment vertical="center"/>
    </xf>
    <xf numFmtId="173" fontId="0" fillId="0" borderId="10" xfId="0" applyNumberFormat="1" applyBorder="1" applyAlignment="1">
      <alignment vertical="center"/>
    </xf>
    <xf numFmtId="173" fontId="2" fillId="0" borderId="3" xfId="0" applyNumberFormat="1" applyFont="1" applyBorder="1" applyAlignment="1">
      <alignment vertical="center"/>
    </xf>
    <xf numFmtId="10" fontId="0" fillId="0" borderId="1" xfId="0" applyNumberFormat="1" applyBorder="1" applyAlignment="1">
      <alignment vertical="center"/>
    </xf>
    <xf numFmtId="173" fontId="0" fillId="0" borderId="0" xfId="0" applyNumberFormat="1" applyAlignment="1">
      <alignment horizontal="right"/>
    </xf>
    <xf numFmtId="10" fontId="6" fillId="0" borderId="1" xfId="2" applyNumberFormat="1" applyFont="1" applyBorder="1" applyAlignment="1">
      <alignment vertical="center"/>
    </xf>
    <xf numFmtId="10" fontId="6" fillId="0" borderId="1" xfId="0" applyNumberFormat="1" applyFont="1" applyBorder="1" applyAlignment="1">
      <alignment vertical="center"/>
    </xf>
    <xf numFmtId="173" fontId="2" fillId="0" borderId="2" xfId="0" applyNumberFormat="1" applyFont="1" applyBorder="1" applyAlignment="1">
      <alignment vertical="center"/>
    </xf>
    <xf numFmtId="173" fontId="2" fillId="6" borderId="12" xfId="0" applyNumberFormat="1" applyFont="1" applyFill="1" applyBorder="1" applyAlignment="1">
      <alignment vertical="center"/>
    </xf>
    <xf numFmtId="173" fontId="6" fillId="0" borderId="1" xfId="0" applyNumberFormat="1" applyFont="1" applyBorder="1" applyAlignment="1">
      <alignment vertical="center" wrapText="1"/>
    </xf>
    <xf numFmtId="173" fontId="30" fillId="0" borderId="1" xfId="0" applyNumberFormat="1" applyFont="1" applyBorder="1" applyAlignment="1">
      <alignment vertical="center" wrapText="1"/>
    </xf>
    <xf numFmtId="173" fontId="11" fillId="0" borderId="1" xfId="0" applyNumberFormat="1" applyFont="1" applyBorder="1" applyAlignment="1">
      <alignment vertical="center" wrapText="1"/>
    </xf>
    <xf numFmtId="173" fontId="2" fillId="0" borderId="1" xfId="1" applyNumberFormat="1" applyFont="1" applyBorder="1" applyAlignment="1">
      <alignment horizontal="right"/>
    </xf>
    <xf numFmtId="173" fontId="0" fillId="0" borderId="1" xfId="1" applyNumberFormat="1" applyFont="1" applyBorder="1" applyAlignment="1">
      <alignment horizontal="right"/>
    </xf>
    <xf numFmtId="173" fontId="6" fillId="0" borderId="2" xfId="0" applyNumberFormat="1" applyFont="1" applyBorder="1" applyAlignment="1">
      <alignment vertical="center" wrapText="1"/>
    </xf>
    <xf numFmtId="173" fontId="11" fillId="0" borderId="2" xfId="0" applyNumberFormat="1" applyFont="1" applyBorder="1" applyAlignment="1">
      <alignment vertical="center" wrapText="1"/>
    </xf>
    <xf numFmtId="173" fontId="2" fillId="0" borderId="2" xfId="1" applyNumberFormat="1" applyFont="1" applyBorder="1" applyAlignment="1">
      <alignment horizontal="right"/>
    </xf>
    <xf numFmtId="173" fontId="2" fillId="6" borderId="11" xfId="1" applyNumberFormat="1" applyFont="1" applyFill="1" applyBorder="1" applyAlignment="1">
      <alignment horizontal="right"/>
    </xf>
    <xf numFmtId="173" fontId="11" fillId="0" borderId="0" xfId="1" applyNumberFormat="1" applyFont="1" applyBorder="1" applyAlignment="1">
      <alignment horizontal="right" vertical="center"/>
    </xf>
    <xf numFmtId="173" fontId="2" fillId="6" borderId="12" xfId="1" applyNumberFormat="1" applyFont="1" applyFill="1" applyBorder="1" applyAlignment="1">
      <alignment horizontal="right"/>
    </xf>
    <xf numFmtId="173" fontId="2" fillId="6" borderId="19" xfId="0" applyNumberFormat="1" applyFont="1" applyFill="1" applyBorder="1" applyAlignment="1">
      <alignment horizontal="right" vertical="center" wrapText="1"/>
    </xf>
    <xf numFmtId="0" fontId="0" fillId="7" borderId="1" xfId="0" applyFill="1" applyBorder="1" applyAlignment="1">
      <alignment horizontal="left" vertical="center" wrapText="1" indent="2"/>
    </xf>
    <xf numFmtId="0" fontId="0" fillId="0" borderId="1" xfId="0" applyBorder="1" applyAlignment="1">
      <alignment horizontal="center" vertical="center"/>
    </xf>
    <xf numFmtId="173" fontId="29" fillId="0" borderId="1" xfId="0" applyNumberFormat="1" applyFont="1" applyBorder="1"/>
    <xf numFmtId="173" fontId="6" fillId="0" borderId="0" xfId="0" applyNumberFormat="1" applyFont="1"/>
    <xf numFmtId="173" fontId="29" fillId="0" borderId="0" xfId="0" applyNumberFormat="1" applyFont="1"/>
    <xf numFmtId="173" fontId="6" fillId="3" borderId="13" xfId="3" applyNumberFormat="1" applyFont="1" applyFill="1" applyBorder="1" applyAlignment="1">
      <alignment horizontal="right" vertical="center"/>
    </xf>
    <xf numFmtId="173" fontId="29" fillId="3" borderId="13" xfId="3" applyNumberFormat="1" applyFont="1" applyFill="1" applyBorder="1" applyAlignment="1">
      <alignment horizontal="right" vertical="center"/>
    </xf>
    <xf numFmtId="173" fontId="2" fillId="6" borderId="3" xfId="0" applyNumberFormat="1" applyFont="1" applyFill="1" applyBorder="1" applyAlignment="1">
      <alignment horizontal="right" vertical="center" wrapText="1"/>
    </xf>
    <xf numFmtId="173" fontId="2" fillId="0" borderId="9" xfId="1" applyNumberFormat="1" applyFont="1" applyBorder="1" applyAlignment="1">
      <alignment horizontal="right" vertical="center"/>
    </xf>
    <xf numFmtId="173" fontId="0" fillId="0" borderId="9" xfId="1" applyNumberFormat="1" applyFont="1" applyBorder="1" applyAlignment="1">
      <alignment horizontal="right" vertical="center"/>
    </xf>
    <xf numFmtId="173" fontId="11" fillId="3" borderId="9" xfId="1" applyNumberFormat="1" applyFont="1" applyFill="1" applyBorder="1" applyAlignment="1">
      <alignment horizontal="right" vertical="center"/>
    </xf>
    <xf numFmtId="173" fontId="6" fillId="3" borderId="9" xfId="3" applyNumberFormat="1" applyFont="1" applyFill="1" applyBorder="1" applyAlignment="1">
      <alignment horizontal="right" vertical="center"/>
    </xf>
    <xf numFmtId="173" fontId="2" fillId="0" borderId="13" xfId="1" applyNumberFormat="1" applyFont="1" applyBorder="1" applyAlignment="1">
      <alignment horizontal="right" vertical="center"/>
    </xf>
    <xf numFmtId="173" fontId="6" fillId="3" borderId="9" xfId="1" applyNumberFormat="1" applyFont="1" applyFill="1" applyBorder="1" applyAlignment="1">
      <alignment horizontal="right" vertical="center"/>
    </xf>
    <xf numFmtId="173" fontId="6" fillId="3" borderId="18" xfId="1" applyNumberFormat="1" applyFont="1" applyFill="1" applyBorder="1" applyAlignment="1">
      <alignment horizontal="right" vertical="center"/>
    </xf>
    <xf numFmtId="173" fontId="11" fillId="3" borderId="18" xfId="1" applyNumberFormat="1" applyFont="1" applyFill="1" applyBorder="1" applyAlignment="1">
      <alignment horizontal="right" vertical="center"/>
    </xf>
    <xf numFmtId="173" fontId="2" fillId="6" borderId="17" xfId="0" applyNumberFormat="1" applyFont="1" applyFill="1" applyBorder="1" applyAlignment="1">
      <alignment horizontal="right" vertical="center" wrapText="1"/>
    </xf>
    <xf numFmtId="173" fontId="11" fillId="3" borderId="1" xfId="1" applyNumberFormat="1" applyFont="1" applyFill="1" applyBorder="1" applyAlignment="1">
      <alignment horizontal="right" vertical="center"/>
    </xf>
    <xf numFmtId="173" fontId="11" fillId="3" borderId="2" xfId="1" applyNumberFormat="1" applyFont="1" applyFill="1" applyBorder="1" applyAlignment="1">
      <alignment horizontal="right" vertical="center"/>
    </xf>
    <xf numFmtId="173" fontId="0" fillId="0" borderId="9" xfId="0" applyNumberFormat="1" applyBorder="1" applyAlignment="1">
      <alignment horizontal="right" vertical="center"/>
    </xf>
    <xf numFmtId="173" fontId="0" fillId="0" borderId="9" xfId="0" applyNumberFormat="1" applyBorder="1"/>
    <xf numFmtId="173" fontId="0" fillId="0" borderId="9" xfId="0" applyNumberFormat="1" applyBorder="1" applyAlignment="1">
      <alignment horizontal="right" vertical="center" wrapText="1"/>
    </xf>
    <xf numFmtId="173" fontId="11" fillId="0" borderId="9" xfId="1" applyNumberFormat="1" applyFont="1" applyBorder="1" applyAlignment="1">
      <alignment horizontal="right" vertical="center"/>
    </xf>
    <xf numFmtId="173" fontId="2" fillId="6" borderId="9" xfId="0" applyNumberFormat="1" applyFont="1" applyFill="1" applyBorder="1" applyAlignment="1">
      <alignment horizontal="right" vertical="center" wrapText="1"/>
    </xf>
    <xf numFmtId="173" fontId="2" fillId="6" borderId="9" xfId="1" applyNumberFormat="1" applyFont="1" applyFill="1" applyBorder="1" applyAlignment="1">
      <alignment horizontal="right" vertical="center" wrapText="1"/>
    </xf>
    <xf numFmtId="173" fontId="0" fillId="0" borderId="0" xfId="0" applyNumberFormat="1" applyAlignment="1">
      <alignment horizontal="right" vertical="center"/>
    </xf>
    <xf numFmtId="173" fontId="0" fillId="0" borderId="14" xfId="0" applyNumberFormat="1" applyBorder="1"/>
    <xf numFmtId="173" fontId="11" fillId="0" borderId="14" xfId="1" applyNumberFormat="1" applyFont="1" applyBorder="1" applyAlignment="1">
      <alignment vertical="center"/>
    </xf>
    <xf numFmtId="173" fontId="6" fillId="0" borderId="14" xfId="1" applyNumberFormat="1" applyFont="1" applyBorder="1" applyAlignment="1">
      <alignment vertical="center" wrapText="1"/>
    </xf>
    <xf numFmtId="173" fontId="0" fillId="6" borderId="14" xfId="0" applyNumberFormat="1" applyFill="1" applyBorder="1" applyAlignment="1">
      <alignment horizontal="left" vertical="center" wrapText="1" indent="2"/>
    </xf>
    <xf numFmtId="173" fontId="0" fillId="6" borderId="14" xfId="0" applyNumberFormat="1" applyFill="1" applyBorder="1" applyAlignment="1">
      <alignment vertical="center" wrapText="1"/>
    </xf>
    <xf numFmtId="173" fontId="0" fillId="6" borderId="14" xfId="1" applyNumberFormat="1" applyFont="1" applyFill="1" applyBorder="1" applyAlignment="1">
      <alignment vertical="center" wrapText="1"/>
    </xf>
    <xf numFmtId="173" fontId="0" fillId="0" borderId="14" xfId="1" applyNumberFormat="1" applyFont="1" applyBorder="1"/>
    <xf numFmtId="173" fontId="0" fillId="6" borderId="14" xfId="0" applyNumberFormat="1" applyFill="1" applyBorder="1"/>
    <xf numFmtId="173" fontId="11" fillId="6" borderId="14" xfId="0" applyNumberFormat="1" applyFont="1" applyFill="1" applyBorder="1" applyAlignment="1">
      <alignment vertical="center" wrapText="1"/>
    </xf>
    <xf numFmtId="0" fontId="0" fillId="0" borderId="21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 indent="2"/>
    </xf>
    <xf numFmtId="9" fontId="0" fillId="0" borderId="14" xfId="2" applyFont="1" applyBorder="1"/>
    <xf numFmtId="10" fontId="0" fillId="0" borderId="14" xfId="2" applyNumberFormat="1" applyFont="1" applyBorder="1"/>
    <xf numFmtId="9" fontId="6" fillId="0" borderId="14" xfId="2" applyFont="1" applyBorder="1"/>
    <xf numFmtId="2" fontId="2" fillId="0" borderId="6" xfId="2" applyNumberFormat="1" applyFont="1" applyBorder="1"/>
    <xf numFmtId="2" fontId="11" fillId="0" borderId="6" xfId="2" applyNumberFormat="1" applyFont="1" applyBorder="1"/>
    <xf numFmtId="2" fontId="0" fillId="0" borderId="6" xfId="2" applyNumberFormat="1" applyFont="1" applyBorder="1"/>
    <xf numFmtId="10" fontId="2" fillId="0" borderId="22" xfId="2" applyNumberFormat="1" applyFont="1" applyBorder="1"/>
    <xf numFmtId="169" fontId="11" fillId="0" borderId="0" xfId="2" applyNumberFormat="1" applyFont="1" applyBorder="1"/>
    <xf numFmtId="10" fontId="0" fillId="0" borderId="23" xfId="2" applyNumberFormat="1" applyFont="1" applyBorder="1"/>
    <xf numFmtId="10" fontId="0" fillId="0" borderId="22" xfId="2" applyNumberFormat="1" applyFont="1" applyBorder="1"/>
    <xf numFmtId="10" fontId="2" fillId="0" borderId="23" xfId="2" applyNumberFormat="1" applyFont="1" applyBorder="1"/>
    <xf numFmtId="2" fontId="2" fillId="0" borderId="24" xfId="2" applyNumberFormat="1" applyFont="1" applyBorder="1"/>
    <xf numFmtId="10" fontId="0" fillId="0" borderId="25" xfId="2" applyNumberFormat="1" applyFont="1" applyBorder="1"/>
    <xf numFmtId="177" fontId="0" fillId="4" borderId="0" xfId="2" applyNumberFormat="1" applyFont="1" applyFill="1"/>
    <xf numFmtId="169" fontId="0" fillId="0" borderId="13" xfId="2" applyNumberFormat="1" applyFont="1" applyBorder="1" applyAlignment="1">
      <alignment horizontal="right" vertical="center"/>
    </xf>
    <xf numFmtId="0" fontId="0" fillId="8" borderId="0" xfId="0" applyFill="1"/>
    <xf numFmtId="0" fontId="12" fillId="8" borderId="0" xfId="0" applyFont="1" applyFill="1"/>
    <xf numFmtId="0" fontId="9" fillId="8" borderId="0" xfId="0" applyFont="1" applyFill="1"/>
    <xf numFmtId="0" fontId="21" fillId="8" borderId="0" xfId="5" applyFont="1" applyFill="1" applyAlignment="1" applyProtection="1"/>
    <xf numFmtId="0" fontId="22" fillId="8" borderId="0" xfId="5" applyFont="1" applyFill="1" applyAlignment="1" applyProtection="1"/>
    <xf numFmtId="0" fontId="0" fillId="9" borderId="0" xfId="0" applyFill="1"/>
    <xf numFmtId="0" fontId="20" fillId="9" borderId="0" xfId="5" applyFont="1" applyFill="1" applyBorder="1" applyAlignment="1" applyProtection="1"/>
    <xf numFmtId="0" fontId="18" fillId="9" borderId="0" xfId="5" applyFill="1" applyBorder="1" applyAlignment="1" applyProtection="1"/>
    <xf numFmtId="0" fontId="18" fillId="3" borderId="0" xfId="5" applyFill="1" applyBorder="1" applyAlignment="1" applyProtection="1"/>
    <xf numFmtId="0" fontId="13" fillId="3" borderId="0" xfId="0" applyFont="1" applyFill="1"/>
    <xf numFmtId="0" fontId="3" fillId="3" borderId="0" xfId="0" applyFont="1" applyFill="1"/>
    <xf numFmtId="0" fontId="9" fillId="3" borderId="0" xfId="0" applyFont="1" applyFill="1"/>
    <xf numFmtId="0" fontId="21" fillId="3" borderId="0" xfId="5" applyFont="1" applyFill="1" applyAlignment="1" applyProtection="1"/>
    <xf numFmtId="0" fontId="31" fillId="9" borderId="0" xfId="0" applyFont="1" applyFill="1"/>
    <xf numFmtId="10" fontId="17" fillId="0" borderId="6" xfId="2" applyNumberFormat="1" applyFont="1" applyBorder="1"/>
    <xf numFmtId="169" fontId="17" fillId="0" borderId="6" xfId="2" applyNumberFormat="1" applyFont="1" applyBorder="1"/>
    <xf numFmtId="172" fontId="0" fillId="0" borderId="0" xfId="0" applyNumberFormat="1"/>
    <xf numFmtId="2" fontId="1" fillId="0" borderId="6" xfId="2" applyNumberFormat="1" applyFont="1" applyBorder="1"/>
    <xf numFmtId="169" fontId="2" fillId="0" borderId="0" xfId="0" applyNumberFormat="1" applyFont="1"/>
    <xf numFmtId="174" fontId="0" fillId="0" borderId="26" xfId="1" applyNumberFormat="1" applyFont="1" applyFill="1" applyBorder="1"/>
    <xf numFmtId="174" fontId="0" fillId="0" borderId="0" xfId="1" applyNumberFormat="1" applyFont="1" applyFill="1"/>
    <xf numFmtId="174" fontId="3" fillId="3" borderId="0" xfId="1" applyNumberFormat="1" applyFont="1" applyFill="1"/>
    <xf numFmtId="174" fontId="0" fillId="4" borderId="27" xfId="0" applyNumberFormat="1" applyFill="1" applyBorder="1"/>
    <xf numFmtId="174" fontId="0" fillId="4" borderId="0" xfId="0" applyNumberFormat="1" applyFill="1"/>
    <xf numFmtId="0" fontId="19" fillId="8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vertical="center" textRotation="90"/>
    </xf>
    <xf numFmtId="0" fontId="7" fillId="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left" vertical="center" wrapText="1" indent="2"/>
    </xf>
    <xf numFmtId="173" fontId="6" fillId="0" borderId="1" xfId="0" applyNumberFormat="1" applyFont="1" applyFill="1" applyBorder="1" applyAlignment="1">
      <alignment vertical="center" wrapText="1"/>
    </xf>
    <xf numFmtId="173" fontId="11" fillId="0" borderId="1" xfId="0" applyNumberFormat="1" applyFont="1" applyFill="1" applyBorder="1" applyAlignment="1">
      <alignment vertical="center" wrapText="1"/>
    </xf>
  </cellXfs>
  <cellStyles count="6">
    <cellStyle name="Comma" xfId="1" builtinId="3"/>
    <cellStyle name="Comma 5" xfId="4" xr:uid="{00000000-0005-0000-0000-000001000000}"/>
    <cellStyle name="GivenData" xfId="3" xr:uid="{00000000-0005-0000-0000-000003000000}"/>
    <cellStyle name="Hyperlink" xfId="5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49C90"/>
      <color rgb="FFFF3B3B"/>
      <color rgb="FF104C55"/>
      <color rgb="FF0E9693"/>
      <color rgb="FFDEEDD3"/>
      <color rgb="FF0F733D"/>
      <color rgb="FFD4E8C6"/>
      <color rgb="FF86F2B2"/>
      <color rgb="FFE4FCEE"/>
      <color rgb="FFEDFD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232833</xdr:colOff>
      <xdr:row>3</xdr:row>
      <xdr:rowOff>105832</xdr:rowOff>
    </xdr:from>
    <xdr:to>
      <xdr:col>24</xdr:col>
      <xdr:colOff>78705</xdr:colOff>
      <xdr:row>11</xdr:row>
      <xdr:rowOff>130604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E7AB67-0067-659C-01C5-B24F98C07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0" y="874888"/>
          <a:ext cx="7550538" cy="1492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showGridLines="0" zoomScale="90" zoomScaleNormal="90" workbookViewId="0">
      <pane ySplit="3" topLeftCell="A4" activePane="bottomLeft" state="frozen"/>
      <selection pane="bottomLeft" activeCell="G10" sqref="G10"/>
    </sheetView>
  </sheetViews>
  <sheetFormatPr defaultColWidth="0" defaultRowHeight="14.5" zeroHeight="1" x14ac:dyDescent="0.35"/>
  <cols>
    <col min="1" max="1" width="10.7265625" style="4" customWidth="1"/>
    <col min="2" max="2" width="9.1796875" style="4" customWidth="1"/>
    <col min="3" max="3" width="4.453125" style="4" customWidth="1"/>
    <col min="4" max="5" width="9.1796875" style="4" customWidth="1"/>
    <col min="6" max="6" width="26.1796875" style="4" customWidth="1"/>
    <col min="7" max="7" width="11.26953125" style="4" customWidth="1"/>
    <col min="8" max="8" width="25.26953125" style="4" customWidth="1"/>
    <col min="9" max="16384" width="9.1796875" style="4" hidden="1"/>
  </cols>
  <sheetData>
    <row r="1" spans="1:8" ht="13.5" customHeight="1" x14ac:dyDescent="0.35">
      <c r="A1" s="303" t="s">
        <v>233</v>
      </c>
      <c r="B1" s="303"/>
      <c r="C1" s="303"/>
      <c r="D1" s="303"/>
      <c r="E1" s="303"/>
      <c r="F1" s="303"/>
      <c r="G1" s="303"/>
      <c r="H1" s="303"/>
    </row>
    <row r="2" spans="1:8" x14ac:dyDescent="0.35">
      <c r="A2" s="303"/>
      <c r="B2" s="303"/>
      <c r="C2" s="303"/>
      <c r="D2" s="303"/>
      <c r="E2" s="303"/>
      <c r="F2" s="303"/>
      <c r="G2" s="303"/>
      <c r="H2" s="303"/>
    </row>
    <row r="3" spans="1:8" ht="26" customHeight="1" x14ac:dyDescent="0.35">
      <c r="A3" s="303"/>
      <c r="B3" s="303"/>
      <c r="C3" s="303"/>
      <c r="D3" s="303"/>
      <c r="E3" s="303"/>
      <c r="F3" s="303"/>
      <c r="G3" s="303"/>
      <c r="H3" s="303"/>
    </row>
    <row r="4" spans="1:8" ht="15.5" x14ac:dyDescent="0.35">
      <c r="A4" s="284"/>
      <c r="B4" s="292" t="s">
        <v>206</v>
      </c>
      <c r="C4" s="285"/>
      <c r="D4" s="284"/>
      <c r="E4" s="284"/>
      <c r="F4" s="284"/>
      <c r="G4" s="284"/>
      <c r="H4" s="284"/>
    </row>
    <row r="5" spans="1:8" x14ac:dyDescent="0.35">
      <c r="A5" s="5"/>
      <c r="B5" s="5"/>
      <c r="C5" s="287" t="s">
        <v>207</v>
      </c>
      <c r="D5" s="5"/>
      <c r="E5" s="5"/>
      <c r="F5" s="5"/>
      <c r="G5" s="5"/>
      <c r="H5" s="5"/>
    </row>
    <row r="6" spans="1:8" x14ac:dyDescent="0.35">
      <c r="A6" s="5"/>
      <c r="B6" s="5"/>
      <c r="C6" s="287" t="s">
        <v>208</v>
      </c>
      <c r="D6" s="5"/>
      <c r="E6" s="5"/>
      <c r="F6" s="5"/>
      <c r="G6" s="5"/>
      <c r="H6" s="5"/>
    </row>
    <row r="7" spans="1:8" x14ac:dyDescent="0.35">
      <c r="A7" s="5"/>
      <c r="B7" s="5"/>
      <c r="C7" s="287" t="s">
        <v>169</v>
      </c>
      <c r="D7" s="5"/>
      <c r="E7" s="5"/>
      <c r="F7" s="5"/>
      <c r="G7" s="5"/>
      <c r="H7" s="5"/>
    </row>
    <row r="8" spans="1:8" x14ac:dyDescent="0.35">
      <c r="A8" s="5"/>
      <c r="B8" s="5"/>
      <c r="C8" s="287"/>
      <c r="D8" s="5"/>
      <c r="E8" s="5"/>
      <c r="F8" s="5"/>
      <c r="G8" s="5"/>
      <c r="H8" s="5"/>
    </row>
    <row r="9" spans="1:8" ht="15.5" x14ac:dyDescent="0.35">
      <c r="A9" s="284"/>
      <c r="B9" s="292" t="s">
        <v>209</v>
      </c>
      <c r="C9" s="286"/>
      <c r="D9" s="284"/>
      <c r="E9" s="284"/>
      <c r="F9" s="284"/>
      <c r="G9" s="284"/>
      <c r="H9" s="284"/>
    </row>
    <row r="10" spans="1:8" x14ac:dyDescent="0.35">
      <c r="A10" s="5"/>
      <c r="B10" s="288"/>
      <c r="C10" s="287" t="s">
        <v>68</v>
      </c>
      <c r="D10" s="5"/>
      <c r="E10" s="5"/>
      <c r="F10" s="5"/>
      <c r="G10" s="5"/>
      <c r="H10" s="5"/>
    </row>
    <row r="11" spans="1:8" x14ac:dyDescent="0.35">
      <c r="A11" s="5"/>
      <c r="B11" s="288"/>
      <c r="C11" s="287" t="s">
        <v>210</v>
      </c>
      <c r="D11" s="5"/>
      <c r="E11" s="5"/>
      <c r="F11" s="5"/>
      <c r="G11" s="5"/>
      <c r="H11" s="5"/>
    </row>
    <row r="12" spans="1:8" x14ac:dyDescent="0.35">
      <c r="A12" s="5"/>
      <c r="B12" s="288"/>
      <c r="C12" s="287" t="s">
        <v>211</v>
      </c>
      <c r="D12" s="5"/>
      <c r="E12" s="5"/>
      <c r="F12" s="5"/>
      <c r="G12" s="5"/>
      <c r="H12" s="5"/>
    </row>
    <row r="13" spans="1:8" x14ac:dyDescent="0.35">
      <c r="A13" s="5"/>
      <c r="B13" s="5"/>
      <c r="C13" s="287" t="s">
        <v>212</v>
      </c>
      <c r="D13" s="5"/>
      <c r="E13" s="5"/>
      <c r="F13" s="5"/>
      <c r="G13" s="5"/>
      <c r="H13" s="5"/>
    </row>
    <row r="14" spans="1:8" x14ac:dyDescent="0.35">
      <c r="A14" s="5"/>
      <c r="B14" s="5"/>
      <c r="C14" s="287" t="s">
        <v>213</v>
      </c>
      <c r="D14" s="5"/>
      <c r="E14" s="5"/>
      <c r="F14" s="5"/>
      <c r="G14" s="5"/>
      <c r="H14" s="5"/>
    </row>
    <row r="15" spans="1:8" x14ac:dyDescent="0.35">
      <c r="A15" s="5"/>
      <c r="B15" s="5"/>
      <c r="C15" s="287" t="s">
        <v>214</v>
      </c>
      <c r="D15" s="5"/>
      <c r="E15" s="5"/>
      <c r="F15" s="5"/>
      <c r="G15" s="5"/>
      <c r="H15" s="5"/>
    </row>
    <row r="16" spans="1:8" x14ac:dyDescent="0.35">
      <c r="A16" s="5"/>
      <c r="B16" s="5"/>
      <c r="C16" s="287" t="s">
        <v>215</v>
      </c>
      <c r="D16" s="5"/>
      <c r="E16" s="5"/>
      <c r="F16" s="5"/>
      <c r="G16" s="5"/>
      <c r="H16" s="5"/>
    </row>
    <row r="18" spans="1:8" ht="15.5" x14ac:dyDescent="0.35">
      <c r="A18" s="284"/>
      <c r="B18" s="292" t="s">
        <v>216</v>
      </c>
      <c r="C18" s="284"/>
      <c r="D18" s="284"/>
      <c r="E18" s="284"/>
      <c r="F18" s="284"/>
      <c r="G18" s="284"/>
      <c r="H18" s="284"/>
    </row>
    <row r="19" spans="1:8" x14ac:dyDescent="0.35">
      <c r="A19" s="5"/>
      <c r="B19" s="5"/>
      <c r="C19" s="287" t="s">
        <v>217</v>
      </c>
      <c r="D19" s="5"/>
      <c r="E19" s="5"/>
      <c r="F19" s="5"/>
      <c r="G19" s="5"/>
      <c r="H19" s="5"/>
    </row>
    <row r="20" spans="1:8" x14ac:dyDescent="0.35">
      <c r="A20" s="5"/>
      <c r="B20" s="5"/>
      <c r="C20" s="287"/>
      <c r="D20" s="5"/>
      <c r="E20" s="5"/>
      <c r="F20" s="5"/>
      <c r="G20" s="5"/>
      <c r="H20" s="5"/>
    </row>
    <row r="21" spans="1:8" x14ac:dyDescent="0.35">
      <c r="A21" s="289"/>
      <c r="B21" s="290"/>
      <c r="C21" s="291"/>
      <c r="D21" s="5"/>
      <c r="E21" s="5"/>
      <c r="F21" s="5"/>
      <c r="G21" s="5"/>
      <c r="H21" s="5"/>
    </row>
    <row r="22" spans="1:8" x14ac:dyDescent="0.35">
      <c r="A22" s="280" t="s">
        <v>218</v>
      </c>
      <c r="B22" s="281" t="s">
        <v>232</v>
      </c>
      <c r="C22" s="282"/>
      <c r="D22" s="279"/>
      <c r="E22" s="279"/>
      <c r="F22" s="279"/>
      <c r="G22" s="279"/>
      <c r="H22" s="279"/>
    </row>
    <row r="23" spans="1:8" ht="16.5" x14ac:dyDescent="0.4">
      <c r="A23" s="283"/>
      <c r="B23" s="281" t="s">
        <v>219</v>
      </c>
      <c r="C23" s="279"/>
      <c r="D23" s="279"/>
      <c r="E23" s="279"/>
      <c r="F23" s="279"/>
      <c r="G23" s="279"/>
      <c r="H23" s="279"/>
    </row>
    <row r="33" s="4" customFormat="1" hidden="1" x14ac:dyDescent="0.35"/>
    <row r="34" s="4" customFormat="1" hidden="1" x14ac:dyDescent="0.35"/>
    <row r="35" s="4" customFormat="1" hidden="1" x14ac:dyDescent="0.35"/>
    <row r="36" s="4" customFormat="1" hidden="1" x14ac:dyDescent="0.35"/>
    <row r="37" s="4" customFormat="1" hidden="1" x14ac:dyDescent="0.35"/>
    <row r="38" s="4" customFormat="1" hidden="1" x14ac:dyDescent="0.35"/>
    <row r="39" s="4" customFormat="1" hidden="1" x14ac:dyDescent="0.35"/>
    <row r="40" s="4" customFormat="1" hidden="1" x14ac:dyDescent="0.35"/>
    <row r="41" s="4" customFormat="1" hidden="1" x14ac:dyDescent="0.35"/>
    <row r="42" s="4" customFormat="1" hidden="1" x14ac:dyDescent="0.35"/>
    <row r="43" s="4" customFormat="1" hidden="1" x14ac:dyDescent="0.35"/>
    <row r="44" s="4" customFormat="1" hidden="1" x14ac:dyDescent="0.35"/>
    <row r="45" s="4" customFormat="1" hidden="1" x14ac:dyDescent="0.35"/>
    <row r="46" s="4" customFormat="1" hidden="1" x14ac:dyDescent="0.35"/>
    <row r="47" s="4" customFormat="1" hidden="1" x14ac:dyDescent="0.35"/>
  </sheetData>
  <mergeCells count="1">
    <mergeCell ref="A1:H3"/>
  </mergeCells>
  <hyperlinks>
    <hyperlink ref="B18" location="Index!A1" display="Valuations" xr:uid="{00000000-0004-0000-0000-000000000000}"/>
    <hyperlink ref="C5" location="'P&amp;L'!A1" display="Income Statement" xr:uid="{00000000-0004-0000-0000-000001000000}"/>
    <hyperlink ref="C7" location="'Cash Flow'!A1" display="Cash Flows" xr:uid="{00000000-0004-0000-0000-000002000000}"/>
    <hyperlink ref="C10" location="'Ratio Analysis'!A1" display="Ratio Analysis" xr:uid="{00000000-0004-0000-0000-000003000000}"/>
    <hyperlink ref="C11" location="'Revenue Breakup'!A1" display="Revenue Built-up" xr:uid="{00000000-0004-0000-0000-000004000000}"/>
    <hyperlink ref="C12" location="'Cost Sheet'!A1" display="Cost Sheet" xr:uid="{00000000-0004-0000-0000-000005000000}"/>
    <hyperlink ref="C13" location="'Working cap'!A1" display="Working Capital" xr:uid="{00000000-0004-0000-0000-000006000000}"/>
    <hyperlink ref="C14" location="'Dep Capex'!A1" display="Depreciation Schedule" xr:uid="{00000000-0004-0000-0000-000007000000}"/>
    <hyperlink ref="C15" location="Shareholders!A1" display="Shareholder's Equity" xr:uid="{00000000-0004-0000-0000-000008000000}"/>
    <hyperlink ref="C16" location="Debt!A1" display="Debt Schedule" xr:uid="{00000000-0004-0000-0000-000009000000}"/>
    <hyperlink ref="C19" location="Valuation!A1" display="DCF Valuation" xr:uid="{00000000-0004-0000-0000-00000A000000}"/>
    <hyperlink ref="C6" location="'Balance Sheet'!A1" display="Balance Sheet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"/>
  <sheetViews>
    <sheetView showGridLines="0" zoomScale="90" zoomScaleNormal="90" workbookViewId="0">
      <pane ySplit="2" topLeftCell="A3" activePane="bottomLeft" state="frozen"/>
      <selection pane="bottomLeft" activeCell="F29" sqref="F29"/>
    </sheetView>
  </sheetViews>
  <sheetFormatPr defaultColWidth="0" defaultRowHeight="14.5" zeroHeight="1" x14ac:dyDescent="0.35"/>
  <cols>
    <col min="1" max="1" width="3.54296875" customWidth="1"/>
    <col min="2" max="2" width="54.54296875" customWidth="1"/>
    <col min="3" max="5" width="7.36328125" bestFit="1" customWidth="1"/>
    <col min="6" max="10" width="8" bestFit="1" customWidth="1"/>
    <col min="11" max="11" width="9.1796875" customWidth="1"/>
    <col min="12" max="16" width="0" hidden="1" customWidth="1"/>
    <col min="17" max="16384" width="9.1796875" hidden="1"/>
  </cols>
  <sheetData>
    <row r="1" spans="1:10" ht="31.5" customHeight="1" x14ac:dyDescent="0.6">
      <c r="A1" s="66" t="str">
        <f>Index!A1</f>
        <v>TESLA Inc. Financial Modeling</v>
      </c>
      <c r="B1" s="66"/>
      <c r="C1" s="304" t="s">
        <v>18</v>
      </c>
      <c r="D1" s="304"/>
      <c r="E1" s="304"/>
      <c r="F1" s="304" t="s">
        <v>66</v>
      </c>
      <c r="G1" s="304"/>
      <c r="H1" s="304"/>
      <c r="I1" s="304"/>
      <c r="J1" s="304"/>
    </row>
    <row r="2" spans="1:10" ht="15" customHeight="1" x14ac:dyDescent="0.35">
      <c r="A2" s="67" t="s">
        <v>67</v>
      </c>
      <c r="B2" s="67"/>
      <c r="C2" s="68">
        <v>2021</v>
      </c>
      <c r="D2" s="68">
        <f t="shared" ref="D2:F2" si="0">C2+1</f>
        <v>2022</v>
      </c>
      <c r="E2" s="68">
        <f t="shared" si="0"/>
        <v>2023</v>
      </c>
      <c r="F2" s="68">
        <f t="shared" si="0"/>
        <v>2024</v>
      </c>
      <c r="G2" s="68">
        <f t="shared" ref="G2" si="1">F2+1</f>
        <v>2025</v>
      </c>
      <c r="H2" s="68">
        <f t="shared" ref="H2" si="2">G2+1</f>
        <v>2026</v>
      </c>
      <c r="I2" s="68">
        <f t="shared" ref="I2:J2" si="3">H2+1</f>
        <v>2027</v>
      </c>
      <c r="J2" s="68">
        <f t="shared" si="3"/>
        <v>2028</v>
      </c>
    </row>
    <row r="3" spans="1:10" x14ac:dyDescent="0.35">
      <c r="B3" s="69" t="s">
        <v>96</v>
      </c>
      <c r="C3" s="47"/>
      <c r="D3" s="47"/>
      <c r="E3" s="47"/>
      <c r="F3" s="47"/>
      <c r="G3" s="47"/>
      <c r="H3" s="47"/>
      <c r="I3" s="47"/>
      <c r="J3" s="47"/>
    </row>
    <row r="4" spans="1:10" x14ac:dyDescent="0.35">
      <c r="B4" s="9" t="s">
        <v>242</v>
      </c>
      <c r="C4" s="189">
        <f>SUM('Revenue Build Up'!C4,'Revenue Build Up'!C6,'Revenue Build Up'!C8)</f>
        <v>47232</v>
      </c>
      <c r="D4" s="189">
        <f>SUM('Revenue Build Up'!D4,'Revenue Build Up'!D6,'Revenue Build Up'!D8)</f>
        <v>71462</v>
      </c>
      <c r="E4" s="189">
        <f>SUM('Revenue Build Up'!E4,'Revenue Build Up'!E6,'Revenue Build Up'!E8)</f>
        <v>82419</v>
      </c>
      <c r="F4" s="229">
        <f>SUM('Revenue Build Up'!F4,'Revenue Build Up'!F6,'Revenue Build Up'!F8)</f>
        <v>95238.849999999991</v>
      </c>
      <c r="G4" s="229">
        <f>SUM('Revenue Build Up'!G4,'Revenue Build Up'!G6,'Revenue Build Up'!G8)</f>
        <v>110258.92749999999</v>
      </c>
      <c r="H4" s="229">
        <f>SUM('Revenue Build Up'!H4,'Revenue Build Up'!H6,'Revenue Build Up'!H8)</f>
        <v>127937.60912499997</v>
      </c>
      <c r="I4" s="229">
        <f>SUM('Revenue Build Up'!I4,'Revenue Build Up'!I6,'Revenue Build Up'!I8)</f>
        <v>148859.96111874995</v>
      </c>
      <c r="J4" s="229">
        <f>SUM('Revenue Build Up'!J4,'Revenue Build Up'!J6,'Revenue Build Up'!J8)</f>
        <v>173782.82164281243</v>
      </c>
    </row>
    <row r="5" spans="1:10" x14ac:dyDescent="0.35">
      <c r="B5" s="9" t="s">
        <v>243</v>
      </c>
      <c r="C5" s="230">
        <f>SUM('Revenue Build Up'!C14,'Revenue Build Up'!C16)</f>
        <v>2789</v>
      </c>
      <c r="D5" s="230">
        <f>SUM('Revenue Build Up'!D14,'Revenue Build Up'!D16)</f>
        <v>3909</v>
      </c>
      <c r="E5" s="230">
        <f>SUM('Revenue Build Up'!E14,'Revenue Build Up'!E16)</f>
        <v>6035</v>
      </c>
      <c r="F5" s="231">
        <f>SUM('Revenue Build Up'!F14,'Revenue Build Up'!F16)</f>
        <v>6216.05</v>
      </c>
      <c r="G5" s="231">
        <f>SUM('Revenue Build Up'!G14,'Revenue Build Up'!G16)</f>
        <v>6402.5315000000001</v>
      </c>
      <c r="H5" s="231">
        <f>SUM('Revenue Build Up'!H14,'Revenue Build Up'!H16)</f>
        <v>6594.6074450000006</v>
      </c>
      <c r="I5" s="231">
        <f>SUM('Revenue Build Up'!I14,'Revenue Build Up'!I16)</f>
        <v>6792.4456683500011</v>
      </c>
      <c r="J5" s="231">
        <f>SUM('Revenue Build Up'!J14,'Revenue Build Up'!J16)</f>
        <v>6996.2190384005007</v>
      </c>
    </row>
    <row r="6" spans="1:10" ht="15" thickBot="1" x14ac:dyDescent="0.4">
      <c r="B6" s="9" t="s">
        <v>0</v>
      </c>
      <c r="C6" s="232">
        <f>'Revenue Build Up'!C10</f>
        <v>3802</v>
      </c>
      <c r="D6" s="232">
        <f>'Revenue Build Up'!D10</f>
        <v>6091</v>
      </c>
      <c r="E6" s="232">
        <f>'Revenue Build Up'!E10</f>
        <v>8319</v>
      </c>
      <c r="F6" s="233">
        <f>'Revenue Build Up'!F10</f>
        <v>11230.650000000001</v>
      </c>
      <c r="G6" s="233">
        <f>'Revenue Build Up'!G10</f>
        <v>15161.377500000002</v>
      </c>
      <c r="H6" s="233">
        <f>'Revenue Build Up'!H10</f>
        <v>20467.859625000005</v>
      </c>
      <c r="I6" s="233">
        <f>'Revenue Build Up'!I10</f>
        <v>27631.610493750009</v>
      </c>
      <c r="J6" s="233">
        <f>'Revenue Build Up'!J10</f>
        <v>37302.674166562516</v>
      </c>
    </row>
    <row r="7" spans="1:10" s="2" customFormat="1" x14ac:dyDescent="0.35">
      <c r="B7" s="76" t="s">
        <v>1</v>
      </c>
      <c r="C7" s="234">
        <f>SUM(C4:C6)</f>
        <v>53823</v>
      </c>
      <c r="D7" s="234">
        <f t="shared" ref="D7:J7" si="4">SUM(D4:D6)</f>
        <v>81462</v>
      </c>
      <c r="E7" s="234">
        <f t="shared" si="4"/>
        <v>96773</v>
      </c>
      <c r="F7" s="234">
        <f t="shared" si="4"/>
        <v>112685.54999999999</v>
      </c>
      <c r="G7" s="234">
        <f t="shared" si="4"/>
        <v>131822.83649999998</v>
      </c>
      <c r="H7" s="234">
        <f t="shared" si="4"/>
        <v>155000.07619499997</v>
      </c>
      <c r="I7" s="234">
        <f t="shared" si="4"/>
        <v>183284.01728084998</v>
      </c>
      <c r="J7" s="234">
        <f t="shared" si="4"/>
        <v>218081.71484777547</v>
      </c>
    </row>
    <row r="8" spans="1:10" s="2" customFormat="1" x14ac:dyDescent="0.35">
      <c r="B8" s="48"/>
      <c r="C8" s="235"/>
      <c r="D8" s="235"/>
      <c r="E8" s="235"/>
      <c r="F8" s="235"/>
      <c r="G8" s="235"/>
      <c r="H8" s="235"/>
      <c r="I8" s="235"/>
      <c r="J8" s="235"/>
    </row>
    <row r="9" spans="1:10" x14ac:dyDescent="0.35">
      <c r="B9" s="70" t="s">
        <v>230</v>
      </c>
      <c r="C9" s="236"/>
      <c r="D9" s="236"/>
      <c r="E9" s="236"/>
      <c r="F9" s="236"/>
      <c r="G9" s="236"/>
      <c r="H9" s="236"/>
      <c r="I9" s="236"/>
      <c r="J9" s="236"/>
    </row>
    <row r="10" spans="1:10" x14ac:dyDescent="0.35">
      <c r="B10" s="9" t="s">
        <v>242</v>
      </c>
      <c r="C10" s="189">
        <v>33393</v>
      </c>
      <c r="D10" s="189">
        <v>51108</v>
      </c>
      <c r="E10" s="189">
        <v>66389</v>
      </c>
      <c r="F10" s="237">
        <f>'Cost Sheet'!F11</f>
        <v>76191.08</v>
      </c>
      <c r="G10" s="237">
        <f>'Cost Sheet'!G11</f>
        <v>88207.141999999993</v>
      </c>
      <c r="H10" s="237">
        <f>'Cost Sheet'!H11</f>
        <v>102350.08729999998</v>
      </c>
      <c r="I10" s="237">
        <f>'Cost Sheet'!I11</f>
        <v>119087.96889499997</v>
      </c>
      <c r="J10" s="237">
        <f>'Cost Sheet'!J11</f>
        <v>139026.25731424996</v>
      </c>
    </row>
    <row r="11" spans="1:10" x14ac:dyDescent="0.35">
      <c r="B11" s="9" t="s">
        <v>243</v>
      </c>
      <c r="C11" s="230">
        <v>2918</v>
      </c>
      <c r="D11" s="230">
        <v>3621</v>
      </c>
      <c r="E11" s="230">
        <v>4894</v>
      </c>
      <c r="F11" s="237">
        <f>'Cost Sheet'!F14</f>
        <v>4972.84</v>
      </c>
      <c r="G11" s="237">
        <f>'Cost Sheet'!G14</f>
        <v>5122.0252</v>
      </c>
      <c r="H11" s="237">
        <f>'Cost Sheet'!H14</f>
        <v>5275.6859560000012</v>
      </c>
      <c r="I11" s="237">
        <f>'Cost Sheet'!I14</f>
        <v>5433.9565346800009</v>
      </c>
      <c r="J11" s="237">
        <f>'Cost Sheet'!J14</f>
        <v>5596.9752307204008</v>
      </c>
    </row>
    <row r="12" spans="1:10" x14ac:dyDescent="0.35">
      <c r="B12" s="9" t="s">
        <v>0</v>
      </c>
      <c r="C12" s="238">
        <v>3906</v>
      </c>
      <c r="D12" s="238">
        <v>5880</v>
      </c>
      <c r="E12" s="238">
        <v>7830</v>
      </c>
      <c r="F12" s="237">
        <f>'Cost Sheet'!F17</f>
        <v>10107.585000000001</v>
      </c>
      <c r="G12" s="237">
        <f>'Cost Sheet'!G17</f>
        <v>13645.239750000002</v>
      </c>
      <c r="H12" s="237">
        <f>'Cost Sheet'!H17</f>
        <v>18421.073662500006</v>
      </c>
      <c r="I12" s="237">
        <f>'Cost Sheet'!I17</f>
        <v>24868.449444375008</v>
      </c>
      <c r="J12" s="237">
        <f>'Cost Sheet'!J17</f>
        <v>33572.406749906266</v>
      </c>
    </row>
    <row r="13" spans="1:10" s="2" customFormat="1" ht="15" thickBot="1" x14ac:dyDescent="0.4">
      <c r="B13" s="48" t="s">
        <v>2</v>
      </c>
      <c r="C13" s="239">
        <f>SUM(C10:C12)</f>
        <v>40217</v>
      </c>
      <c r="D13" s="239">
        <f>SUM(D10:D12)</f>
        <v>60609</v>
      </c>
      <c r="E13" s="239">
        <f>SUM(E10:E12)</f>
        <v>79113</v>
      </c>
      <c r="F13" s="239">
        <f>SUM(F10:F12)</f>
        <v>91271.505000000005</v>
      </c>
      <c r="G13" s="239">
        <f t="shared" ref="G13:J13" si="5">SUM(G10:G12)</f>
        <v>106974.40695</v>
      </c>
      <c r="H13" s="239">
        <f t="shared" si="5"/>
        <v>126046.8469185</v>
      </c>
      <c r="I13" s="239">
        <f t="shared" si="5"/>
        <v>149390.37487405498</v>
      </c>
      <c r="J13" s="239">
        <f t="shared" si="5"/>
        <v>178195.6392948766</v>
      </c>
    </row>
    <row r="14" spans="1:10" s="2" customFormat="1" x14ac:dyDescent="0.35">
      <c r="B14" s="76" t="s">
        <v>3</v>
      </c>
      <c r="C14" s="234">
        <f>C7-C13</f>
        <v>13606</v>
      </c>
      <c r="D14" s="234">
        <f t="shared" ref="D14:J14" si="6">D7-D13</f>
        <v>20853</v>
      </c>
      <c r="E14" s="234">
        <f t="shared" si="6"/>
        <v>17660</v>
      </c>
      <c r="F14" s="234">
        <f t="shared" si="6"/>
        <v>21414.044999999984</v>
      </c>
      <c r="G14" s="234">
        <f t="shared" si="6"/>
        <v>24848.429549999972</v>
      </c>
      <c r="H14" s="234">
        <f t="shared" si="6"/>
        <v>28953.229276499973</v>
      </c>
      <c r="I14" s="234">
        <f t="shared" si="6"/>
        <v>33893.642406794999</v>
      </c>
      <c r="J14" s="234">
        <f t="shared" si="6"/>
        <v>39886.075552898867</v>
      </c>
    </row>
    <row r="15" spans="1:10" s="2" customFormat="1" x14ac:dyDescent="0.35">
      <c r="B15" s="48"/>
      <c r="C15" s="235"/>
      <c r="D15" s="235"/>
      <c r="E15" s="235"/>
      <c r="F15" s="235"/>
      <c r="G15" s="235"/>
      <c r="H15" s="235"/>
      <c r="I15" s="235"/>
      <c r="J15" s="235"/>
    </row>
    <row r="16" spans="1:10" x14ac:dyDescent="0.35">
      <c r="B16" s="70" t="s">
        <v>4</v>
      </c>
      <c r="C16" s="236"/>
      <c r="D16" s="236"/>
      <c r="E16" s="236"/>
      <c r="F16" s="236"/>
      <c r="G16" s="236"/>
      <c r="H16" s="236"/>
      <c r="I16" s="236"/>
      <c r="J16" s="236"/>
    </row>
    <row r="17" spans="2:10" x14ac:dyDescent="0.35">
      <c r="B17" s="9" t="s">
        <v>5</v>
      </c>
      <c r="C17" s="240">
        <f>'Cost Sheet'!C21</f>
        <v>2593</v>
      </c>
      <c r="D17" s="240">
        <f>'Cost Sheet'!D21</f>
        <v>3075</v>
      </c>
      <c r="E17" s="240">
        <f>'Cost Sheet'!E21</f>
        <v>3969</v>
      </c>
      <c r="F17" s="237">
        <f>'Cost Sheet'!F21</f>
        <v>4507.4219999999996</v>
      </c>
      <c r="G17" s="237">
        <f>'Cost Sheet'!G21</f>
        <v>5272.9134599999988</v>
      </c>
      <c r="H17" s="237">
        <f>'Cost Sheet'!H21</f>
        <v>6200.003047799999</v>
      </c>
      <c r="I17" s="237">
        <f>'Cost Sheet'!I21</f>
        <v>7331.3606912339992</v>
      </c>
      <c r="J17" s="237">
        <f>'Cost Sheet'!J21</f>
        <v>8723.2685939110197</v>
      </c>
    </row>
    <row r="18" spans="2:10" x14ac:dyDescent="0.35">
      <c r="B18" s="9" t="s">
        <v>6</v>
      </c>
      <c r="C18" s="240">
        <f>'Cost Sheet'!C24</f>
        <v>4517</v>
      </c>
      <c r="D18" s="240">
        <f>'Cost Sheet'!D24</f>
        <v>3946</v>
      </c>
      <c r="E18" s="240">
        <f>'Cost Sheet'!E24</f>
        <v>4800</v>
      </c>
      <c r="F18" s="237">
        <f>'Cost Sheet'!F24</f>
        <v>5634.2775000000001</v>
      </c>
      <c r="G18" s="237">
        <f>'Cost Sheet'!G24</f>
        <v>6591.1418249999988</v>
      </c>
      <c r="H18" s="237">
        <f>'Cost Sheet'!H24</f>
        <v>7750.0038097499992</v>
      </c>
      <c r="I18" s="237">
        <f>'Cost Sheet'!I24</f>
        <v>9164.2008640424992</v>
      </c>
      <c r="J18" s="237">
        <f>'Cost Sheet'!J24</f>
        <v>10904.085742388774</v>
      </c>
    </row>
    <row r="19" spans="2:10" x14ac:dyDescent="0.35">
      <c r="B19" s="9" t="s">
        <v>244</v>
      </c>
      <c r="C19" s="241">
        <f>'Cost Sheet'!C33</f>
        <v>-27</v>
      </c>
      <c r="D19" s="241">
        <f>'Cost Sheet'!D33</f>
        <v>176</v>
      </c>
      <c r="E19" s="241">
        <f>'Cost Sheet'!E33</f>
        <v>0</v>
      </c>
      <c r="F19" s="242">
        <f>'Cost Sheet'!F33</f>
        <v>0</v>
      </c>
      <c r="G19" s="242">
        <f>'Cost Sheet'!G33</f>
        <v>0</v>
      </c>
      <c r="H19" s="242">
        <f>'Cost Sheet'!H33</f>
        <v>0</v>
      </c>
      <c r="I19" s="242">
        <f>'Cost Sheet'!I33</f>
        <v>0</v>
      </c>
      <c r="J19" s="242">
        <f>'Cost Sheet'!J33</f>
        <v>0</v>
      </c>
    </row>
    <row r="20" spans="2:10" s="2" customFormat="1" x14ac:dyDescent="0.35">
      <c r="B20" s="76" t="s">
        <v>7</v>
      </c>
      <c r="C20" s="243">
        <f>SUM(C17:C19)</f>
        <v>7083</v>
      </c>
      <c r="D20" s="243">
        <f t="shared" ref="D20:J20" si="7">SUM(D17:D19)</f>
        <v>7197</v>
      </c>
      <c r="E20" s="243">
        <f t="shared" si="7"/>
        <v>8769</v>
      </c>
      <c r="F20" s="243">
        <f t="shared" si="7"/>
        <v>10141.699499999999</v>
      </c>
      <c r="G20" s="243">
        <f t="shared" si="7"/>
        <v>11864.055284999999</v>
      </c>
      <c r="H20" s="243">
        <f t="shared" si="7"/>
        <v>13950.006857549997</v>
      </c>
      <c r="I20" s="243">
        <f t="shared" si="7"/>
        <v>16495.561555276498</v>
      </c>
      <c r="J20" s="243">
        <f t="shared" si="7"/>
        <v>19627.354336299795</v>
      </c>
    </row>
    <row r="21" spans="2:10" s="2" customFormat="1" x14ac:dyDescent="0.35">
      <c r="B21" s="48"/>
      <c r="C21" s="235"/>
      <c r="D21" s="235"/>
      <c r="E21" s="235"/>
      <c r="F21" s="235"/>
      <c r="G21" s="235"/>
      <c r="H21" s="235"/>
      <c r="I21" s="235"/>
      <c r="J21" s="235"/>
    </row>
    <row r="22" spans="2:10" s="2" customFormat="1" x14ac:dyDescent="0.35">
      <c r="B22" s="76" t="s">
        <v>8</v>
      </c>
      <c r="C22" s="234">
        <f>C14-C20</f>
        <v>6523</v>
      </c>
      <c r="D22" s="234">
        <f t="shared" ref="D22:J22" si="8">D14-D20</f>
        <v>13656</v>
      </c>
      <c r="E22" s="234">
        <f t="shared" si="8"/>
        <v>8891</v>
      </c>
      <c r="F22" s="234">
        <f t="shared" si="8"/>
        <v>11272.345499999985</v>
      </c>
      <c r="G22" s="234">
        <f t="shared" si="8"/>
        <v>12984.374264999973</v>
      </c>
      <c r="H22" s="234">
        <f t="shared" si="8"/>
        <v>15003.222418949976</v>
      </c>
      <c r="I22" s="234">
        <f t="shared" si="8"/>
        <v>17398.080851518502</v>
      </c>
      <c r="J22" s="234">
        <f t="shared" si="8"/>
        <v>20258.721216599071</v>
      </c>
    </row>
    <row r="23" spans="2:10" x14ac:dyDescent="0.35">
      <c r="B23" s="9" t="s">
        <v>9</v>
      </c>
      <c r="C23" s="240">
        <v>135</v>
      </c>
      <c r="D23" s="240">
        <v>-43</v>
      </c>
      <c r="E23" s="240">
        <v>172</v>
      </c>
      <c r="F23" s="244"/>
      <c r="G23" s="237"/>
      <c r="H23" s="237"/>
      <c r="I23" s="237"/>
      <c r="J23" s="237"/>
    </row>
    <row r="24" spans="2:10" x14ac:dyDescent="0.35">
      <c r="B24" s="9" t="s">
        <v>246</v>
      </c>
      <c r="C24" s="240">
        <v>56</v>
      </c>
      <c r="D24" s="240">
        <v>297</v>
      </c>
      <c r="E24" s="240">
        <v>1066</v>
      </c>
      <c r="F24" s="244"/>
      <c r="G24" s="237"/>
      <c r="H24" s="237"/>
      <c r="I24" s="237"/>
      <c r="J24" s="237"/>
    </row>
    <row r="25" spans="2:10" x14ac:dyDescent="0.35">
      <c r="B25" s="9" t="s">
        <v>247</v>
      </c>
      <c r="C25" s="241">
        <v>-371</v>
      </c>
      <c r="D25" s="241">
        <v>-191</v>
      </c>
      <c r="E25" s="241">
        <v>-156</v>
      </c>
      <c r="F25" s="245"/>
      <c r="G25" s="242"/>
      <c r="H25" s="242"/>
      <c r="I25" s="242"/>
      <c r="J25" s="242"/>
    </row>
    <row r="26" spans="2:10" s="2" customFormat="1" x14ac:dyDescent="0.35">
      <c r="B26" s="76" t="s">
        <v>10</v>
      </c>
      <c r="C26" s="234">
        <f>C22+C23+C24+C25</f>
        <v>6343</v>
      </c>
      <c r="D26" s="234">
        <f t="shared" ref="D26:J26" si="9">D22+D23+D24+D25</f>
        <v>13719</v>
      </c>
      <c r="E26" s="234">
        <f t="shared" si="9"/>
        <v>9973</v>
      </c>
      <c r="F26" s="234">
        <f t="shared" si="9"/>
        <v>11272.345499999985</v>
      </c>
      <c r="G26" s="234">
        <f t="shared" si="9"/>
        <v>12984.374264999973</v>
      </c>
      <c r="H26" s="234">
        <f t="shared" si="9"/>
        <v>15003.222418949976</v>
      </c>
      <c r="I26" s="234">
        <f t="shared" si="9"/>
        <v>17398.080851518502</v>
      </c>
      <c r="J26" s="234">
        <f t="shared" si="9"/>
        <v>20258.721216599071</v>
      </c>
    </row>
    <row r="27" spans="2:10" x14ac:dyDescent="0.35">
      <c r="B27" s="9" t="s">
        <v>11</v>
      </c>
      <c r="C27" s="240">
        <f>699</f>
        <v>699</v>
      </c>
      <c r="D27" s="240">
        <v>1132</v>
      </c>
      <c r="E27" s="240">
        <v>-5001</v>
      </c>
      <c r="F27" s="237">
        <f>F28*F26</f>
        <v>1127.2345499999985</v>
      </c>
      <c r="G27" s="237">
        <f t="shared" ref="G27:J27" si="10">G28*G26</f>
        <v>1298.4374264999974</v>
      </c>
      <c r="H27" s="237">
        <f t="shared" si="10"/>
        <v>1500.3222418949977</v>
      </c>
      <c r="I27" s="237">
        <f t="shared" si="10"/>
        <v>1739.8080851518503</v>
      </c>
      <c r="J27" s="237">
        <f t="shared" si="10"/>
        <v>2025.8721216599072</v>
      </c>
    </row>
    <row r="28" spans="2:10" ht="15" thickBot="1" x14ac:dyDescent="0.4">
      <c r="B28" s="70" t="s">
        <v>17</v>
      </c>
      <c r="C28" s="278">
        <f>C27/C26</f>
        <v>0.11020022071574964</v>
      </c>
      <c r="D28" s="278">
        <f t="shared" ref="D28:E28" si="11">D27/D26</f>
        <v>8.2513302718857054E-2</v>
      </c>
      <c r="E28" s="278">
        <f t="shared" si="11"/>
        <v>-0.50145392559911761</v>
      </c>
      <c r="F28" s="278">
        <v>0.1</v>
      </c>
      <c r="G28" s="278">
        <v>0.1</v>
      </c>
      <c r="H28" s="278">
        <v>0.1</v>
      </c>
      <c r="I28" s="278">
        <v>0.1</v>
      </c>
      <c r="J28" s="278">
        <v>0.1</v>
      </c>
    </row>
    <row r="29" spans="2:10" x14ac:dyDescent="0.35">
      <c r="B29" s="76" t="s">
        <v>12</v>
      </c>
      <c r="C29" s="234">
        <f>C26-C27</f>
        <v>5644</v>
      </c>
      <c r="D29" s="234">
        <f t="shared" ref="D29:J29" si="12">D26-D27</f>
        <v>12587</v>
      </c>
      <c r="E29" s="234">
        <f t="shared" si="12"/>
        <v>14974</v>
      </c>
      <c r="F29" s="234">
        <f t="shared" si="12"/>
        <v>10145.110949999986</v>
      </c>
      <c r="G29" s="234">
        <f t="shared" si="12"/>
        <v>11685.936838499976</v>
      </c>
      <c r="H29" s="234">
        <f t="shared" si="12"/>
        <v>13502.900177054978</v>
      </c>
      <c r="I29" s="234">
        <f t="shared" si="12"/>
        <v>15658.272766366652</v>
      </c>
      <c r="J29" s="234">
        <f t="shared" si="12"/>
        <v>18232.849094939163</v>
      </c>
    </row>
    <row r="30" spans="2:10" x14ac:dyDescent="0.35">
      <c r="B30" s="48"/>
      <c r="C30" s="235"/>
      <c r="D30" s="235"/>
      <c r="E30" s="235"/>
      <c r="F30" s="235"/>
      <c r="G30" s="235"/>
      <c r="H30" s="235"/>
      <c r="I30" s="235"/>
      <c r="J30" s="235"/>
    </row>
    <row r="31" spans="2:10" x14ac:dyDescent="0.35">
      <c r="B31" s="9" t="s">
        <v>13</v>
      </c>
      <c r="C31" s="246"/>
      <c r="D31" s="246"/>
      <c r="E31" s="246"/>
      <c r="F31" s="246"/>
      <c r="G31" s="246"/>
      <c r="H31" s="246"/>
      <c r="I31" s="246"/>
      <c r="J31" s="246"/>
    </row>
    <row r="32" spans="2:10" x14ac:dyDescent="0.35">
      <c r="B32" s="9" t="s">
        <v>14</v>
      </c>
      <c r="C32" s="247">
        <v>1.87</v>
      </c>
      <c r="D32" s="247">
        <v>4.0199999999999996</v>
      </c>
      <c r="E32" s="247">
        <v>4.7300000000000004</v>
      </c>
      <c r="F32" s="236">
        <f>F$29/F36</f>
        <v>3.1963172495274055</v>
      </c>
      <c r="G32" s="236">
        <f t="shared" ref="G32:J32" si="13">G$29/G36</f>
        <v>3.6817696403591609</v>
      </c>
      <c r="H32" s="236">
        <f t="shared" si="13"/>
        <v>4.2542218579253239</v>
      </c>
      <c r="I32" s="236">
        <f t="shared" si="13"/>
        <v>4.9332932471224487</v>
      </c>
      <c r="J32" s="236">
        <f t="shared" si="13"/>
        <v>5.7444389082984131</v>
      </c>
    </row>
    <row r="33" spans="2:10" x14ac:dyDescent="0.35">
      <c r="B33" s="9" t="s">
        <v>15</v>
      </c>
      <c r="C33" s="247">
        <v>1.63</v>
      </c>
      <c r="D33" s="247">
        <v>3.62</v>
      </c>
      <c r="E33" s="247">
        <v>4.3</v>
      </c>
      <c r="F33" s="236">
        <f>F$29/F37</f>
        <v>2.9110791822094653</v>
      </c>
      <c r="G33" s="236">
        <f t="shared" ref="G33:J33" si="14">G$29/G37</f>
        <v>3.3532099967001368</v>
      </c>
      <c r="H33" s="236">
        <f t="shared" si="14"/>
        <v>3.874576808337153</v>
      </c>
      <c r="I33" s="236">
        <f t="shared" si="14"/>
        <v>4.493048139560015</v>
      </c>
      <c r="J33" s="236">
        <f t="shared" si="14"/>
        <v>5.231807487787421</v>
      </c>
    </row>
    <row r="34" spans="2:10" x14ac:dyDescent="0.35">
      <c r="B34" s="47"/>
      <c r="C34" s="246"/>
      <c r="D34" s="246"/>
      <c r="E34" s="246"/>
      <c r="F34" s="246"/>
      <c r="G34" s="246"/>
      <c r="H34" s="246"/>
      <c r="I34" s="246"/>
      <c r="J34" s="246"/>
    </row>
    <row r="35" spans="2:10" x14ac:dyDescent="0.35">
      <c r="B35" s="9" t="s">
        <v>16</v>
      </c>
      <c r="C35" s="246"/>
      <c r="D35" s="246"/>
      <c r="E35" s="246"/>
      <c r="F35" s="246"/>
      <c r="G35" s="246"/>
      <c r="H35" s="246"/>
      <c r="I35" s="246"/>
      <c r="J35" s="246"/>
    </row>
    <row r="36" spans="2:10" x14ac:dyDescent="0.35">
      <c r="B36" s="9" t="s">
        <v>14</v>
      </c>
      <c r="C36" s="247">
        <v>2959</v>
      </c>
      <c r="D36" s="247">
        <v>3130</v>
      </c>
      <c r="E36" s="247">
        <v>3174</v>
      </c>
      <c r="F36" s="247">
        <v>3174</v>
      </c>
      <c r="G36" s="247">
        <v>3174</v>
      </c>
      <c r="H36" s="247">
        <v>3174</v>
      </c>
      <c r="I36" s="247">
        <v>3174</v>
      </c>
      <c r="J36" s="247">
        <v>3174</v>
      </c>
    </row>
    <row r="37" spans="2:10" x14ac:dyDescent="0.35">
      <c r="B37" s="9" t="s">
        <v>15</v>
      </c>
      <c r="C37" s="247">
        <v>3386</v>
      </c>
      <c r="D37" s="247">
        <v>3475</v>
      </c>
      <c r="E37" s="247">
        <v>3485</v>
      </c>
      <c r="F37" s="247">
        <v>3485</v>
      </c>
      <c r="G37" s="247">
        <v>3485</v>
      </c>
      <c r="H37" s="247">
        <v>3485</v>
      </c>
      <c r="I37" s="247">
        <v>3485</v>
      </c>
      <c r="J37" s="247">
        <v>3485</v>
      </c>
    </row>
    <row r="38" spans="2:10" x14ac:dyDescent="0.35">
      <c r="B38" s="47"/>
      <c r="C38" s="246"/>
      <c r="D38" s="246"/>
      <c r="E38" s="246"/>
      <c r="F38" s="246"/>
      <c r="G38" s="246"/>
      <c r="H38" s="246"/>
      <c r="I38" s="246"/>
      <c r="J38" s="246"/>
    </row>
    <row r="39" spans="2:10" x14ac:dyDescent="0.35">
      <c r="B39" s="69" t="s">
        <v>125</v>
      </c>
      <c r="C39" s="248"/>
      <c r="D39" s="246"/>
      <c r="E39" s="246"/>
      <c r="F39" s="246"/>
      <c r="G39" s="246"/>
      <c r="H39" s="246"/>
      <c r="I39" s="246"/>
      <c r="J39" s="246"/>
    </row>
    <row r="40" spans="2:10" x14ac:dyDescent="0.35">
      <c r="B40" s="9" t="s">
        <v>126</v>
      </c>
      <c r="C40" s="248"/>
      <c r="D40" s="246"/>
      <c r="E40" s="246"/>
      <c r="F40" s="249">
        <f>F22</f>
        <v>11272.345499999985</v>
      </c>
      <c r="G40" s="249">
        <f t="shared" ref="G40:J40" si="15">G22</f>
        <v>12984.374264999973</v>
      </c>
      <c r="H40" s="249">
        <f t="shared" si="15"/>
        <v>15003.222418949976</v>
      </c>
      <c r="I40" s="249">
        <f t="shared" si="15"/>
        <v>17398.080851518502</v>
      </c>
      <c r="J40" s="249">
        <f t="shared" si="15"/>
        <v>20258.721216599071</v>
      </c>
    </row>
    <row r="41" spans="2:10" x14ac:dyDescent="0.35">
      <c r="B41" s="9" t="s">
        <v>127</v>
      </c>
      <c r="C41" s="248"/>
      <c r="D41" s="246"/>
      <c r="E41" s="246"/>
      <c r="F41" s="249">
        <f>'Depreciation Schedule'!F9</f>
        <v>5646.2108001999031</v>
      </c>
      <c r="G41" s="249">
        <f>'Depreciation Schedule'!G9</f>
        <v>7101.9829162161313</v>
      </c>
      <c r="H41" s="249">
        <f>'Depreciation Schedule'!H9</f>
        <v>8809.6903879839265</v>
      </c>
      <c r="I41" s="249">
        <f>'Depreciation Schedule'!I9</f>
        <v>10823.791244086744</v>
      </c>
      <c r="J41" s="249">
        <f>'Depreciation Schedule'!J9</f>
        <v>13213.472226081576</v>
      </c>
    </row>
    <row r="42" spans="2:10" x14ac:dyDescent="0.35">
      <c r="B42" s="9" t="s">
        <v>128</v>
      </c>
      <c r="C42" s="248"/>
      <c r="D42" s="246"/>
      <c r="E42" s="246"/>
      <c r="F42" s="249">
        <v>0</v>
      </c>
      <c r="G42" s="249">
        <v>0</v>
      </c>
      <c r="H42" s="249">
        <v>0</v>
      </c>
      <c r="I42" s="249">
        <v>0</v>
      </c>
      <c r="J42" s="249">
        <v>0</v>
      </c>
    </row>
    <row r="43" spans="2:10" s="2" customFormat="1" x14ac:dyDescent="0.35">
      <c r="B43" s="77" t="s">
        <v>129</v>
      </c>
      <c r="C43" s="250"/>
      <c r="D43" s="250"/>
      <c r="E43" s="250"/>
      <c r="F43" s="251">
        <f>SUM(F40:F42)</f>
        <v>16918.556300199889</v>
      </c>
      <c r="G43" s="251">
        <f t="shared" ref="G43:J43" si="16">SUM(G40:G42)</f>
        <v>20086.357181216103</v>
      </c>
      <c r="H43" s="251">
        <f t="shared" si="16"/>
        <v>23812.912806933902</v>
      </c>
      <c r="I43" s="251">
        <f t="shared" si="16"/>
        <v>28221.872095605246</v>
      </c>
      <c r="J43" s="251">
        <f t="shared" si="16"/>
        <v>33472.193442680647</v>
      </c>
    </row>
    <row r="44" spans="2:10" x14ac:dyDescent="0.35">
      <c r="C44" s="252"/>
      <c r="D44" s="252"/>
      <c r="E44" s="252"/>
      <c r="F44" s="252"/>
      <c r="G44" s="252"/>
      <c r="H44" s="252"/>
      <c r="I44" s="252"/>
      <c r="J44" s="252"/>
    </row>
    <row r="45" spans="2:10" x14ac:dyDescent="0.35">
      <c r="B45" s="262" t="s">
        <v>92</v>
      </c>
      <c r="C45" s="246"/>
      <c r="D45" s="246"/>
      <c r="E45" s="246"/>
      <c r="F45" s="246"/>
      <c r="G45" s="246"/>
      <c r="H45" s="246"/>
      <c r="I45" s="246"/>
      <c r="J45" s="246"/>
    </row>
    <row r="46" spans="2:10" x14ac:dyDescent="0.35">
      <c r="B46" s="263" t="s">
        <v>93</v>
      </c>
      <c r="C46" s="240">
        <v>56</v>
      </c>
      <c r="D46" s="240">
        <v>297</v>
      </c>
      <c r="E46" s="240">
        <v>1066</v>
      </c>
      <c r="F46" s="246"/>
      <c r="G46" s="246"/>
      <c r="H46" s="246"/>
      <c r="I46" s="246"/>
      <c r="J46" s="246"/>
    </row>
    <row r="47" spans="2:10" x14ac:dyDescent="0.35">
      <c r="B47" s="263" t="s">
        <v>94</v>
      </c>
      <c r="C47" s="240">
        <v>-371</v>
      </c>
      <c r="D47" s="240">
        <v>-191</v>
      </c>
      <c r="E47" s="240">
        <v>-156</v>
      </c>
      <c r="F47" s="246"/>
      <c r="G47" s="246"/>
      <c r="H47" s="246"/>
      <c r="I47" s="246"/>
      <c r="J47" s="246"/>
    </row>
    <row r="48" spans="2:10" x14ac:dyDescent="0.35">
      <c r="B48" s="263" t="s">
        <v>9</v>
      </c>
      <c r="C48" s="241">
        <v>135</v>
      </c>
      <c r="D48" s="241">
        <v>-43</v>
      </c>
      <c r="E48" s="241">
        <v>172</v>
      </c>
      <c r="F48" s="246"/>
      <c r="G48" s="246"/>
      <c r="H48" s="246"/>
      <c r="I48" s="246"/>
      <c r="J48" s="246"/>
    </row>
    <row r="49" spans="2:5" s="2" customFormat="1" x14ac:dyDescent="0.35">
      <c r="B49" s="77" t="s">
        <v>95</v>
      </c>
      <c r="C49" s="251"/>
      <c r="D49" s="251"/>
      <c r="E49" s="251"/>
    </row>
  </sheetData>
  <mergeCells count="2">
    <mergeCell ref="C1:E1"/>
    <mergeCell ref="F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1"/>
  <sheetViews>
    <sheetView showGridLines="0" zoomScale="90" zoomScaleNormal="90" workbookViewId="0">
      <pane ySplit="2" topLeftCell="A3" activePane="bottomLeft" state="frozen"/>
      <selection pane="bottomLeft" activeCell="G38" sqref="G38"/>
    </sheetView>
  </sheetViews>
  <sheetFormatPr defaultColWidth="0" defaultRowHeight="14.5" zeroHeight="1" x14ac:dyDescent="0.35"/>
  <cols>
    <col min="1" max="1" width="3.54296875" customWidth="1"/>
    <col min="2" max="2" width="54.54296875" customWidth="1"/>
    <col min="3" max="10" width="12.54296875" customWidth="1"/>
    <col min="11" max="11" width="9.1796875" customWidth="1"/>
    <col min="12" max="16384" width="9.1796875" hidden="1"/>
  </cols>
  <sheetData>
    <row r="1" spans="1:10" ht="31.5" customHeight="1" x14ac:dyDescent="0.6">
      <c r="A1" s="66" t="str">
        <f>Index!A1</f>
        <v>TESLA Inc. Financial Modeling</v>
      </c>
      <c r="B1" s="66"/>
      <c r="C1" s="304" t="s">
        <v>18</v>
      </c>
      <c r="D1" s="304"/>
      <c r="E1" s="304"/>
      <c r="F1" s="304" t="s">
        <v>66</v>
      </c>
      <c r="G1" s="304"/>
      <c r="H1" s="304"/>
      <c r="I1" s="304"/>
      <c r="J1" s="304"/>
    </row>
    <row r="2" spans="1:10" x14ac:dyDescent="0.35">
      <c r="A2" s="67" t="s">
        <v>67</v>
      </c>
      <c r="B2" s="67"/>
      <c r="C2" s="68">
        <f>'Income Statement'!C2</f>
        <v>2021</v>
      </c>
      <c r="D2" s="68">
        <f>'Income Statement'!D2</f>
        <v>2022</v>
      </c>
      <c r="E2" s="68">
        <f t="shared" ref="E2:J2" si="0">D2+1</f>
        <v>2023</v>
      </c>
      <c r="F2" s="68">
        <f t="shared" si="0"/>
        <v>2024</v>
      </c>
      <c r="G2" s="68">
        <f t="shared" si="0"/>
        <v>2025</v>
      </c>
      <c r="H2" s="68">
        <f t="shared" si="0"/>
        <v>2026</v>
      </c>
      <c r="I2" s="68">
        <f t="shared" si="0"/>
        <v>2027</v>
      </c>
      <c r="J2" s="68">
        <f t="shared" si="0"/>
        <v>2028</v>
      </c>
    </row>
    <row r="3" spans="1:10" x14ac:dyDescent="0.35">
      <c r="B3" s="70" t="s">
        <v>221</v>
      </c>
      <c r="C3" s="46"/>
      <c r="D3" s="46"/>
      <c r="E3" s="46"/>
      <c r="F3" s="46"/>
      <c r="G3" s="46"/>
      <c r="H3" s="46"/>
      <c r="I3" s="46"/>
      <c r="J3" s="46"/>
    </row>
    <row r="4" spans="1:10" x14ac:dyDescent="0.35">
      <c r="B4" s="71" t="s">
        <v>222</v>
      </c>
      <c r="C4" s="49"/>
      <c r="D4" s="49"/>
      <c r="E4" s="49"/>
      <c r="F4" s="49"/>
      <c r="G4" s="49"/>
      <c r="H4" s="49"/>
      <c r="I4" s="49"/>
      <c r="J4" s="49"/>
    </row>
    <row r="5" spans="1:10" x14ac:dyDescent="0.35">
      <c r="B5" s="9" t="s">
        <v>19</v>
      </c>
      <c r="C5" s="54"/>
      <c r="D5" s="187">
        <v>16253</v>
      </c>
      <c r="E5" s="187">
        <v>16398</v>
      </c>
      <c r="F5" s="55">
        <f>'Cash Flow'!F51</f>
        <v>13534.598904891669</v>
      </c>
      <c r="G5" s="55">
        <f>'Cash Flow'!G51</f>
        <v>11254.156915474558</v>
      </c>
      <c r="H5" s="55">
        <f>'Cash Flow'!H51</f>
        <v>10013.111356228856</v>
      </c>
      <c r="I5" s="55">
        <f>'Cash Flow'!I51</f>
        <v>8630.1972278236608</v>
      </c>
      <c r="J5" s="55">
        <f>'Cash Flow'!J51</f>
        <v>20461.620058053311</v>
      </c>
    </row>
    <row r="6" spans="1:10" x14ac:dyDescent="0.35">
      <c r="B6" s="9" t="s">
        <v>248</v>
      </c>
      <c r="C6" s="54"/>
      <c r="D6" s="187">
        <v>5932</v>
      </c>
      <c r="E6" s="187">
        <v>12696</v>
      </c>
      <c r="F6" s="55">
        <f>E6</f>
        <v>12696</v>
      </c>
      <c r="G6" s="55">
        <f t="shared" ref="G6:J6" si="1">F6</f>
        <v>12696</v>
      </c>
      <c r="H6" s="55">
        <f t="shared" si="1"/>
        <v>12696</v>
      </c>
      <c r="I6" s="55">
        <f t="shared" si="1"/>
        <v>12696</v>
      </c>
      <c r="J6" s="55">
        <f t="shared" si="1"/>
        <v>12696</v>
      </c>
    </row>
    <row r="7" spans="1:10" x14ac:dyDescent="0.35">
      <c r="B7" s="9" t="s">
        <v>20</v>
      </c>
      <c r="C7" s="54"/>
      <c r="D7" s="187">
        <v>2952</v>
      </c>
      <c r="E7" s="187">
        <v>3508</v>
      </c>
      <c r="F7" s="55">
        <f>'Working cap'!F6</f>
        <v>4630.9130136986296</v>
      </c>
      <c r="G7" s="55">
        <f>'Working cap'!G6</f>
        <v>5417.3768424657528</v>
      </c>
      <c r="H7" s="55">
        <f>'Working cap'!H6</f>
        <v>6369.8661449999991</v>
      </c>
      <c r="I7" s="55">
        <f>'Working cap'!I6</f>
        <v>7532.2198882541079</v>
      </c>
      <c r="J7" s="55">
        <f>'Working cap'!J6</f>
        <v>8962.2622540181692</v>
      </c>
    </row>
    <row r="8" spans="1:10" x14ac:dyDescent="0.35">
      <c r="B8" s="9" t="s">
        <v>21</v>
      </c>
      <c r="C8" s="54"/>
      <c r="D8" s="187">
        <v>12839</v>
      </c>
      <c r="E8" s="187">
        <v>13626</v>
      </c>
      <c r="F8" s="55">
        <f>'Working cap'!F7</f>
        <v>16253.829657534247</v>
      </c>
      <c r="G8" s="55">
        <f>'Working cap'!G7</f>
        <v>19050.236854109589</v>
      </c>
      <c r="H8" s="55">
        <f>'Working cap'!H7</f>
        <v>22446.698766308218</v>
      </c>
      <c r="I8" s="55">
        <f>'Working cap'!I7</f>
        <v>26603.765388530341</v>
      </c>
      <c r="J8" s="55">
        <f>'Working cap'!J7</f>
        <v>31733.470011416379</v>
      </c>
    </row>
    <row r="9" spans="1:10" ht="15" thickBot="1" x14ac:dyDescent="0.4">
      <c r="B9" s="9" t="s">
        <v>260</v>
      </c>
      <c r="C9" s="184"/>
      <c r="D9" s="188">
        <v>2941</v>
      </c>
      <c r="E9" s="188">
        <v>3388</v>
      </c>
      <c r="F9" s="185">
        <f>'Working cap'!F8</f>
        <v>3943.9942500000002</v>
      </c>
      <c r="G9" s="185">
        <f>'Working cap'!G8</f>
        <v>4613.7992774999993</v>
      </c>
      <c r="H9" s="185">
        <f>'Working cap'!H8</f>
        <v>5425.0026668249993</v>
      </c>
      <c r="I9" s="185">
        <f>'Working cap'!I8</f>
        <v>6414.9406048297496</v>
      </c>
      <c r="J9" s="185">
        <f>'Working cap'!J8</f>
        <v>7632.8600196721418</v>
      </c>
    </row>
    <row r="10" spans="1:10" s="2" customFormat="1" x14ac:dyDescent="0.35">
      <c r="B10" s="78" t="s">
        <v>223</v>
      </c>
      <c r="C10" s="186"/>
      <c r="D10" s="193">
        <f>SUM(D5:D9)</f>
        <v>40917</v>
      </c>
      <c r="E10" s="193">
        <f>SUM(E5:E9)</f>
        <v>49616</v>
      </c>
      <c r="F10" s="193">
        <f t="shared" ref="F10:J10" si="2">SUM(F5:F9)</f>
        <v>51059.335826124545</v>
      </c>
      <c r="G10" s="193">
        <f t="shared" si="2"/>
        <v>53031.569889549908</v>
      </c>
      <c r="H10" s="193">
        <f t="shared" si="2"/>
        <v>56950.678934362069</v>
      </c>
      <c r="I10" s="193">
        <f t="shared" si="2"/>
        <v>61877.12310943786</v>
      </c>
      <c r="J10" s="193">
        <f t="shared" si="2"/>
        <v>81486.212343160005</v>
      </c>
    </row>
    <row r="11" spans="1:10" s="2" customFormat="1" x14ac:dyDescent="0.35">
      <c r="B11" s="50"/>
      <c r="C11" s="56"/>
      <c r="D11" s="56"/>
      <c r="E11" s="56"/>
      <c r="F11" s="56"/>
      <c r="G11" s="56"/>
      <c r="H11" s="56"/>
      <c r="I11" s="56"/>
      <c r="J11" s="56"/>
    </row>
    <row r="12" spans="1:10" x14ac:dyDescent="0.35">
      <c r="B12" s="71" t="s">
        <v>23</v>
      </c>
      <c r="C12" s="53"/>
      <c r="D12" s="53"/>
      <c r="E12" s="53"/>
      <c r="F12" s="53"/>
      <c r="G12" s="53"/>
      <c r="H12" s="53"/>
      <c r="I12" s="53"/>
      <c r="J12" s="53"/>
    </row>
    <row r="13" spans="1:10" x14ac:dyDescent="0.35">
      <c r="B13" s="227" t="s">
        <v>250</v>
      </c>
      <c r="C13" s="189"/>
      <c r="D13" s="189">
        <v>5035</v>
      </c>
      <c r="E13" s="189">
        <v>5989</v>
      </c>
      <c r="F13" s="189">
        <v>5989</v>
      </c>
      <c r="G13" s="189">
        <v>5989</v>
      </c>
      <c r="H13" s="189">
        <v>5989</v>
      </c>
      <c r="I13" s="189">
        <v>5989</v>
      </c>
      <c r="J13" s="189">
        <v>5989</v>
      </c>
    </row>
    <row r="14" spans="1:10" x14ac:dyDescent="0.35">
      <c r="B14" s="227" t="s">
        <v>249</v>
      </c>
      <c r="C14" s="189"/>
      <c r="D14" s="189">
        <v>5489</v>
      </c>
      <c r="E14" s="189">
        <v>5229</v>
      </c>
      <c r="F14" s="189">
        <v>5229</v>
      </c>
      <c r="G14" s="189">
        <v>5229</v>
      </c>
      <c r="H14" s="189">
        <v>5229</v>
      </c>
      <c r="I14" s="189">
        <v>5229</v>
      </c>
      <c r="J14" s="189">
        <v>5229</v>
      </c>
    </row>
    <row r="15" spans="1:10" x14ac:dyDescent="0.35">
      <c r="B15" s="227" t="s">
        <v>251</v>
      </c>
      <c r="C15" s="189"/>
      <c r="D15" s="189">
        <v>2563</v>
      </c>
      <c r="E15" s="189">
        <v>4180</v>
      </c>
      <c r="F15" s="189">
        <v>4180</v>
      </c>
      <c r="G15" s="189">
        <v>4180</v>
      </c>
      <c r="H15" s="189">
        <v>4180</v>
      </c>
      <c r="I15" s="189">
        <v>4180</v>
      </c>
      <c r="J15" s="189">
        <v>4180</v>
      </c>
    </row>
    <row r="16" spans="1:10" x14ac:dyDescent="0.35">
      <c r="B16" s="227" t="s">
        <v>24</v>
      </c>
      <c r="C16" s="189"/>
      <c r="D16" s="189">
        <v>23548</v>
      </c>
      <c r="E16" s="189">
        <v>29725</v>
      </c>
      <c r="F16" s="191">
        <f>'Depreciation Schedule'!F11</f>
        <v>35347.3441998001</v>
      </c>
      <c r="G16" s="191">
        <f>'Depreciation Schedule'!G11</f>
        <v>41427.644933583964</v>
      </c>
      <c r="H16" s="191">
        <f>'Depreciation Schedule'!H11</f>
        <v>48117.962165100034</v>
      </c>
      <c r="I16" s="191">
        <f>'Depreciation Schedule'!I11</f>
        <v>55622.572649098285</v>
      </c>
      <c r="J16" s="191">
        <f>'Depreciation Schedule'!J11</f>
        <v>64217.27190779426</v>
      </c>
    </row>
    <row r="17" spans="2:10" x14ac:dyDescent="0.35">
      <c r="B17" s="9" t="s">
        <v>254</v>
      </c>
      <c r="C17" s="189"/>
      <c r="D17" s="189">
        <v>194</v>
      </c>
      <c r="E17" s="189">
        <v>253</v>
      </c>
      <c r="F17" s="189">
        <v>253</v>
      </c>
      <c r="G17" s="189">
        <v>253</v>
      </c>
      <c r="H17" s="189">
        <v>253</v>
      </c>
      <c r="I17" s="189">
        <v>253</v>
      </c>
      <c r="J17" s="189">
        <v>253</v>
      </c>
    </row>
    <row r="18" spans="2:10" x14ac:dyDescent="0.35">
      <c r="B18" s="9" t="s">
        <v>253</v>
      </c>
      <c r="C18" s="189"/>
      <c r="D18" s="189">
        <v>215</v>
      </c>
      <c r="E18" s="189">
        <v>178</v>
      </c>
      <c r="F18" s="189">
        <v>178</v>
      </c>
      <c r="G18" s="189">
        <v>178</v>
      </c>
      <c r="H18" s="189">
        <v>178</v>
      </c>
      <c r="I18" s="189">
        <v>178</v>
      </c>
      <c r="J18" s="189">
        <v>178</v>
      </c>
    </row>
    <row r="19" spans="2:10" x14ac:dyDescent="0.35">
      <c r="B19" s="9" t="s">
        <v>252</v>
      </c>
      <c r="C19" s="189"/>
      <c r="D19" s="189">
        <v>184</v>
      </c>
      <c r="E19" s="189">
        <v>184</v>
      </c>
      <c r="F19" s="189">
        <v>184</v>
      </c>
      <c r="G19" s="189">
        <v>184</v>
      </c>
      <c r="H19" s="189">
        <v>184</v>
      </c>
      <c r="I19" s="189">
        <v>184</v>
      </c>
      <c r="J19" s="189">
        <v>184</v>
      </c>
    </row>
    <row r="20" spans="2:10" x14ac:dyDescent="0.35">
      <c r="B20" s="9" t="s">
        <v>261</v>
      </c>
      <c r="C20" s="189"/>
      <c r="D20" s="189">
        <v>328</v>
      </c>
      <c r="E20" s="189">
        <v>6733</v>
      </c>
      <c r="F20" s="189">
        <v>6733</v>
      </c>
      <c r="G20" s="189">
        <v>6733</v>
      </c>
      <c r="H20" s="189">
        <v>6733</v>
      </c>
      <c r="I20" s="189">
        <v>6733</v>
      </c>
      <c r="J20" s="189">
        <v>6733</v>
      </c>
    </row>
    <row r="21" spans="2:10" ht="15" thickBot="1" x14ac:dyDescent="0.4">
      <c r="B21" s="9" t="s">
        <v>25</v>
      </c>
      <c r="C21" s="192"/>
      <c r="D21" s="192">
        <v>3865</v>
      </c>
      <c r="E21" s="192">
        <v>4531</v>
      </c>
      <c r="F21" s="192">
        <v>4531</v>
      </c>
      <c r="G21" s="192">
        <v>4531</v>
      </c>
      <c r="H21" s="192">
        <v>4531</v>
      </c>
      <c r="I21" s="192">
        <v>4531</v>
      </c>
      <c r="J21" s="192">
        <v>4531</v>
      </c>
    </row>
    <row r="22" spans="2:10" s="2" customFormat="1" x14ac:dyDescent="0.35">
      <c r="B22" s="78" t="s">
        <v>226</v>
      </c>
      <c r="C22" s="193"/>
      <c r="D22" s="193">
        <f t="shared" ref="D22:J22" si="3">SUM(D13:D21)</f>
        <v>41421</v>
      </c>
      <c r="E22" s="194">
        <f t="shared" si="3"/>
        <v>57002</v>
      </c>
      <c r="F22" s="194">
        <f t="shared" si="3"/>
        <v>62624.3441998001</v>
      </c>
      <c r="G22" s="194">
        <f t="shared" si="3"/>
        <v>68704.644933583972</v>
      </c>
      <c r="H22" s="194">
        <f t="shared" si="3"/>
        <v>75394.962165100034</v>
      </c>
      <c r="I22" s="194">
        <f t="shared" si="3"/>
        <v>82899.572649098292</v>
      </c>
      <c r="J22" s="194">
        <f t="shared" si="3"/>
        <v>91494.27190779426</v>
      </c>
    </row>
    <row r="23" spans="2:10" s="2" customFormat="1" ht="15" thickBot="1" x14ac:dyDescent="0.4">
      <c r="B23" s="79" t="s">
        <v>224</v>
      </c>
      <c r="C23" s="195"/>
      <c r="D23" s="195">
        <f>SUM(D22,D10)</f>
        <v>82338</v>
      </c>
      <c r="E23" s="195">
        <f t="shared" ref="E23:J23" si="4" xml:space="preserve"> SUM(E22,E10)</f>
        <v>106618</v>
      </c>
      <c r="F23" s="195">
        <f t="shared" si="4"/>
        <v>113683.68002592464</v>
      </c>
      <c r="G23" s="195">
        <f t="shared" si="4"/>
        <v>121736.21482313388</v>
      </c>
      <c r="H23" s="195">
        <f t="shared" si="4"/>
        <v>132345.64109946211</v>
      </c>
      <c r="I23" s="195">
        <f t="shared" si="4"/>
        <v>144776.69575853617</v>
      </c>
      <c r="J23" s="195">
        <f t="shared" si="4"/>
        <v>172980.48425095427</v>
      </c>
    </row>
    <row r="24" spans="2:10" ht="15" thickTop="1" x14ac:dyDescent="0.35">
      <c r="B24" s="51"/>
      <c r="C24" s="196"/>
      <c r="D24" s="196"/>
      <c r="E24" s="196"/>
      <c r="F24" s="196"/>
      <c r="G24" s="196"/>
      <c r="H24" s="196"/>
      <c r="I24" s="196"/>
      <c r="J24" s="196"/>
    </row>
    <row r="25" spans="2:10" x14ac:dyDescent="0.35">
      <c r="B25" s="70" t="s">
        <v>225</v>
      </c>
      <c r="C25" s="190"/>
      <c r="D25" s="190"/>
      <c r="E25" s="190"/>
      <c r="F25" s="190"/>
      <c r="G25" s="190"/>
      <c r="H25" s="190"/>
      <c r="I25" s="190"/>
      <c r="J25" s="190"/>
    </row>
    <row r="26" spans="2:10" x14ac:dyDescent="0.35">
      <c r="B26" s="71" t="s">
        <v>26</v>
      </c>
      <c r="C26" s="190"/>
      <c r="D26" s="190"/>
      <c r="E26" s="190"/>
      <c r="F26" s="190"/>
      <c r="G26" s="190"/>
      <c r="H26" s="190"/>
      <c r="I26" s="190"/>
      <c r="J26" s="190"/>
    </row>
    <row r="27" spans="2:10" x14ac:dyDescent="0.35">
      <c r="B27" s="9" t="s">
        <v>27</v>
      </c>
      <c r="C27" s="189"/>
      <c r="D27" s="189">
        <v>15255</v>
      </c>
      <c r="E27" s="189">
        <v>14431</v>
      </c>
      <c r="F27" s="191">
        <f>'Working cap'!F11</f>
        <v>17504.124246575346</v>
      </c>
      <c r="G27" s="191">
        <f>'Working cap'!G11</f>
        <v>20515.639689041098</v>
      </c>
      <c r="H27" s="191">
        <f>'Working cap'!H11</f>
        <v>24173.367902178081</v>
      </c>
      <c r="I27" s="191">
        <f>'Working cap'!I11</f>
        <v>28650.20887995575</v>
      </c>
      <c r="J27" s="191">
        <f>'Working cap'!J11</f>
        <v>34174.506166140716</v>
      </c>
    </row>
    <row r="28" spans="2:10" x14ac:dyDescent="0.35">
      <c r="B28" s="9" t="s">
        <v>255</v>
      </c>
      <c r="C28" s="189"/>
      <c r="D28" s="189">
        <v>8205</v>
      </c>
      <c r="E28" s="189">
        <v>9080</v>
      </c>
      <c r="F28" s="191">
        <f>'Working cap'!F12</f>
        <v>10930.49835</v>
      </c>
      <c r="G28" s="191">
        <f>'Working cap'!G12</f>
        <v>12786.815140499997</v>
      </c>
      <c r="H28" s="191">
        <f>'Working cap'!H12</f>
        <v>15035.007390914998</v>
      </c>
      <c r="I28" s="191">
        <f>'Working cap'!I12</f>
        <v>17778.549676242448</v>
      </c>
      <c r="J28" s="191">
        <f>'Working cap'!J12</f>
        <v>21153.926340234222</v>
      </c>
    </row>
    <row r="29" spans="2:10" ht="15" thickBot="1" x14ac:dyDescent="0.4">
      <c r="B29" s="9" t="s">
        <v>29</v>
      </c>
      <c r="C29" s="189"/>
      <c r="D29" s="189">
        <v>1747</v>
      </c>
      <c r="E29" s="189">
        <v>2864</v>
      </c>
      <c r="F29" s="189">
        <v>2864</v>
      </c>
      <c r="G29" s="189">
        <v>2864</v>
      </c>
      <c r="H29" s="189">
        <v>2864</v>
      </c>
      <c r="I29" s="189">
        <v>2864</v>
      </c>
      <c r="J29" s="189">
        <v>2864</v>
      </c>
    </row>
    <row r="30" spans="2:10" ht="15" thickBot="1" x14ac:dyDescent="0.4">
      <c r="B30" s="9" t="s">
        <v>263</v>
      </c>
      <c r="C30" s="189"/>
      <c r="D30" s="189">
        <v>1502</v>
      </c>
      <c r="E30" s="189">
        <v>2373</v>
      </c>
      <c r="F30" s="189">
        <v>2373</v>
      </c>
      <c r="G30" s="189">
        <v>2373</v>
      </c>
      <c r="H30" s="189">
        <v>2373</v>
      </c>
      <c r="I30" s="189">
        <v>2373</v>
      </c>
      <c r="J30" s="189">
        <v>2373</v>
      </c>
    </row>
    <row r="31" spans="2:10" s="2" customFormat="1" x14ac:dyDescent="0.35">
      <c r="B31" s="78" t="s">
        <v>31</v>
      </c>
      <c r="C31" s="197"/>
      <c r="D31" s="197">
        <f>SUM(D27:D30)</f>
        <v>26709</v>
      </c>
      <c r="E31" s="197">
        <f t="shared" ref="E31:J31" si="5">SUM(E27:E30)</f>
        <v>28748</v>
      </c>
      <c r="F31" s="197">
        <f t="shared" si="5"/>
        <v>33671.622596575347</v>
      </c>
      <c r="G31" s="197">
        <f t="shared" si="5"/>
        <v>38539.454829541093</v>
      </c>
      <c r="H31" s="197">
        <f t="shared" si="5"/>
        <v>44445.375293093079</v>
      </c>
      <c r="I31" s="197">
        <f t="shared" si="5"/>
        <v>51665.758556198198</v>
      </c>
      <c r="J31" s="197">
        <f t="shared" si="5"/>
        <v>60565.432506374942</v>
      </c>
    </row>
    <row r="33" spans="2:10" x14ac:dyDescent="0.35">
      <c r="B33" s="71" t="s">
        <v>32</v>
      </c>
      <c r="C33" s="190"/>
      <c r="D33" s="190"/>
      <c r="E33" s="190"/>
      <c r="F33" s="190"/>
      <c r="G33" s="190"/>
      <c r="H33" s="190"/>
      <c r="I33" s="190"/>
      <c r="J33" s="190"/>
    </row>
    <row r="34" spans="2:10" x14ac:dyDescent="0.35">
      <c r="B34" s="9" t="s">
        <v>30</v>
      </c>
      <c r="C34" s="189"/>
      <c r="D34" s="189">
        <v>1597</v>
      </c>
      <c r="E34" s="189">
        <v>2857</v>
      </c>
      <c r="F34" s="189">
        <v>2857</v>
      </c>
      <c r="G34" s="189">
        <v>2857</v>
      </c>
      <c r="H34" s="189">
        <v>2857</v>
      </c>
      <c r="I34" s="189">
        <v>2857</v>
      </c>
      <c r="J34" s="189">
        <v>2857</v>
      </c>
    </row>
    <row r="35" spans="2:10" x14ac:dyDescent="0.35">
      <c r="B35" s="9" t="s">
        <v>256</v>
      </c>
      <c r="C35" s="192"/>
      <c r="D35" s="189">
        <v>2804</v>
      </c>
      <c r="E35" s="189">
        <v>3251</v>
      </c>
      <c r="F35" s="198"/>
      <c r="G35" s="198"/>
      <c r="H35" s="198"/>
      <c r="I35" s="198"/>
      <c r="J35" s="198"/>
    </row>
    <row r="36" spans="2:10" ht="15" thickBot="1" x14ac:dyDescent="0.4">
      <c r="B36" s="9" t="s">
        <v>33</v>
      </c>
      <c r="C36" s="192"/>
      <c r="D36" s="192">
        <v>5330</v>
      </c>
      <c r="E36" s="192">
        <v>8153</v>
      </c>
      <c r="F36" s="192">
        <v>8153</v>
      </c>
      <c r="G36" s="192">
        <v>8153</v>
      </c>
      <c r="H36" s="192">
        <v>8153</v>
      </c>
      <c r="I36" s="192">
        <v>8153</v>
      </c>
      <c r="J36" s="192">
        <v>8153</v>
      </c>
    </row>
    <row r="37" spans="2:10" s="2" customFormat="1" x14ac:dyDescent="0.35">
      <c r="B37" s="78" t="s">
        <v>34</v>
      </c>
      <c r="C37" s="197"/>
      <c r="D37" s="197">
        <f>SUM(D34:D36)</f>
        <v>9731</v>
      </c>
      <c r="E37" s="197">
        <f>SUM(E34:E36)</f>
        <v>14261</v>
      </c>
      <c r="F37" s="197">
        <f t="shared" ref="F37:J37" si="6">SUM(F34:F36)</f>
        <v>11010</v>
      </c>
      <c r="G37" s="197">
        <f t="shared" si="6"/>
        <v>11010</v>
      </c>
      <c r="H37" s="197">
        <f t="shared" si="6"/>
        <v>11010</v>
      </c>
      <c r="I37" s="197">
        <f t="shared" si="6"/>
        <v>11010</v>
      </c>
      <c r="J37" s="197">
        <f t="shared" si="6"/>
        <v>11010</v>
      </c>
    </row>
    <row r="38" spans="2:10" s="2" customFormat="1" x14ac:dyDescent="0.35">
      <c r="B38" s="79" t="s">
        <v>35</v>
      </c>
      <c r="C38" s="199"/>
      <c r="D38" s="199">
        <f>SUM(D31,D37)</f>
        <v>36440</v>
      </c>
      <c r="E38" s="199">
        <f>SUM(E31,E37)</f>
        <v>43009</v>
      </c>
      <c r="F38" s="199">
        <f t="shared" ref="F38:J38" si="7">SUM(F31,F37)</f>
        <v>44681.622596575347</v>
      </c>
      <c r="G38" s="199">
        <f t="shared" si="7"/>
        <v>49549.454829541093</v>
      </c>
      <c r="H38" s="199">
        <f t="shared" si="7"/>
        <v>55455.375293093079</v>
      </c>
      <c r="I38" s="199">
        <f t="shared" si="7"/>
        <v>62675.758556198198</v>
      </c>
      <c r="J38" s="199">
        <f t="shared" si="7"/>
        <v>71575.432506374942</v>
      </c>
    </row>
    <row r="39" spans="2:10" x14ac:dyDescent="0.35">
      <c r="C39" s="200"/>
      <c r="D39" s="200"/>
      <c r="E39" s="200"/>
      <c r="F39" s="200"/>
      <c r="G39" s="200"/>
      <c r="H39" s="200"/>
      <c r="I39" s="200"/>
      <c r="J39" s="200"/>
    </row>
    <row r="40" spans="2:10" x14ac:dyDescent="0.35">
      <c r="B40" s="9" t="s">
        <v>257</v>
      </c>
      <c r="C40" s="192"/>
      <c r="D40" s="190">
        <v>409</v>
      </c>
      <c r="E40" s="190">
        <v>242</v>
      </c>
      <c r="F40" s="198"/>
      <c r="G40" s="198"/>
      <c r="H40" s="198"/>
      <c r="I40" s="198"/>
      <c r="J40" s="198"/>
    </row>
    <row r="41" spans="2:10" x14ac:dyDescent="0.35">
      <c r="B41" s="51"/>
      <c r="C41" s="190"/>
      <c r="D41" s="190"/>
      <c r="E41" s="190"/>
      <c r="F41" s="190"/>
      <c r="G41" s="190"/>
      <c r="H41" s="190"/>
      <c r="I41" s="190"/>
      <c r="J41" s="190"/>
    </row>
    <row r="42" spans="2:10" x14ac:dyDescent="0.35">
      <c r="B42" s="71" t="s">
        <v>36</v>
      </c>
      <c r="C42" s="190"/>
      <c r="D42" s="190"/>
      <c r="E42" s="190"/>
      <c r="F42" s="190"/>
      <c r="G42" s="190"/>
      <c r="H42" s="190"/>
      <c r="I42" s="190"/>
      <c r="J42" s="190"/>
    </row>
    <row r="43" spans="2:10" x14ac:dyDescent="0.35">
      <c r="B43" s="9" t="s">
        <v>41</v>
      </c>
      <c r="C43" s="189"/>
      <c r="D43" s="189">
        <v>3</v>
      </c>
      <c r="E43" s="189">
        <v>3</v>
      </c>
      <c r="F43" s="191"/>
      <c r="G43" s="191"/>
      <c r="H43" s="191"/>
      <c r="I43" s="191"/>
      <c r="J43" s="191"/>
    </row>
    <row r="44" spans="2:10" x14ac:dyDescent="0.35">
      <c r="B44" s="9" t="s">
        <v>258</v>
      </c>
      <c r="C44" s="189"/>
      <c r="D44" s="189">
        <v>32177</v>
      </c>
      <c r="E44" s="189">
        <v>34892</v>
      </c>
      <c r="F44" s="189">
        <v>34892</v>
      </c>
      <c r="G44" s="189">
        <v>34892</v>
      </c>
      <c r="H44" s="189">
        <v>34892</v>
      </c>
      <c r="I44" s="189">
        <v>34892</v>
      </c>
      <c r="J44" s="189">
        <v>34892</v>
      </c>
    </row>
    <row r="45" spans="2:10" x14ac:dyDescent="0.35">
      <c r="B45" s="9" t="s">
        <v>37</v>
      </c>
      <c r="C45" s="189"/>
      <c r="D45" s="189">
        <v>12885</v>
      </c>
      <c r="E45" s="189">
        <v>27882</v>
      </c>
      <c r="F45" s="189">
        <v>27882</v>
      </c>
      <c r="G45" s="189">
        <v>27882</v>
      </c>
      <c r="H45" s="189">
        <v>27882</v>
      </c>
      <c r="I45" s="189">
        <v>27882</v>
      </c>
      <c r="J45" s="189">
        <v>27882</v>
      </c>
    </row>
    <row r="46" spans="2:10" ht="15" thickBot="1" x14ac:dyDescent="0.4">
      <c r="B46" s="9" t="s">
        <v>38</v>
      </c>
      <c r="C46" s="192"/>
      <c r="D46" s="192">
        <v>-361</v>
      </c>
      <c r="E46" s="192">
        <v>-143</v>
      </c>
      <c r="F46" s="198"/>
      <c r="G46" s="198"/>
      <c r="H46" s="198"/>
      <c r="I46" s="198"/>
      <c r="J46" s="198"/>
    </row>
    <row r="47" spans="2:10" s="2" customFormat="1" x14ac:dyDescent="0.35">
      <c r="B47" s="78" t="s">
        <v>39</v>
      </c>
      <c r="C47" s="197"/>
      <c r="D47" s="197">
        <f>SUM(D43:D46)</f>
        <v>44704</v>
      </c>
      <c r="E47" s="197">
        <f>SUM(E43:E46)</f>
        <v>62634</v>
      </c>
      <c r="F47" s="197">
        <f t="shared" ref="F47:J47" si="8">SUM(F43:F46)</f>
        <v>62774</v>
      </c>
      <c r="G47" s="197">
        <f t="shared" si="8"/>
        <v>62774</v>
      </c>
      <c r="H47" s="197">
        <f t="shared" si="8"/>
        <v>62774</v>
      </c>
      <c r="I47" s="197">
        <f t="shared" si="8"/>
        <v>62774</v>
      </c>
      <c r="J47" s="197">
        <f t="shared" si="8"/>
        <v>62774</v>
      </c>
    </row>
    <row r="48" spans="2:10" s="2" customFormat="1" x14ac:dyDescent="0.35">
      <c r="B48" s="116" t="s">
        <v>259</v>
      </c>
      <c r="C48" s="201"/>
      <c r="D48" s="200">
        <v>785</v>
      </c>
      <c r="E48" s="200">
        <v>733</v>
      </c>
      <c r="F48" s="201"/>
      <c r="G48" s="201"/>
      <c r="H48" s="201"/>
      <c r="I48" s="201"/>
      <c r="J48" s="201"/>
    </row>
    <row r="49" spans="2:10" s="2" customFormat="1" ht="15" thickBot="1" x14ac:dyDescent="0.4">
      <c r="B49" s="80" t="s">
        <v>40</v>
      </c>
      <c r="C49" s="195"/>
      <c r="D49" s="195">
        <f>SUM(D48,D47,D40,D38)</f>
        <v>82338</v>
      </c>
      <c r="E49" s="195">
        <f>SUM(E48,E47,E40,E38)</f>
        <v>106618</v>
      </c>
      <c r="F49" s="195">
        <f>SUM(F48,F47,F40,F38)</f>
        <v>107455.62259657535</v>
      </c>
      <c r="G49" s="195">
        <f t="shared" ref="G49:J49" si="9">SUM(G48,G47,G40,G38)</f>
        <v>112323.45482954109</v>
      </c>
      <c r="H49" s="195">
        <f t="shared" si="9"/>
        <v>118229.37529309308</v>
      </c>
      <c r="I49" s="195">
        <f t="shared" si="9"/>
        <v>125449.7585561982</v>
      </c>
      <c r="J49" s="195">
        <f t="shared" si="9"/>
        <v>134349.43250637496</v>
      </c>
    </row>
    <row r="50" spans="2:10" ht="15" thickTop="1" x14ac:dyDescent="0.35">
      <c r="C50" s="57"/>
      <c r="D50" s="57"/>
      <c r="E50" s="57"/>
      <c r="F50" s="57"/>
      <c r="G50" s="57"/>
      <c r="H50" s="57"/>
      <c r="I50" s="57"/>
      <c r="J50" s="57"/>
    </row>
    <row r="51" spans="2:10" x14ac:dyDescent="0.35">
      <c r="B51" s="58" t="s">
        <v>220</v>
      </c>
      <c r="C51" s="59">
        <f t="shared" ref="C51:J51" si="10">C23-C49</f>
        <v>0</v>
      </c>
      <c r="D51" s="59">
        <f t="shared" si="10"/>
        <v>0</v>
      </c>
      <c r="E51" s="59">
        <f t="shared" si="10"/>
        <v>0</v>
      </c>
      <c r="F51" s="59">
        <f t="shared" si="10"/>
        <v>6228.0574293492828</v>
      </c>
      <c r="G51" s="59">
        <f t="shared" si="10"/>
        <v>9412.7599935927865</v>
      </c>
      <c r="H51" s="59">
        <f t="shared" si="10"/>
        <v>14116.265806369032</v>
      </c>
      <c r="I51" s="59">
        <f t="shared" si="10"/>
        <v>19326.937202337969</v>
      </c>
      <c r="J51" s="59">
        <f t="shared" si="10"/>
        <v>38631.051744579308</v>
      </c>
    </row>
  </sheetData>
  <mergeCells count="2">
    <mergeCell ref="F1:J1"/>
    <mergeCell ref="C1:E1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1"/>
  <sheetViews>
    <sheetView showGridLines="0" zoomScale="90" zoomScaleNormal="90" workbookViewId="0">
      <pane ySplit="2" topLeftCell="A6" activePane="bottomLeft" state="frozen"/>
      <selection pane="bottomLeft" activeCell="B24" sqref="B24"/>
    </sheetView>
  </sheetViews>
  <sheetFormatPr defaultColWidth="0" defaultRowHeight="14.5" zeroHeight="1" x14ac:dyDescent="0.35"/>
  <cols>
    <col min="1" max="1" width="3.54296875" customWidth="1"/>
    <col min="2" max="2" width="70.7265625" bestFit="1" customWidth="1"/>
    <col min="3" max="10" width="12.54296875" customWidth="1"/>
    <col min="11" max="11" width="9.1796875" customWidth="1"/>
    <col min="12" max="16384" width="9.1796875" hidden="1"/>
  </cols>
  <sheetData>
    <row r="1" spans="1:10" ht="31.5" customHeight="1" x14ac:dyDescent="0.6">
      <c r="A1" s="66" t="str">
        <f>Index!A1</f>
        <v>TESLA Inc. Financial Modeling</v>
      </c>
      <c r="B1" s="66"/>
      <c r="C1" s="304" t="s">
        <v>18</v>
      </c>
      <c r="D1" s="304"/>
      <c r="E1" s="304"/>
      <c r="F1" s="304" t="s">
        <v>66</v>
      </c>
      <c r="G1" s="304"/>
      <c r="H1" s="304"/>
      <c r="I1" s="304"/>
      <c r="J1" s="304"/>
    </row>
    <row r="2" spans="1:10" x14ac:dyDescent="0.35">
      <c r="A2" s="67" t="s">
        <v>67</v>
      </c>
      <c r="B2" s="67"/>
      <c r="C2" s="68">
        <v>2021</v>
      </c>
      <c r="D2" s="68">
        <f t="shared" ref="D2:J2" si="0">C2+1</f>
        <v>2022</v>
      </c>
      <c r="E2" s="68">
        <f t="shared" si="0"/>
        <v>2023</v>
      </c>
      <c r="F2" s="68">
        <f t="shared" si="0"/>
        <v>2024</v>
      </c>
      <c r="G2" s="68">
        <f t="shared" si="0"/>
        <v>2025</v>
      </c>
      <c r="H2" s="68">
        <f t="shared" si="0"/>
        <v>2026</v>
      </c>
      <c r="I2" s="68">
        <f t="shared" si="0"/>
        <v>2027</v>
      </c>
      <c r="J2" s="68">
        <f t="shared" si="0"/>
        <v>2028</v>
      </c>
    </row>
    <row r="3" spans="1:10" x14ac:dyDescent="0.35">
      <c r="B3" s="72" t="s">
        <v>227</v>
      </c>
    </row>
    <row r="4" spans="1:10" x14ac:dyDescent="0.35">
      <c r="B4" s="9" t="s">
        <v>12</v>
      </c>
      <c r="C4" s="215">
        <f>'Income Statement'!C29</f>
        <v>5644</v>
      </c>
      <c r="D4" s="215">
        <f>'Income Statement'!D29</f>
        <v>12587</v>
      </c>
      <c r="E4" s="215">
        <f>'Income Statement'!E29</f>
        <v>14974</v>
      </c>
      <c r="F4" s="216">
        <f>'Income Statement'!F29</f>
        <v>10145.110949999986</v>
      </c>
      <c r="G4" s="216">
        <f>'Income Statement'!G29</f>
        <v>11685.936838499976</v>
      </c>
      <c r="H4" s="216">
        <f>'Income Statement'!H29</f>
        <v>13502.900177054978</v>
      </c>
      <c r="I4" s="216">
        <f>'Income Statement'!I29</f>
        <v>15658.272766366652</v>
      </c>
      <c r="J4" s="216">
        <f>'Income Statement'!J29</f>
        <v>18232.849094939163</v>
      </c>
    </row>
    <row r="5" spans="1:10" ht="14.25" customHeight="1" x14ac:dyDescent="0.35">
      <c r="B5" s="41" t="s">
        <v>228</v>
      </c>
      <c r="C5" s="215"/>
      <c r="D5" s="215"/>
      <c r="E5" s="215"/>
      <c r="F5" s="217"/>
      <c r="G5" s="217"/>
      <c r="H5" s="217"/>
      <c r="I5" s="217"/>
      <c r="J5" s="217"/>
    </row>
    <row r="6" spans="1:10" x14ac:dyDescent="0.35">
      <c r="B6" s="9" t="s">
        <v>57</v>
      </c>
      <c r="C6" s="215">
        <v>2911</v>
      </c>
      <c r="D6" s="215">
        <v>3747</v>
      </c>
      <c r="E6" s="215">
        <v>4667</v>
      </c>
      <c r="F6" s="217">
        <f>'Income Statement'!F41</f>
        <v>5646.2108001999031</v>
      </c>
      <c r="G6" s="217">
        <f>'Income Statement'!G41</f>
        <v>7101.9829162161313</v>
      </c>
      <c r="H6" s="217">
        <f>'Income Statement'!H41</f>
        <v>8809.6903879839265</v>
      </c>
      <c r="I6" s="217">
        <f>'Income Statement'!I41</f>
        <v>10823.791244086744</v>
      </c>
      <c r="J6" s="217">
        <f>'Income Statement'!J41</f>
        <v>13213.472226081576</v>
      </c>
    </row>
    <row r="7" spans="1:10" x14ac:dyDescent="0.35">
      <c r="B7" s="9" t="s">
        <v>58</v>
      </c>
      <c r="C7" s="215">
        <v>2121</v>
      </c>
      <c r="D7" s="215">
        <v>1560</v>
      </c>
      <c r="E7" s="215">
        <v>1812</v>
      </c>
      <c r="F7" s="217"/>
      <c r="G7" s="217"/>
      <c r="H7" s="217"/>
      <c r="I7" s="217"/>
      <c r="J7" s="217"/>
    </row>
    <row r="8" spans="1:10" x14ac:dyDescent="0.35">
      <c r="B8" s="9" t="s">
        <v>265</v>
      </c>
      <c r="C8" s="215">
        <v>140</v>
      </c>
      <c r="D8" s="215">
        <v>177</v>
      </c>
      <c r="E8" s="215">
        <v>463</v>
      </c>
      <c r="F8" s="217"/>
      <c r="G8" s="217"/>
      <c r="H8" s="217"/>
      <c r="I8" s="217"/>
      <c r="J8" s="217"/>
    </row>
    <row r="9" spans="1:10" x14ac:dyDescent="0.35">
      <c r="B9" s="9" t="s">
        <v>266</v>
      </c>
      <c r="C9" s="215">
        <v>-55</v>
      </c>
      <c r="D9" s="215">
        <v>81</v>
      </c>
      <c r="E9" s="215">
        <v>-144</v>
      </c>
      <c r="F9" s="217"/>
      <c r="G9" s="217"/>
      <c r="H9" s="217"/>
      <c r="I9" s="217"/>
      <c r="J9" s="217"/>
    </row>
    <row r="10" spans="1:10" x14ac:dyDescent="0.35">
      <c r="B10" s="9" t="s">
        <v>59</v>
      </c>
      <c r="C10" s="215">
        <v>-149</v>
      </c>
      <c r="D10" s="215">
        <v>-196</v>
      </c>
      <c r="E10" s="215">
        <v>-6349</v>
      </c>
      <c r="F10" s="217"/>
      <c r="G10" s="217"/>
      <c r="H10" s="217"/>
      <c r="I10" s="217"/>
      <c r="J10" s="217"/>
    </row>
    <row r="11" spans="1:10" x14ac:dyDescent="0.35">
      <c r="B11" s="9" t="s">
        <v>267</v>
      </c>
      <c r="C11" s="215">
        <v>245</v>
      </c>
      <c r="D11" s="215">
        <v>340</v>
      </c>
      <c r="E11" s="215">
        <v>81</v>
      </c>
      <c r="F11" s="217"/>
      <c r="G11" s="217"/>
      <c r="H11" s="217"/>
      <c r="I11" s="217"/>
      <c r="J11" s="217"/>
    </row>
    <row r="12" spans="1:10" x14ac:dyDescent="0.35">
      <c r="B12" s="9" t="s">
        <v>268</v>
      </c>
      <c r="C12" s="215">
        <v>-27</v>
      </c>
      <c r="D12" s="215">
        <v>140</v>
      </c>
      <c r="E12" s="215">
        <v>0</v>
      </c>
      <c r="F12" s="217"/>
      <c r="G12" s="217"/>
      <c r="H12" s="217"/>
      <c r="I12" s="217"/>
      <c r="J12" s="217"/>
    </row>
    <row r="13" spans="1:10" x14ac:dyDescent="0.35">
      <c r="B13" s="41" t="s">
        <v>61</v>
      </c>
      <c r="C13" s="215"/>
      <c r="D13" s="215"/>
      <c r="E13" s="215"/>
      <c r="F13" s="217"/>
      <c r="G13" s="217"/>
      <c r="H13" s="217"/>
      <c r="I13" s="217"/>
      <c r="J13" s="217"/>
    </row>
    <row r="14" spans="1:10" s="310" customFormat="1" x14ac:dyDescent="0.35">
      <c r="B14" s="311" t="s">
        <v>20</v>
      </c>
      <c r="C14" s="312">
        <v>-130</v>
      </c>
      <c r="D14" s="312">
        <v>-1124</v>
      </c>
      <c r="E14" s="312">
        <v>-586</v>
      </c>
      <c r="F14" s="313">
        <f>'Balance Sheet'!E7-'Balance Sheet'!F7</f>
        <v>-1122.9130136986296</v>
      </c>
      <c r="G14" s="313">
        <f>'Balance Sheet'!F7-'Balance Sheet'!G7</f>
        <v>-786.46382876712323</v>
      </c>
      <c r="H14" s="313">
        <f>'Balance Sheet'!G7-'Balance Sheet'!H7</f>
        <v>-952.48930253424624</v>
      </c>
      <c r="I14" s="313">
        <f>'Balance Sheet'!H7-'Balance Sheet'!I7</f>
        <v>-1162.3537432541088</v>
      </c>
      <c r="J14" s="313">
        <f>'Balance Sheet'!I7-'Balance Sheet'!J7</f>
        <v>-1430.0423657640613</v>
      </c>
    </row>
    <row r="15" spans="1:10" s="310" customFormat="1" x14ac:dyDescent="0.35">
      <c r="B15" s="311" t="s">
        <v>21</v>
      </c>
      <c r="C15" s="312">
        <v>-1709</v>
      </c>
      <c r="D15" s="312">
        <v>-6465</v>
      </c>
      <c r="E15" s="312">
        <v>-1195</v>
      </c>
      <c r="F15" s="313">
        <f>'Balance Sheet'!E8-'Balance Sheet'!F8</f>
        <v>-2627.8296575342465</v>
      </c>
      <c r="G15" s="313">
        <f>'Balance Sheet'!F8-'Balance Sheet'!G8</f>
        <v>-2796.4071965753428</v>
      </c>
      <c r="H15" s="313">
        <f>'Balance Sheet'!G8-'Balance Sheet'!H8</f>
        <v>-3396.4619121986289</v>
      </c>
      <c r="I15" s="313">
        <f>'Balance Sheet'!H8-'Balance Sheet'!I8</f>
        <v>-4157.0666222221225</v>
      </c>
      <c r="J15" s="313">
        <f>'Balance Sheet'!I8-'Balance Sheet'!J8</f>
        <v>-5129.7046228860381</v>
      </c>
    </row>
    <row r="16" spans="1:10" s="310" customFormat="1" x14ac:dyDescent="0.35">
      <c r="B16" s="311" t="s">
        <v>269</v>
      </c>
      <c r="C16" s="312">
        <v>-2114</v>
      </c>
      <c r="D16" s="312">
        <v>-1570</v>
      </c>
      <c r="E16" s="312">
        <v>-1952</v>
      </c>
      <c r="F16" s="313"/>
      <c r="G16" s="313"/>
      <c r="H16" s="313"/>
      <c r="I16" s="313"/>
      <c r="J16" s="313"/>
    </row>
    <row r="17" spans="2:10" s="310" customFormat="1" x14ac:dyDescent="0.35">
      <c r="B17" s="311" t="s">
        <v>62</v>
      </c>
      <c r="C17" s="312">
        <v>-1540</v>
      </c>
      <c r="D17" s="312">
        <v>-3713</v>
      </c>
      <c r="E17" s="312">
        <v>-2652</v>
      </c>
      <c r="F17" s="313">
        <f>('Balance Sheet'!E9+'Balance Sheet'!F21)-('Balance Sheet'!G9+'Balance Sheet'!G21)</f>
        <v>-1225.7992774999984</v>
      </c>
      <c r="G17" s="313">
        <f>('Balance Sheet'!F9+'Balance Sheet'!G21)-('Balance Sheet'!H9+'Balance Sheet'!H21)</f>
        <v>-1481.0084168249996</v>
      </c>
      <c r="H17" s="313">
        <f>('Balance Sheet'!G9+'Balance Sheet'!H21)-('Balance Sheet'!I9+'Balance Sheet'!I21)</f>
        <v>-1801.1413273297512</v>
      </c>
      <c r="I17" s="313">
        <f>('Balance Sheet'!H9+'Balance Sheet'!I21)-('Balance Sheet'!J9+'Balance Sheet'!J21)</f>
        <v>-2207.8573528471425</v>
      </c>
      <c r="J17" s="313">
        <f>('Balance Sheet'!I9+'Balance Sheet'!J21)-('Balance Sheet'!K9+'Balance Sheet'!K21)</f>
        <v>10945.94060482975</v>
      </c>
    </row>
    <row r="18" spans="2:10" s="310" customFormat="1" x14ac:dyDescent="0.35">
      <c r="B18" s="311" t="s">
        <v>312</v>
      </c>
      <c r="C18" s="312">
        <v>5367</v>
      </c>
      <c r="D18" s="312">
        <v>8029</v>
      </c>
      <c r="E18" s="312">
        <v>2605</v>
      </c>
      <c r="F18" s="313">
        <f>'Balance Sheet'!E27-'Balance Sheet'!F27</f>
        <v>-3073.1242465753458</v>
      </c>
      <c r="G18" s="313">
        <f>'Balance Sheet'!F27-'Balance Sheet'!G27</f>
        <v>-3011.5154424657521</v>
      </c>
      <c r="H18" s="313">
        <f>'Balance Sheet'!G27-'Balance Sheet'!H27</f>
        <v>-3657.728213136983</v>
      </c>
      <c r="I18" s="313">
        <f>'Balance Sheet'!H27-'Balance Sheet'!I27</f>
        <v>-4476.8409777776687</v>
      </c>
      <c r="J18" s="313">
        <f>'Balance Sheet'!I27-'Balance Sheet'!J27</f>
        <v>-5524.2972861849667</v>
      </c>
    </row>
    <row r="19" spans="2:10" s="310" customFormat="1" x14ac:dyDescent="0.35">
      <c r="B19" s="311" t="s">
        <v>313</v>
      </c>
      <c r="C19" s="312"/>
      <c r="D19" s="312"/>
      <c r="E19" s="312"/>
      <c r="F19" s="313">
        <f>('Balance Sheet'!F28+'Balance Sheet'!F36)-('Balance Sheet'!E28+'Balance Sheet'!E36)</f>
        <v>1850.4983500000017</v>
      </c>
      <c r="G19" s="313">
        <f>('Balance Sheet'!G28+'Balance Sheet'!G36)-('Balance Sheet'!F28+'Balance Sheet'!F36)</f>
        <v>1856.3167904999937</v>
      </c>
      <c r="H19" s="313">
        <f>('Balance Sheet'!H28+'Balance Sheet'!H36)-('Balance Sheet'!G28+'Balance Sheet'!G36)</f>
        <v>2248.1922504150025</v>
      </c>
      <c r="I19" s="313">
        <f>('Balance Sheet'!I28+'Balance Sheet'!I36)-('Balance Sheet'!H28+'Balance Sheet'!H36)</f>
        <v>2743.5422853274504</v>
      </c>
      <c r="J19" s="313">
        <f>('Balance Sheet'!J28+'Balance Sheet'!J36)-('Balance Sheet'!I28+'Balance Sheet'!I36)</f>
        <v>3375.376663991774</v>
      </c>
    </row>
    <row r="20" spans="2:10" s="310" customFormat="1" ht="15" thickBot="1" x14ac:dyDescent="0.4">
      <c r="B20" s="311" t="s">
        <v>29</v>
      </c>
      <c r="C20" s="312">
        <v>793</v>
      </c>
      <c r="D20" s="312">
        <v>1131</v>
      </c>
      <c r="E20" s="312">
        <v>1532</v>
      </c>
      <c r="F20" s="313">
        <f>'Balance Sheet'!F29-'Balance Sheet'!E29</f>
        <v>0</v>
      </c>
      <c r="G20" s="313">
        <f>'Balance Sheet'!G29-'Balance Sheet'!F29</f>
        <v>0</v>
      </c>
      <c r="H20" s="313">
        <f>'Balance Sheet'!H29-'Balance Sheet'!G29</f>
        <v>0</v>
      </c>
      <c r="I20" s="313">
        <f>'Balance Sheet'!I29-'Balance Sheet'!H29</f>
        <v>0</v>
      </c>
      <c r="J20" s="313">
        <f>'Balance Sheet'!J29-'Balance Sheet'!I29</f>
        <v>0</v>
      </c>
    </row>
    <row r="21" spans="2:10" s="2" customFormat="1" x14ac:dyDescent="0.35">
      <c r="B21" s="80" t="s">
        <v>316</v>
      </c>
      <c r="C21" s="226">
        <f t="shared" ref="C21:J21" si="1">SUM(C4:C20)</f>
        <v>11497</v>
      </c>
      <c r="D21" s="226">
        <f t="shared" si="1"/>
        <v>14724</v>
      </c>
      <c r="E21" s="226">
        <f t="shared" si="1"/>
        <v>13256</v>
      </c>
      <c r="F21" s="226">
        <f t="shared" si="1"/>
        <v>9592.1539048916693</v>
      </c>
      <c r="G21" s="226">
        <f t="shared" si="1"/>
        <v>12568.841660582886</v>
      </c>
      <c r="H21" s="226">
        <f t="shared" si="1"/>
        <v>14752.962060254296</v>
      </c>
      <c r="I21" s="226">
        <f t="shared" si="1"/>
        <v>17221.487599679804</v>
      </c>
      <c r="J21" s="226">
        <f t="shared" si="1"/>
        <v>33683.594315007198</v>
      </c>
    </row>
    <row r="22" spans="2:10" s="2" customFormat="1" x14ac:dyDescent="0.35">
      <c r="B22" s="50"/>
      <c r="C22" s="218"/>
      <c r="D22" s="218"/>
      <c r="E22" s="218"/>
      <c r="F22" s="218"/>
      <c r="G22" s="218"/>
      <c r="H22" s="218"/>
      <c r="I22" s="218"/>
      <c r="J22" s="218"/>
    </row>
    <row r="23" spans="2:10" x14ac:dyDescent="0.35">
      <c r="B23" s="72" t="s">
        <v>314</v>
      </c>
      <c r="C23" s="219"/>
      <c r="D23" s="219"/>
      <c r="E23" s="219"/>
      <c r="F23" s="219"/>
      <c r="G23" s="219"/>
      <c r="H23" s="219"/>
      <c r="I23" s="219"/>
      <c r="J23" s="219"/>
    </row>
    <row r="24" spans="2:10" x14ac:dyDescent="0.35">
      <c r="B24" s="51" t="s">
        <v>270</v>
      </c>
      <c r="C24" s="215">
        <v>-6482</v>
      </c>
      <c r="D24" s="215">
        <v>-7158</v>
      </c>
      <c r="E24" s="215">
        <v>-8898</v>
      </c>
      <c r="F24" s="217">
        <f>-'Depreciation Schedule'!F4</f>
        <v>-11268.555</v>
      </c>
      <c r="G24" s="217">
        <f>-'Depreciation Schedule'!G4</f>
        <v>-13182.283649999998</v>
      </c>
      <c r="H24" s="217">
        <f>-'Depreciation Schedule'!H4</f>
        <v>-15500.007619499998</v>
      </c>
      <c r="I24" s="217">
        <f>-'Depreciation Schedule'!I4</f>
        <v>-18328.401728084998</v>
      </c>
      <c r="J24" s="217">
        <f>-'Depreciation Schedule'!J4</f>
        <v>-21808.171484777547</v>
      </c>
    </row>
    <row r="25" spans="2:10" x14ac:dyDescent="0.35">
      <c r="B25" s="51" t="s">
        <v>271</v>
      </c>
      <c r="C25" s="215">
        <v>-32</v>
      </c>
      <c r="D25" s="215">
        <v>-5</v>
      </c>
      <c r="E25" s="215">
        <v>-1</v>
      </c>
      <c r="F25" s="217"/>
      <c r="G25" s="217"/>
      <c r="H25" s="217"/>
      <c r="I25" s="217"/>
      <c r="J25" s="217"/>
    </row>
    <row r="26" spans="2:10" x14ac:dyDescent="0.35">
      <c r="B26" s="51" t="s">
        <v>272</v>
      </c>
      <c r="C26" s="215">
        <v>-1500</v>
      </c>
      <c r="D26" s="215">
        <v>0</v>
      </c>
      <c r="E26" s="215">
        <v>0</v>
      </c>
      <c r="F26" s="217"/>
      <c r="G26" s="217"/>
      <c r="H26" s="217"/>
      <c r="I26" s="217"/>
      <c r="J26" s="217"/>
    </row>
    <row r="27" spans="2:10" x14ac:dyDescent="0.35">
      <c r="B27" s="51" t="s">
        <v>273</v>
      </c>
      <c r="C27" s="215">
        <v>272</v>
      </c>
      <c r="D27" s="215">
        <v>936</v>
      </c>
      <c r="E27" s="215">
        <v>0</v>
      </c>
      <c r="F27" s="217"/>
      <c r="G27" s="217"/>
      <c r="H27" s="217"/>
      <c r="I27" s="217"/>
      <c r="J27" s="217"/>
    </row>
    <row r="28" spans="2:10" ht="14.25" customHeight="1" x14ac:dyDescent="0.35">
      <c r="B28" s="51" t="s">
        <v>274</v>
      </c>
      <c r="C28" s="215">
        <v>0</v>
      </c>
      <c r="D28" s="215">
        <v>-9</v>
      </c>
      <c r="E28" s="215">
        <v>0</v>
      </c>
      <c r="F28" s="217"/>
      <c r="G28" s="217"/>
      <c r="H28" s="217"/>
      <c r="I28" s="217"/>
      <c r="J28" s="217"/>
    </row>
    <row r="29" spans="2:10" x14ac:dyDescent="0.35">
      <c r="B29" s="51" t="s">
        <v>275</v>
      </c>
      <c r="C29" s="215">
        <v>-132</v>
      </c>
      <c r="D29" s="215">
        <v>-5835</v>
      </c>
      <c r="E29" s="215">
        <v>-19112</v>
      </c>
      <c r="F29" s="217"/>
      <c r="G29" s="217"/>
      <c r="H29" s="217"/>
      <c r="I29" s="217"/>
      <c r="J29" s="217"/>
    </row>
    <row r="30" spans="2:10" x14ac:dyDescent="0.35">
      <c r="B30" s="51" t="s">
        <v>276</v>
      </c>
      <c r="C30" s="215">
        <v>0</v>
      </c>
      <c r="D30" s="215">
        <v>22</v>
      </c>
      <c r="E30" s="215">
        <v>12353</v>
      </c>
      <c r="F30" s="217"/>
      <c r="G30" s="217"/>
      <c r="H30" s="217"/>
      <c r="I30" s="217"/>
      <c r="J30" s="217"/>
    </row>
    <row r="31" spans="2:10" x14ac:dyDescent="0.35">
      <c r="B31" s="51" t="s">
        <v>277</v>
      </c>
      <c r="C31" s="215">
        <v>0</v>
      </c>
      <c r="D31" s="215">
        <v>0</v>
      </c>
      <c r="E31" s="215">
        <v>138</v>
      </c>
      <c r="F31" s="221"/>
      <c r="G31" s="221"/>
      <c r="H31" s="221"/>
      <c r="I31" s="221"/>
      <c r="J31" s="221"/>
    </row>
    <row r="32" spans="2:10" x14ac:dyDescent="0.35">
      <c r="B32" s="51" t="s">
        <v>278</v>
      </c>
      <c r="C32" s="215">
        <v>6</v>
      </c>
      <c r="D32" s="215">
        <v>76</v>
      </c>
      <c r="E32" s="215"/>
      <c r="F32" s="221"/>
      <c r="G32" s="221"/>
      <c r="H32" s="221"/>
      <c r="I32" s="221"/>
      <c r="J32" s="221"/>
    </row>
    <row r="33" spans="2:10" x14ac:dyDescent="0.35">
      <c r="B33" s="51" t="s">
        <v>279</v>
      </c>
      <c r="C33" s="215">
        <v>0</v>
      </c>
      <c r="D33" s="215">
        <v>0</v>
      </c>
      <c r="E33" s="215">
        <v>-64</v>
      </c>
      <c r="F33" s="221"/>
      <c r="G33" s="221"/>
      <c r="H33" s="221"/>
      <c r="I33" s="221"/>
      <c r="J33" s="221"/>
    </row>
    <row r="34" spans="2:10" ht="15" thickBot="1" x14ac:dyDescent="0.4">
      <c r="B34" s="9" t="s">
        <v>60</v>
      </c>
      <c r="C34" s="220"/>
      <c r="D34" s="220"/>
      <c r="E34" s="220"/>
      <c r="F34" s="221"/>
      <c r="G34" s="221"/>
      <c r="H34" s="221"/>
      <c r="I34" s="221"/>
      <c r="J34" s="221"/>
    </row>
    <row r="35" spans="2:10" s="2" customFormat="1" x14ac:dyDescent="0.35">
      <c r="B35" s="80" t="s">
        <v>317</v>
      </c>
      <c r="C35" s="226">
        <f>SUM(C24:C34)</f>
        <v>-7868</v>
      </c>
      <c r="D35" s="226">
        <f t="shared" ref="D35:J35" si="2">SUM(D24:D34)</f>
        <v>-11973</v>
      </c>
      <c r="E35" s="226">
        <f t="shared" si="2"/>
        <v>-15584</v>
      </c>
      <c r="F35" s="226">
        <f t="shared" si="2"/>
        <v>-11268.555</v>
      </c>
      <c r="G35" s="226">
        <f t="shared" si="2"/>
        <v>-13182.283649999998</v>
      </c>
      <c r="H35" s="226">
        <f t="shared" si="2"/>
        <v>-15500.007619499998</v>
      </c>
      <c r="I35" s="226">
        <f t="shared" si="2"/>
        <v>-18328.401728084998</v>
      </c>
      <c r="J35" s="226">
        <f t="shared" si="2"/>
        <v>-21808.171484777547</v>
      </c>
    </row>
    <row r="36" spans="2:10" s="2" customFormat="1" x14ac:dyDescent="0.35">
      <c r="B36" s="50"/>
      <c r="C36" s="218"/>
      <c r="D36" s="218"/>
      <c r="E36" s="218"/>
      <c r="F36" s="218"/>
      <c r="G36" s="218"/>
      <c r="H36" s="218"/>
      <c r="I36" s="218"/>
      <c r="J36" s="218"/>
    </row>
    <row r="37" spans="2:10" x14ac:dyDescent="0.35">
      <c r="B37" s="75" t="s">
        <v>315</v>
      </c>
      <c r="C37" s="219"/>
      <c r="D37" s="219"/>
      <c r="E37" s="219"/>
      <c r="F37" s="219"/>
      <c r="G37" s="219"/>
      <c r="H37" s="219"/>
      <c r="I37" s="219"/>
      <c r="J37" s="219"/>
    </row>
    <row r="38" spans="2:10" x14ac:dyDescent="0.35">
      <c r="B38" s="51" t="s">
        <v>280</v>
      </c>
      <c r="C38" s="215">
        <v>8883</v>
      </c>
      <c r="D38" s="215"/>
      <c r="E38" s="215">
        <v>3931</v>
      </c>
      <c r="F38" s="217"/>
      <c r="G38" s="217"/>
      <c r="H38" s="217"/>
      <c r="I38" s="217"/>
      <c r="J38" s="217"/>
    </row>
    <row r="39" spans="2:10" x14ac:dyDescent="0.35">
      <c r="B39" s="51" t="s">
        <v>281</v>
      </c>
      <c r="C39" s="215">
        <v>-14167</v>
      </c>
      <c r="D39" s="215">
        <v>-3364</v>
      </c>
      <c r="E39" s="215">
        <v>-1351</v>
      </c>
      <c r="F39" s="217">
        <f>'Debt Schedule'!F12</f>
        <v>-1978</v>
      </c>
      <c r="G39" s="217">
        <f>'Debt Schedule'!G12</f>
        <v>-1667</v>
      </c>
      <c r="H39" s="217">
        <f>'Debt Schedule'!H12</f>
        <v>-494</v>
      </c>
      <c r="I39" s="217">
        <f>'Debt Schedule'!I12</f>
        <v>-276</v>
      </c>
      <c r="J39" s="217">
        <f>'Debt Schedule'!J12</f>
        <v>-44</v>
      </c>
    </row>
    <row r="40" spans="2:10" x14ac:dyDescent="0.35">
      <c r="B40" s="51" t="s">
        <v>282</v>
      </c>
      <c r="C40" s="215">
        <v>-9</v>
      </c>
      <c r="D40" s="215"/>
      <c r="E40" s="215"/>
      <c r="F40" s="217"/>
      <c r="G40" s="217"/>
      <c r="H40" s="217"/>
      <c r="I40" s="217"/>
      <c r="J40" s="217"/>
    </row>
    <row r="41" spans="2:10" x14ac:dyDescent="0.35">
      <c r="B41" s="51" t="s">
        <v>283</v>
      </c>
      <c r="C41" s="215">
        <v>707</v>
      </c>
      <c r="D41" s="215">
        <v>541</v>
      </c>
      <c r="E41" s="215">
        <v>700</v>
      </c>
      <c r="F41" s="217"/>
      <c r="G41" s="217"/>
      <c r="H41" s="217"/>
      <c r="I41" s="217"/>
      <c r="J41" s="217"/>
    </row>
    <row r="42" spans="2:10" x14ac:dyDescent="0.35">
      <c r="B42" s="51" t="s">
        <v>284</v>
      </c>
      <c r="C42" s="215">
        <v>-439</v>
      </c>
      <c r="D42" s="215">
        <v>-502</v>
      </c>
      <c r="E42" s="215">
        <v>-464</v>
      </c>
      <c r="F42" s="217"/>
      <c r="G42" s="217"/>
      <c r="H42" s="217"/>
      <c r="I42" s="217"/>
      <c r="J42" s="217"/>
    </row>
    <row r="43" spans="2:10" x14ac:dyDescent="0.35">
      <c r="B43" s="51" t="s">
        <v>285</v>
      </c>
      <c r="C43" s="215">
        <v>-9</v>
      </c>
      <c r="D43" s="215"/>
      <c r="E43" s="215">
        <v>-29</v>
      </c>
      <c r="F43" s="217"/>
      <c r="G43" s="217"/>
      <c r="H43" s="217"/>
      <c r="I43" s="217"/>
      <c r="J43" s="217"/>
    </row>
    <row r="44" spans="2:10" x14ac:dyDescent="0.35">
      <c r="B44" s="51" t="s">
        <v>286</v>
      </c>
      <c r="C44" s="215">
        <v>2</v>
      </c>
      <c r="D44" s="215"/>
      <c r="E44" s="215"/>
      <c r="F44" s="217"/>
      <c r="G44" s="217"/>
      <c r="H44" s="217"/>
      <c r="I44" s="217"/>
      <c r="J44" s="217"/>
    </row>
    <row r="45" spans="2:10" x14ac:dyDescent="0.35">
      <c r="B45" s="51" t="s">
        <v>287</v>
      </c>
      <c r="C45" s="215">
        <v>-161</v>
      </c>
      <c r="D45" s="215">
        <v>-157</v>
      </c>
      <c r="E45" s="215">
        <v>-144</v>
      </c>
      <c r="F45" s="217"/>
      <c r="G45" s="217"/>
      <c r="H45" s="217"/>
      <c r="I45" s="217"/>
      <c r="J45" s="217"/>
    </row>
    <row r="46" spans="2:10" ht="13.5" customHeight="1" thickBot="1" x14ac:dyDescent="0.4">
      <c r="B46" s="51" t="s">
        <v>288</v>
      </c>
      <c r="C46" s="215">
        <v>-10</v>
      </c>
      <c r="D46" s="215">
        <v>-45</v>
      </c>
      <c r="E46" s="215">
        <v>-54</v>
      </c>
      <c r="F46" s="221"/>
      <c r="G46" s="221"/>
      <c r="H46" s="221"/>
      <c r="I46" s="221"/>
      <c r="J46" s="221"/>
    </row>
    <row r="47" spans="2:10" s="2" customFormat="1" x14ac:dyDescent="0.35">
      <c r="B47" s="80" t="s">
        <v>63</v>
      </c>
      <c r="C47" s="226">
        <f>SUM(C38:C46)</f>
        <v>-5203</v>
      </c>
      <c r="D47" s="226">
        <f t="shared" ref="D47:J47" si="3">SUM(D38:D46)</f>
        <v>-3527</v>
      </c>
      <c r="E47" s="226">
        <f t="shared" si="3"/>
        <v>2589</v>
      </c>
      <c r="F47" s="226">
        <f t="shared" si="3"/>
        <v>-1978</v>
      </c>
      <c r="G47" s="226">
        <f t="shared" si="3"/>
        <v>-1667</v>
      </c>
      <c r="H47" s="226">
        <f t="shared" si="3"/>
        <v>-494</v>
      </c>
      <c r="I47" s="226">
        <f t="shared" si="3"/>
        <v>-276</v>
      </c>
      <c r="J47" s="226">
        <f t="shared" si="3"/>
        <v>-44</v>
      </c>
    </row>
    <row r="48" spans="2:10" s="2" customFormat="1" x14ac:dyDescent="0.35">
      <c r="B48" t="s">
        <v>289</v>
      </c>
      <c r="C48" s="215">
        <v>-183</v>
      </c>
      <c r="D48" s="215">
        <v>-444</v>
      </c>
      <c r="E48" s="215">
        <v>4</v>
      </c>
      <c r="F48" s="222"/>
      <c r="G48" s="222"/>
      <c r="H48" s="222"/>
      <c r="I48" s="222"/>
      <c r="J48" s="222"/>
    </row>
    <row r="49" spans="2:10" s="2" customFormat="1" ht="14.25" customHeight="1" thickBot="1" x14ac:dyDescent="0.4">
      <c r="B49" s="78" t="s">
        <v>64</v>
      </c>
      <c r="C49" s="223">
        <v>-1757</v>
      </c>
      <c r="D49" s="223">
        <v>-1220</v>
      </c>
      <c r="E49" s="223">
        <v>265</v>
      </c>
      <c r="F49" s="223">
        <f>F47+F35+F21</f>
        <v>-3654.401095108331</v>
      </c>
      <c r="G49" s="223">
        <f>G47+G35+G21</f>
        <v>-2280.4419894171115</v>
      </c>
      <c r="H49" s="223">
        <f>H47+H35+H21</f>
        <v>-1241.045559245702</v>
      </c>
      <c r="I49" s="223">
        <f>I47+I35+I21</f>
        <v>-1382.9141284051948</v>
      </c>
      <c r="J49" s="223">
        <f>J47+J35+J21</f>
        <v>11831.422830229651</v>
      </c>
    </row>
    <row r="50" spans="2:10" ht="16.5" customHeight="1" x14ac:dyDescent="0.35">
      <c r="B50" s="99" t="s">
        <v>56</v>
      </c>
      <c r="C50" s="215">
        <v>19901</v>
      </c>
      <c r="D50" s="215">
        <v>18144</v>
      </c>
      <c r="E50" s="215">
        <v>16924</v>
      </c>
      <c r="F50" s="224">
        <f>E51</f>
        <v>17189</v>
      </c>
      <c r="G50" s="224">
        <f t="shared" ref="G50:J50" si="4">F51</f>
        <v>13534.598904891669</v>
      </c>
      <c r="H50" s="224">
        <f t="shared" si="4"/>
        <v>11254.156915474558</v>
      </c>
      <c r="I50" s="224">
        <f t="shared" si="4"/>
        <v>10013.111356228856</v>
      </c>
      <c r="J50" s="224">
        <f t="shared" si="4"/>
        <v>8630.1972278236608</v>
      </c>
    </row>
    <row r="51" spans="2:10" s="2" customFormat="1" ht="15" thickBot="1" x14ac:dyDescent="0.4">
      <c r="B51" s="80" t="s">
        <v>65</v>
      </c>
      <c r="C51" s="225">
        <v>18144</v>
      </c>
      <c r="D51" s="225">
        <v>16924</v>
      </c>
      <c r="E51" s="225">
        <v>17189</v>
      </c>
      <c r="F51" s="225">
        <f>F49+F50</f>
        <v>13534.598904891669</v>
      </c>
      <c r="G51" s="225">
        <f t="shared" ref="G51:J51" si="5">G49+G50</f>
        <v>11254.156915474558</v>
      </c>
      <c r="H51" s="225">
        <f t="shared" si="5"/>
        <v>10013.111356228856</v>
      </c>
      <c r="I51" s="225">
        <f t="shared" si="5"/>
        <v>8630.1972278236608</v>
      </c>
      <c r="J51" s="225">
        <f t="shared" si="5"/>
        <v>20461.620058053311</v>
      </c>
    </row>
  </sheetData>
  <mergeCells count="2">
    <mergeCell ref="C1:E1"/>
    <mergeCell ref="F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1"/>
  <sheetViews>
    <sheetView zoomScale="90" zoomScaleNormal="9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E11" sqref="E11"/>
    </sheetView>
  </sheetViews>
  <sheetFormatPr defaultColWidth="0" defaultRowHeight="14.5" zeroHeight="1" x14ac:dyDescent="0.35"/>
  <cols>
    <col min="1" max="1" width="3.54296875" style="4" customWidth="1"/>
    <col min="2" max="2" width="54.54296875" style="4" customWidth="1"/>
    <col min="3" max="9" width="12.54296875" style="4" customWidth="1"/>
    <col min="10" max="10" width="9.1796875" style="4" customWidth="1"/>
    <col min="11" max="11" width="0" style="4" hidden="1" customWidth="1"/>
    <col min="12" max="16384" width="9.1796875" style="4" hidden="1"/>
  </cols>
  <sheetData>
    <row r="1" spans="1:9" ht="31.5" customHeight="1" x14ac:dyDescent="0.6">
      <c r="A1" s="66" t="str">
        <f>Index!A1</f>
        <v>TESLA Inc. Financial Modeling</v>
      </c>
      <c r="B1" s="68"/>
      <c r="C1" s="304" t="s">
        <v>18</v>
      </c>
      <c r="D1" s="304"/>
      <c r="E1" s="304" t="s">
        <v>66</v>
      </c>
      <c r="F1" s="304"/>
      <c r="G1" s="304"/>
      <c r="H1" s="304"/>
      <c r="I1" s="304"/>
    </row>
    <row r="2" spans="1:9" x14ac:dyDescent="0.35">
      <c r="A2" s="67" t="s">
        <v>67</v>
      </c>
      <c r="B2" s="73"/>
      <c r="C2" s="68">
        <v>2021</v>
      </c>
      <c r="D2" s="68">
        <f t="shared" ref="D2:I2" si="0">C2+1</f>
        <v>2022</v>
      </c>
      <c r="E2" s="68">
        <f t="shared" si="0"/>
        <v>2023</v>
      </c>
      <c r="F2" s="68">
        <f t="shared" si="0"/>
        <v>2024</v>
      </c>
      <c r="G2" s="68">
        <f t="shared" si="0"/>
        <v>2025</v>
      </c>
      <c r="H2" s="68">
        <f t="shared" si="0"/>
        <v>2026</v>
      </c>
      <c r="I2" s="68">
        <f t="shared" si="0"/>
        <v>2027</v>
      </c>
    </row>
    <row r="3" spans="1:9" x14ac:dyDescent="0.35">
      <c r="A3" s="5"/>
      <c r="B3" s="172" t="s">
        <v>68</v>
      </c>
      <c r="C3" s="173"/>
      <c r="D3" s="173"/>
      <c r="E3" s="173"/>
      <c r="F3" s="173"/>
      <c r="G3" s="173"/>
      <c r="H3" s="173"/>
      <c r="I3" s="173"/>
    </row>
    <row r="4" spans="1:9" s="8" customFormat="1" x14ac:dyDescent="0.35">
      <c r="A4" s="7"/>
      <c r="B4" s="174" t="s">
        <v>69</v>
      </c>
      <c r="C4" s="175"/>
      <c r="D4" s="175"/>
      <c r="E4" s="175"/>
      <c r="F4" s="175"/>
      <c r="G4" s="175"/>
      <c r="H4" s="175"/>
      <c r="I4" s="175"/>
    </row>
    <row r="5" spans="1:9" s="8" customFormat="1" x14ac:dyDescent="0.35">
      <c r="A5" s="7"/>
      <c r="B5" s="116" t="s">
        <v>70</v>
      </c>
      <c r="C5" s="175"/>
      <c r="D5" s="176"/>
      <c r="E5" s="176"/>
      <c r="F5" s="176"/>
      <c r="G5" s="176"/>
      <c r="H5" s="176"/>
      <c r="I5" s="176"/>
    </row>
    <row r="6" spans="1:9" s="8" customFormat="1" x14ac:dyDescent="0.35">
      <c r="A6" s="7"/>
      <c r="B6" s="116" t="s">
        <v>71</v>
      </c>
      <c r="C6" s="176"/>
      <c r="D6" s="176"/>
      <c r="E6" s="176"/>
      <c r="F6" s="176"/>
      <c r="G6" s="176"/>
      <c r="H6" s="176"/>
      <c r="I6" s="176"/>
    </row>
    <row r="7" spans="1:9" s="8" customFormat="1" x14ac:dyDescent="0.35">
      <c r="A7" s="7"/>
      <c r="B7" s="173"/>
      <c r="C7" s="176"/>
      <c r="D7" s="176"/>
      <c r="E7" s="176"/>
      <c r="F7" s="176"/>
      <c r="G7" s="176"/>
      <c r="H7" s="176"/>
      <c r="I7" s="176"/>
    </row>
    <row r="8" spans="1:9" s="8" customFormat="1" x14ac:dyDescent="0.35">
      <c r="A8" s="7"/>
      <c r="B8" s="116" t="s">
        <v>72</v>
      </c>
      <c r="C8" s="176"/>
      <c r="D8" s="176"/>
      <c r="E8" s="176"/>
      <c r="F8" s="176"/>
      <c r="G8" s="176"/>
      <c r="H8" s="176"/>
      <c r="I8" s="176"/>
    </row>
    <row r="9" spans="1:9" s="8" customFormat="1" x14ac:dyDescent="0.35">
      <c r="A9" s="7"/>
      <c r="B9" s="116" t="s">
        <v>73</v>
      </c>
      <c r="C9" s="176"/>
      <c r="D9" s="176"/>
      <c r="E9" s="176"/>
      <c r="F9" s="176"/>
      <c r="G9" s="176"/>
      <c r="H9" s="176"/>
      <c r="I9" s="176"/>
    </row>
    <row r="10" spans="1:9" s="8" customFormat="1" x14ac:dyDescent="0.35">
      <c r="A10" s="7"/>
      <c r="B10" s="116" t="s">
        <v>205</v>
      </c>
      <c r="C10" s="176"/>
      <c r="D10" s="176"/>
      <c r="E10" s="176"/>
      <c r="F10" s="176"/>
      <c r="G10" s="176"/>
      <c r="H10" s="176"/>
      <c r="I10" s="176"/>
    </row>
    <row r="11" spans="1:9" s="8" customFormat="1" x14ac:dyDescent="0.35">
      <c r="A11" s="7"/>
      <c r="B11" s="173"/>
      <c r="C11" s="176"/>
      <c r="D11" s="176"/>
      <c r="E11" s="176"/>
      <c r="F11" s="176"/>
      <c r="G11" s="176"/>
      <c r="H11" s="176"/>
      <c r="I11" s="176"/>
    </row>
    <row r="12" spans="1:9" s="8" customFormat="1" x14ac:dyDescent="0.35">
      <c r="A12" s="7"/>
      <c r="B12" s="174" t="s">
        <v>74</v>
      </c>
      <c r="C12" s="176"/>
      <c r="D12" s="176"/>
      <c r="E12" s="176"/>
      <c r="F12" s="176"/>
      <c r="G12" s="176"/>
      <c r="H12" s="176"/>
      <c r="I12" s="176"/>
    </row>
    <row r="13" spans="1:9" s="8" customFormat="1" x14ac:dyDescent="0.35">
      <c r="A13" s="7"/>
      <c r="B13" s="116" t="s">
        <v>75</v>
      </c>
      <c r="C13" s="176"/>
      <c r="D13" s="176"/>
      <c r="E13" s="176"/>
      <c r="F13" s="176"/>
      <c r="G13" s="176"/>
      <c r="H13" s="176"/>
      <c r="I13" s="176"/>
    </row>
    <row r="14" spans="1:9" s="8" customFormat="1" x14ac:dyDescent="0.35">
      <c r="A14" s="7"/>
      <c r="B14" s="116" t="s">
        <v>76</v>
      </c>
      <c r="C14" s="176"/>
      <c r="D14" s="176"/>
      <c r="E14" s="176"/>
      <c r="F14" s="176"/>
      <c r="G14" s="176"/>
      <c r="H14" s="176"/>
      <c r="I14" s="176"/>
    </row>
    <row r="15" spans="1:9" s="8" customFormat="1" x14ac:dyDescent="0.35">
      <c r="A15" s="7"/>
      <c r="B15" s="173"/>
      <c r="C15" s="176"/>
      <c r="D15" s="176"/>
      <c r="E15" s="176"/>
      <c r="F15" s="176"/>
      <c r="G15" s="176"/>
      <c r="H15" s="176"/>
      <c r="I15" s="176"/>
    </row>
    <row r="16" spans="1:9" s="8" customFormat="1" x14ac:dyDescent="0.35">
      <c r="A16" s="7"/>
      <c r="B16" s="174" t="s">
        <v>77</v>
      </c>
      <c r="C16" s="176"/>
      <c r="D16" s="176"/>
      <c r="E16" s="176"/>
      <c r="F16" s="176"/>
      <c r="G16" s="176"/>
      <c r="H16" s="176"/>
      <c r="I16" s="176"/>
    </row>
    <row r="17" spans="2:2" s="8" customFormat="1" x14ac:dyDescent="0.35">
      <c r="B17" s="116" t="s">
        <v>78</v>
      </c>
    </row>
    <row r="18" spans="2:2" s="8" customFormat="1" x14ac:dyDescent="0.35">
      <c r="B18" s="116" t="s">
        <v>79</v>
      </c>
    </row>
    <row r="19" spans="2:2" s="8" customFormat="1" x14ac:dyDescent="0.35">
      <c r="B19" s="116" t="s">
        <v>80</v>
      </c>
    </row>
    <row r="20" spans="2:2" s="8" customFormat="1" x14ac:dyDescent="0.35">
      <c r="B20" s="173"/>
    </row>
    <row r="21" spans="2:2" s="8" customFormat="1" x14ac:dyDescent="0.35">
      <c r="B21" s="116" t="s">
        <v>81</v>
      </c>
    </row>
    <row r="22" spans="2:2" s="8" customFormat="1" x14ac:dyDescent="0.35">
      <c r="B22" s="174" t="s">
        <v>82</v>
      </c>
    </row>
    <row r="23" spans="2:2" s="8" customFormat="1" x14ac:dyDescent="0.35">
      <c r="B23" s="173"/>
    </row>
    <row r="24" spans="2:2" s="8" customFormat="1" x14ac:dyDescent="0.35">
      <c r="B24" s="174" t="s">
        <v>83</v>
      </c>
    </row>
    <row r="25" spans="2:2" s="8" customFormat="1" x14ac:dyDescent="0.35">
      <c r="B25" s="116" t="s">
        <v>84</v>
      </c>
    </row>
    <row r="26" spans="2:2" s="8" customFormat="1" x14ac:dyDescent="0.35">
      <c r="B26" s="116" t="s">
        <v>85</v>
      </c>
    </row>
    <row r="27" spans="2:2" s="8" customFormat="1" x14ac:dyDescent="0.35">
      <c r="B27" s="116" t="s">
        <v>86</v>
      </c>
    </row>
    <row r="28" spans="2:2" s="8" customFormat="1" x14ac:dyDescent="0.35">
      <c r="B28" s="174" t="s">
        <v>87</v>
      </c>
    </row>
    <row r="29" spans="2:2" s="8" customFormat="1" x14ac:dyDescent="0.35">
      <c r="B29" s="173"/>
    </row>
    <row r="30" spans="2:2" s="8" customFormat="1" x14ac:dyDescent="0.35">
      <c r="B30" s="174" t="s">
        <v>88</v>
      </c>
    </row>
    <row r="31" spans="2:2" s="8" customFormat="1" x14ac:dyDescent="0.35">
      <c r="B31" s="116" t="s">
        <v>89</v>
      </c>
    </row>
  </sheetData>
  <mergeCells count="2">
    <mergeCell ref="C1:D1"/>
    <mergeCell ref="E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"/>
  <sheetViews>
    <sheetView showGridLines="0" zoomScale="90" zoomScaleNormal="90" workbookViewId="0">
      <selection activeCell="D17" sqref="D17"/>
    </sheetView>
  </sheetViews>
  <sheetFormatPr defaultColWidth="0" defaultRowHeight="14.5" zeroHeight="1" x14ac:dyDescent="0.35"/>
  <cols>
    <col min="1" max="1" width="3.54296875" customWidth="1"/>
    <col min="2" max="2" width="54.54296875" customWidth="1"/>
    <col min="3" max="5" width="12.453125" bestFit="1" customWidth="1"/>
    <col min="6" max="10" width="12.26953125" bestFit="1" customWidth="1"/>
    <col min="11" max="11" width="9.1796875" customWidth="1"/>
    <col min="12" max="12" width="0" hidden="1" customWidth="1"/>
    <col min="13" max="16384" width="9.1796875" hidden="1"/>
  </cols>
  <sheetData>
    <row r="1" spans="1:10" ht="31.5" customHeight="1" x14ac:dyDescent="0.6">
      <c r="A1" s="66" t="str">
        <f>Index!A1</f>
        <v>TESLA Inc. Financial Modeling</v>
      </c>
      <c r="B1" s="66"/>
      <c r="C1" s="304" t="s">
        <v>18</v>
      </c>
      <c r="D1" s="304"/>
      <c r="E1" s="304"/>
      <c r="F1" s="304" t="s">
        <v>66</v>
      </c>
      <c r="G1" s="304"/>
      <c r="H1" s="304"/>
      <c r="I1" s="304"/>
      <c r="J1" s="304"/>
    </row>
    <row r="2" spans="1:10" x14ac:dyDescent="0.35">
      <c r="A2" s="67" t="s">
        <v>67</v>
      </c>
      <c r="B2" s="73"/>
      <c r="C2" s="68">
        <v>2021</v>
      </c>
      <c r="D2" s="68">
        <f t="shared" ref="D2:J2" si="0">C2+1</f>
        <v>2022</v>
      </c>
      <c r="E2" s="68">
        <f t="shared" si="0"/>
        <v>2023</v>
      </c>
      <c r="F2" s="68">
        <f t="shared" si="0"/>
        <v>2024</v>
      </c>
      <c r="G2" s="68">
        <f t="shared" si="0"/>
        <v>2025</v>
      </c>
      <c r="H2" s="68">
        <f t="shared" si="0"/>
        <v>2026</v>
      </c>
      <c r="I2" s="68">
        <f t="shared" si="0"/>
        <v>2027</v>
      </c>
      <c r="J2" s="68">
        <f t="shared" si="0"/>
        <v>2028</v>
      </c>
    </row>
    <row r="3" spans="1:10" x14ac:dyDescent="0.35">
      <c r="B3" s="75" t="s">
        <v>90</v>
      </c>
      <c r="C3" s="64"/>
      <c r="D3" s="51"/>
      <c r="E3" s="51"/>
      <c r="F3" s="51"/>
      <c r="G3" s="51"/>
      <c r="H3" s="51"/>
      <c r="I3" s="51"/>
      <c r="J3" s="51"/>
    </row>
    <row r="4" spans="1:10" x14ac:dyDescent="0.35">
      <c r="B4" s="51" t="s">
        <v>234</v>
      </c>
      <c r="C4" s="1">
        <v>44125</v>
      </c>
      <c r="D4" s="1">
        <v>67210</v>
      </c>
      <c r="E4" s="1">
        <v>78509</v>
      </c>
      <c r="F4" s="136">
        <f>E4*(1+F5)</f>
        <v>90285.349999999991</v>
      </c>
      <c r="G4" s="136">
        <f t="shared" ref="G4:J4" si="1">F4*(1+G5)</f>
        <v>103828.15249999998</v>
      </c>
      <c r="H4" s="136">
        <f t="shared" si="1"/>
        <v>119402.37537499997</v>
      </c>
      <c r="I4" s="136">
        <f t="shared" si="1"/>
        <v>137312.73168124995</v>
      </c>
      <c r="J4" s="136">
        <f t="shared" si="1"/>
        <v>157909.64143343744</v>
      </c>
    </row>
    <row r="5" spans="1:10" x14ac:dyDescent="0.35">
      <c r="B5" s="51"/>
      <c r="C5" s="134"/>
      <c r="D5" s="87">
        <f>D4/C4-1</f>
        <v>0.52317280453257786</v>
      </c>
      <c r="E5" s="87">
        <f>E4/D4-1</f>
        <v>0.16811486385954466</v>
      </c>
      <c r="F5" s="137">
        <f>0.15</f>
        <v>0.15</v>
      </c>
      <c r="G5" s="137">
        <f t="shared" ref="G5:J5" si="2">0.15</f>
        <v>0.15</v>
      </c>
      <c r="H5" s="137">
        <f t="shared" si="2"/>
        <v>0.15</v>
      </c>
      <c r="I5" s="137">
        <f t="shared" si="2"/>
        <v>0.15</v>
      </c>
      <c r="J5" s="137">
        <f t="shared" si="2"/>
        <v>0.15</v>
      </c>
    </row>
    <row r="6" spans="1:10" x14ac:dyDescent="0.35">
      <c r="B6" s="51" t="s">
        <v>235</v>
      </c>
      <c r="C6" s="52">
        <v>1465</v>
      </c>
      <c r="D6" s="52">
        <v>1776</v>
      </c>
      <c r="E6" s="52">
        <v>1790</v>
      </c>
      <c r="F6" s="136">
        <f>E6*(1+F7)</f>
        <v>1879.5</v>
      </c>
      <c r="G6" s="136">
        <f t="shared" ref="G6:J6" si="3">F6*(1+G7)</f>
        <v>1973.4750000000001</v>
      </c>
      <c r="H6" s="136">
        <f t="shared" si="3"/>
        <v>2072.1487500000003</v>
      </c>
      <c r="I6" s="136">
        <f t="shared" si="3"/>
        <v>2175.7561875000006</v>
      </c>
      <c r="J6" s="136">
        <f t="shared" si="3"/>
        <v>2284.5439968750006</v>
      </c>
    </row>
    <row r="7" spans="1:10" x14ac:dyDescent="0.35">
      <c r="B7" s="51"/>
      <c r="C7" s="51"/>
      <c r="D7" s="87">
        <f>D6/C6-1</f>
        <v>0.21228668941979523</v>
      </c>
      <c r="E7" s="87">
        <f>E6/D6-1</f>
        <v>7.8828828828829689E-3</v>
      </c>
      <c r="F7" s="137">
        <f>0.05</f>
        <v>0.05</v>
      </c>
      <c r="G7" s="137">
        <f t="shared" ref="G7:J7" si="4">0.05</f>
        <v>0.05</v>
      </c>
      <c r="H7" s="137">
        <f t="shared" si="4"/>
        <v>0.05</v>
      </c>
      <c r="I7" s="137">
        <f t="shared" si="4"/>
        <v>0.05</v>
      </c>
      <c r="J7" s="137">
        <f t="shared" si="4"/>
        <v>0.05</v>
      </c>
    </row>
    <row r="8" spans="1:10" x14ac:dyDescent="0.35">
      <c r="B8" s="51" t="s">
        <v>239</v>
      </c>
      <c r="C8" s="52">
        <v>1642</v>
      </c>
      <c r="D8" s="52">
        <v>2476</v>
      </c>
      <c r="E8" s="52">
        <v>2120</v>
      </c>
      <c r="F8" s="136">
        <f>E8*(1+F9)</f>
        <v>3074</v>
      </c>
      <c r="G8" s="136">
        <f t="shared" ref="G8:J8" si="5">F8*(1+G9)</f>
        <v>4457.3</v>
      </c>
      <c r="H8" s="136">
        <f t="shared" si="5"/>
        <v>6463.085</v>
      </c>
      <c r="I8" s="136">
        <f t="shared" si="5"/>
        <v>9371.4732499999991</v>
      </c>
      <c r="J8" s="136">
        <f t="shared" si="5"/>
        <v>13588.636212499998</v>
      </c>
    </row>
    <row r="9" spans="1:10" x14ac:dyDescent="0.35">
      <c r="B9" s="51"/>
      <c r="C9" s="134"/>
      <c r="D9" s="87">
        <f>D14/C14-1</f>
        <v>0.48135146994295752</v>
      </c>
      <c r="E9" s="87">
        <f>E14/D14-1</f>
        <v>0.63359004739336489</v>
      </c>
      <c r="F9" s="137">
        <f>0.45</f>
        <v>0.45</v>
      </c>
      <c r="G9" s="137">
        <f t="shared" ref="G9:J9" si="6">0.45</f>
        <v>0.45</v>
      </c>
      <c r="H9" s="137">
        <f t="shared" si="6"/>
        <v>0.45</v>
      </c>
      <c r="I9" s="137">
        <f t="shared" si="6"/>
        <v>0.45</v>
      </c>
      <c r="J9" s="137">
        <f t="shared" si="6"/>
        <v>0.45</v>
      </c>
    </row>
    <row r="10" spans="1:10" x14ac:dyDescent="0.35">
      <c r="B10" t="s">
        <v>237</v>
      </c>
      <c r="C10" s="1">
        <v>3802</v>
      </c>
      <c r="D10" s="1">
        <v>6091</v>
      </c>
      <c r="E10" s="1">
        <v>8319</v>
      </c>
      <c r="F10" s="136">
        <f>E10*(1+F11)</f>
        <v>11230.650000000001</v>
      </c>
      <c r="G10" s="136">
        <f t="shared" ref="G10:J10" si="7">F10*(1+G11)</f>
        <v>15161.377500000002</v>
      </c>
      <c r="H10" s="136">
        <f t="shared" si="7"/>
        <v>20467.859625000005</v>
      </c>
      <c r="I10" s="136">
        <f t="shared" si="7"/>
        <v>27631.610493750009</v>
      </c>
      <c r="J10" s="136">
        <f t="shared" si="7"/>
        <v>37302.674166562516</v>
      </c>
    </row>
    <row r="11" spans="1:10" ht="15" thickBot="1" x14ac:dyDescent="0.4">
      <c r="B11" s="51"/>
      <c r="C11" s="177"/>
      <c r="D11" s="87">
        <f>D10/C10-1</f>
        <v>0.60205155181483438</v>
      </c>
      <c r="E11" s="87">
        <f>E10/D10-1</f>
        <v>0.36578558528977179</v>
      </c>
      <c r="F11" s="178">
        <f>0.35</f>
        <v>0.35</v>
      </c>
      <c r="G11" s="178">
        <f t="shared" ref="G11:J11" si="8">0.35</f>
        <v>0.35</v>
      </c>
      <c r="H11" s="178">
        <f t="shared" si="8"/>
        <v>0.35</v>
      </c>
      <c r="I11" s="178">
        <f t="shared" si="8"/>
        <v>0.35</v>
      </c>
      <c r="J11" s="178">
        <f t="shared" si="8"/>
        <v>0.35</v>
      </c>
    </row>
    <row r="12" spans="1:10" x14ac:dyDescent="0.35">
      <c r="B12" s="65" t="s">
        <v>238</v>
      </c>
      <c r="C12" s="179">
        <f t="shared" ref="C12:J12" si="9">SUM(C4,C6,C14,C10)</f>
        <v>51671</v>
      </c>
      <c r="D12" s="179">
        <f t="shared" si="9"/>
        <v>78453</v>
      </c>
      <c r="E12" s="179">
        <f t="shared" si="9"/>
        <v>94133</v>
      </c>
      <c r="F12" s="179">
        <f t="shared" si="9"/>
        <v>109075.94999999998</v>
      </c>
      <c r="G12" s="179">
        <f t="shared" si="9"/>
        <v>126813.8685</v>
      </c>
      <c r="H12" s="179">
        <f t="shared" si="9"/>
        <v>147968.77315499997</v>
      </c>
      <c r="I12" s="179">
        <f t="shared" si="9"/>
        <v>173327.27944964997</v>
      </c>
      <c r="J12" s="179">
        <f t="shared" si="9"/>
        <v>203890.25611663947</v>
      </c>
    </row>
    <row r="13" spans="1:10" x14ac:dyDescent="0.35">
      <c r="B13" s="9"/>
      <c r="C13" s="135"/>
      <c r="D13" s="135"/>
      <c r="E13" s="135"/>
      <c r="F13" s="136"/>
      <c r="G13" s="136"/>
      <c r="H13" s="136"/>
      <c r="I13" s="136"/>
      <c r="J13" s="136"/>
    </row>
    <row r="14" spans="1:10" x14ac:dyDescent="0.35">
      <c r="B14" t="s">
        <v>236</v>
      </c>
      <c r="C14" s="1">
        <v>2279</v>
      </c>
      <c r="D14" s="1">
        <v>3376</v>
      </c>
      <c r="E14" s="1">
        <v>5515</v>
      </c>
      <c r="F14" s="136">
        <f>E14*(1+F15)</f>
        <v>5680.45</v>
      </c>
      <c r="G14" s="136">
        <f t="shared" ref="G14:J14" si="10">F14*(1+G15)</f>
        <v>5850.8635000000004</v>
      </c>
      <c r="H14" s="136">
        <f t="shared" si="10"/>
        <v>6026.3894050000008</v>
      </c>
      <c r="I14" s="136">
        <f t="shared" si="10"/>
        <v>6207.1810871500011</v>
      </c>
      <c r="J14" s="136">
        <f t="shared" si="10"/>
        <v>6393.3965197645011</v>
      </c>
    </row>
    <row r="15" spans="1:10" x14ac:dyDescent="0.35">
      <c r="B15" s="51"/>
      <c r="C15" s="134"/>
      <c r="D15" s="87">
        <f>D8/C8-1</f>
        <v>0.50791717417783189</v>
      </c>
      <c r="E15" s="87">
        <f>E8/D8-1</f>
        <v>-0.14378029079159937</v>
      </c>
      <c r="F15" s="137">
        <f>0.03</f>
        <v>0.03</v>
      </c>
      <c r="G15" s="137">
        <f t="shared" ref="G15:J15" si="11">0.03</f>
        <v>0.03</v>
      </c>
      <c r="H15" s="137">
        <f t="shared" si="11"/>
        <v>0.03</v>
      </c>
      <c r="I15" s="137">
        <f t="shared" si="11"/>
        <v>0.03</v>
      </c>
      <c r="J15" s="137">
        <f t="shared" si="11"/>
        <v>0.03</v>
      </c>
    </row>
    <row r="16" spans="1:10" x14ac:dyDescent="0.35">
      <c r="B16" t="s">
        <v>240</v>
      </c>
      <c r="C16">
        <v>510</v>
      </c>
      <c r="D16">
        <v>533</v>
      </c>
      <c r="E16">
        <v>520</v>
      </c>
      <c r="F16" s="136">
        <f>E16*(1+F17)</f>
        <v>535.6</v>
      </c>
      <c r="G16" s="136">
        <f t="shared" ref="G16:J16" si="12">F16*(1+G17)</f>
        <v>551.66800000000001</v>
      </c>
      <c r="H16" s="136">
        <f t="shared" si="12"/>
        <v>568.21803999999997</v>
      </c>
      <c r="I16" s="136">
        <f t="shared" si="12"/>
        <v>585.26458119999995</v>
      </c>
      <c r="J16" s="136">
        <f t="shared" si="12"/>
        <v>602.82251863599993</v>
      </c>
    </row>
    <row r="17" spans="2:10" ht="15" thickBot="1" x14ac:dyDescent="0.4">
      <c r="B17" s="51"/>
      <c r="C17" s="177"/>
      <c r="D17" s="180">
        <f>D16/C16-1</f>
        <v>4.5098039215686336E-2</v>
      </c>
      <c r="E17" s="180">
        <f>E16/D16-1</f>
        <v>-2.4390243902439046E-2</v>
      </c>
      <c r="F17" s="178">
        <f>0.03</f>
        <v>0.03</v>
      </c>
      <c r="G17" s="178">
        <f t="shared" ref="G17:J17" si="13">0.03</f>
        <v>0.03</v>
      </c>
      <c r="H17" s="178">
        <f t="shared" si="13"/>
        <v>0.03</v>
      </c>
      <c r="I17" s="178">
        <f t="shared" si="13"/>
        <v>0.03</v>
      </c>
      <c r="J17" s="178">
        <f t="shared" si="13"/>
        <v>0.03</v>
      </c>
    </row>
    <row r="18" spans="2:10" x14ac:dyDescent="0.35">
      <c r="B18" s="65" t="s">
        <v>229</v>
      </c>
      <c r="C18" s="181">
        <f t="shared" ref="C18:J18" si="14">SUM(C16,C8,C12)</f>
        <v>53823</v>
      </c>
      <c r="D18" s="181">
        <f t="shared" si="14"/>
        <v>81462</v>
      </c>
      <c r="E18" s="181">
        <f t="shared" si="14"/>
        <v>96773</v>
      </c>
      <c r="F18" s="181">
        <f t="shared" si="14"/>
        <v>112685.54999999999</v>
      </c>
      <c r="G18" s="181">
        <f t="shared" si="14"/>
        <v>131822.8365</v>
      </c>
      <c r="H18" s="181">
        <f t="shared" si="14"/>
        <v>155000.07619499997</v>
      </c>
      <c r="I18" s="181">
        <f t="shared" si="14"/>
        <v>183284.01728084998</v>
      </c>
      <c r="J18" s="181">
        <f t="shared" si="14"/>
        <v>218081.71484777547</v>
      </c>
    </row>
  </sheetData>
  <mergeCells count="2">
    <mergeCell ref="F1:J1"/>
    <mergeCell ref="C1:E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4"/>
  <sheetViews>
    <sheetView showGridLines="0" topLeftCell="A2" zoomScale="90" zoomScaleNormal="90" workbookViewId="0">
      <selection activeCell="G22" sqref="G22"/>
    </sheetView>
  </sheetViews>
  <sheetFormatPr defaultColWidth="0" defaultRowHeight="14.5" zeroHeight="1" x14ac:dyDescent="0.35"/>
  <cols>
    <col min="1" max="1" width="3.54296875" customWidth="1"/>
    <col min="2" max="2" width="54.54296875" customWidth="1"/>
    <col min="3" max="3" width="12.54296875" bestFit="1" customWidth="1"/>
    <col min="4" max="5" width="12.453125" bestFit="1" customWidth="1"/>
    <col min="6" max="10" width="12" bestFit="1" customWidth="1"/>
    <col min="11" max="11" width="9.1796875" style="5" customWidth="1"/>
    <col min="12" max="16384" width="9.1796875" hidden="1"/>
  </cols>
  <sheetData>
    <row r="1" spans="1:10" ht="31.5" customHeight="1" x14ac:dyDescent="0.6">
      <c r="A1" s="66" t="str">
        <f>Index!A1</f>
        <v>TESLA Inc. Financial Modeling</v>
      </c>
      <c r="B1" s="66"/>
      <c r="C1" s="304" t="s">
        <v>18</v>
      </c>
      <c r="D1" s="304"/>
      <c r="E1" s="304"/>
      <c r="F1" s="304" t="s">
        <v>66</v>
      </c>
      <c r="G1" s="304"/>
      <c r="H1" s="304"/>
      <c r="I1" s="304"/>
      <c r="J1" s="304"/>
    </row>
    <row r="2" spans="1:10" x14ac:dyDescent="0.35">
      <c r="A2" s="67" t="s">
        <v>67</v>
      </c>
      <c r="B2" s="73"/>
      <c r="C2" s="74">
        <v>2021</v>
      </c>
      <c r="D2" s="68">
        <f t="shared" ref="D2:J2" si="0">C2+1</f>
        <v>2022</v>
      </c>
      <c r="E2" s="68">
        <f t="shared" si="0"/>
        <v>2023</v>
      </c>
      <c r="F2" s="68">
        <f t="shared" si="0"/>
        <v>2024</v>
      </c>
      <c r="G2" s="68">
        <f t="shared" si="0"/>
        <v>2025</v>
      </c>
      <c r="H2" s="68">
        <f t="shared" si="0"/>
        <v>2026</v>
      </c>
      <c r="I2" s="68">
        <f t="shared" si="0"/>
        <v>2027</v>
      </c>
      <c r="J2" s="68">
        <f t="shared" si="0"/>
        <v>2028</v>
      </c>
    </row>
    <row r="3" spans="1:10" x14ac:dyDescent="0.35"/>
    <row r="4" spans="1:10" x14ac:dyDescent="0.35">
      <c r="B4" s="63" t="s">
        <v>241</v>
      </c>
      <c r="C4" s="51"/>
      <c r="D4" s="51"/>
      <c r="E4" s="51"/>
      <c r="F4" s="51"/>
      <c r="G4" s="51"/>
      <c r="H4" s="51"/>
      <c r="I4" s="51"/>
      <c r="J4" s="51"/>
    </row>
    <row r="5" spans="1:10" x14ac:dyDescent="0.35">
      <c r="B5" s="9" t="s">
        <v>242</v>
      </c>
      <c r="C5" s="182">
        <f>'Income Statement'!C4</f>
        <v>47232</v>
      </c>
      <c r="D5" s="182">
        <f>'Income Statement'!D4</f>
        <v>71462</v>
      </c>
      <c r="E5" s="182">
        <f>'Income Statement'!E4</f>
        <v>82419</v>
      </c>
      <c r="F5" s="183">
        <f>'Income Statement'!F4</f>
        <v>95238.849999999991</v>
      </c>
      <c r="G5" s="183">
        <f>'Income Statement'!G4</f>
        <v>110258.92749999999</v>
      </c>
      <c r="H5" s="183">
        <f>'Income Statement'!H4</f>
        <v>127937.60912499997</v>
      </c>
      <c r="I5" s="183">
        <f>'Income Statement'!I4</f>
        <v>148859.96111874995</v>
      </c>
      <c r="J5" s="183">
        <f>'Income Statement'!J4</f>
        <v>173782.82164281243</v>
      </c>
    </row>
    <row r="6" spans="1:10" x14ac:dyDescent="0.35">
      <c r="B6" s="9" t="s">
        <v>243</v>
      </c>
      <c r="C6" s="182">
        <f>'Income Statement'!C5</f>
        <v>2789</v>
      </c>
      <c r="D6" s="182">
        <f>'Income Statement'!D5</f>
        <v>3909</v>
      </c>
      <c r="E6" s="182">
        <f>'Income Statement'!E5</f>
        <v>6035</v>
      </c>
      <c r="F6" s="183">
        <f>'Income Statement'!F5</f>
        <v>6216.05</v>
      </c>
      <c r="G6" s="183">
        <f>'Income Statement'!G5</f>
        <v>6402.5315000000001</v>
      </c>
      <c r="H6" s="183">
        <f>'Income Statement'!H5</f>
        <v>6594.6074450000006</v>
      </c>
      <c r="I6" s="183">
        <f>'Income Statement'!I5</f>
        <v>6792.4456683500011</v>
      </c>
      <c r="J6" s="183">
        <f>'Income Statement'!J5</f>
        <v>6996.2190384005007</v>
      </c>
    </row>
    <row r="7" spans="1:10" x14ac:dyDescent="0.35">
      <c r="B7" s="9" t="s">
        <v>0</v>
      </c>
      <c r="C7" s="182">
        <f>'Income Statement'!C6</f>
        <v>3802</v>
      </c>
      <c r="D7" s="182">
        <f>'Income Statement'!D6</f>
        <v>6091</v>
      </c>
      <c r="E7" s="182">
        <f>'Income Statement'!E6</f>
        <v>8319</v>
      </c>
      <c r="F7" s="183">
        <f>'Income Statement'!F6</f>
        <v>11230.650000000001</v>
      </c>
      <c r="G7" s="183">
        <f>'Income Statement'!G6</f>
        <v>15161.377500000002</v>
      </c>
      <c r="H7" s="183">
        <f>'Income Statement'!H6</f>
        <v>20467.859625000005</v>
      </c>
      <c r="I7" s="183">
        <f>'Income Statement'!I6</f>
        <v>27631.610493750009</v>
      </c>
      <c r="J7" s="183">
        <f>'Income Statement'!J6</f>
        <v>37302.674166562516</v>
      </c>
    </row>
    <row r="8" spans="1:10" x14ac:dyDescent="0.35">
      <c r="B8" s="78" t="s">
        <v>130</v>
      </c>
      <c r="C8" s="139">
        <f>SUM(C5:C7)</f>
        <v>53823</v>
      </c>
      <c r="D8" s="139">
        <f t="shared" ref="D8:J8" si="1">SUM(D5:D7)</f>
        <v>81462</v>
      </c>
      <c r="E8" s="139">
        <f t="shared" si="1"/>
        <v>96773</v>
      </c>
      <c r="F8" s="139">
        <f t="shared" si="1"/>
        <v>112685.54999999999</v>
      </c>
      <c r="G8" s="139">
        <f t="shared" si="1"/>
        <v>131822.83649999998</v>
      </c>
      <c r="H8" s="139">
        <f t="shared" si="1"/>
        <v>155000.07619499997</v>
      </c>
      <c r="I8" s="139">
        <f t="shared" si="1"/>
        <v>183284.01728084998</v>
      </c>
      <c r="J8" s="139">
        <f t="shared" si="1"/>
        <v>218081.71484777547</v>
      </c>
    </row>
    <row r="9" spans="1:10" x14ac:dyDescent="0.35">
      <c r="B9" s="9"/>
      <c r="C9" s="84"/>
      <c r="D9" s="61"/>
      <c r="E9" s="61"/>
      <c r="F9" s="85"/>
      <c r="G9" s="85"/>
      <c r="H9" s="85"/>
      <c r="I9" s="85"/>
      <c r="J9" s="85"/>
    </row>
    <row r="10" spans="1:10" x14ac:dyDescent="0.35">
      <c r="B10" s="63" t="s">
        <v>230</v>
      </c>
      <c r="C10" s="84"/>
      <c r="D10" s="61"/>
      <c r="E10" s="61"/>
      <c r="F10" s="85"/>
      <c r="G10" s="85"/>
      <c r="H10" s="85"/>
      <c r="I10" s="85"/>
      <c r="J10" s="85"/>
    </row>
    <row r="11" spans="1:10" x14ac:dyDescent="0.35">
      <c r="B11" s="9" t="s">
        <v>242</v>
      </c>
      <c r="C11" s="138">
        <f>'Income Statement'!C10</f>
        <v>33393</v>
      </c>
      <c r="D11" s="138">
        <f>'Income Statement'!D10</f>
        <v>51108</v>
      </c>
      <c r="E11" s="138">
        <f>'Income Statement'!E10</f>
        <v>66389</v>
      </c>
      <c r="F11" s="136">
        <f>F5*F12</f>
        <v>76191.08</v>
      </c>
      <c r="G11" s="136">
        <f t="shared" ref="G11:J11" si="2">G5*G12</f>
        <v>88207.141999999993</v>
      </c>
      <c r="H11" s="136">
        <f t="shared" si="2"/>
        <v>102350.08729999998</v>
      </c>
      <c r="I11" s="136">
        <f t="shared" si="2"/>
        <v>119087.96889499997</v>
      </c>
      <c r="J11" s="136">
        <f t="shared" si="2"/>
        <v>139026.25731424996</v>
      </c>
    </row>
    <row r="12" spans="1:10" x14ac:dyDescent="0.35">
      <c r="B12" s="9" t="s">
        <v>97</v>
      </c>
      <c r="C12" s="43">
        <f>C11/C5</f>
        <v>0.70699949186991873</v>
      </c>
      <c r="D12" s="43">
        <f t="shared" ref="D12:E12" si="3">D11/D5</f>
        <v>0.71517729702499233</v>
      </c>
      <c r="E12" s="43">
        <f t="shared" si="3"/>
        <v>0.80550601196326088</v>
      </c>
      <c r="F12" s="87">
        <f>0.8</f>
        <v>0.8</v>
      </c>
      <c r="G12" s="87">
        <f t="shared" ref="G12:J12" si="4">0.8</f>
        <v>0.8</v>
      </c>
      <c r="H12" s="87">
        <f t="shared" si="4"/>
        <v>0.8</v>
      </c>
      <c r="I12" s="87">
        <f t="shared" si="4"/>
        <v>0.8</v>
      </c>
      <c r="J12" s="87">
        <f t="shared" si="4"/>
        <v>0.8</v>
      </c>
    </row>
    <row r="13" spans="1:10" x14ac:dyDescent="0.35">
      <c r="B13" s="9"/>
      <c r="C13" s="43"/>
      <c r="D13" s="43"/>
      <c r="E13" s="43"/>
      <c r="F13" s="44"/>
      <c r="G13" s="44"/>
      <c r="H13" s="44"/>
      <c r="I13" s="44"/>
      <c r="J13" s="44"/>
    </row>
    <row r="14" spans="1:10" x14ac:dyDescent="0.35">
      <c r="B14" s="9" t="s">
        <v>243</v>
      </c>
      <c r="C14" s="138">
        <f>'Income Statement'!C11</f>
        <v>2918</v>
      </c>
      <c r="D14" s="138">
        <f>'Income Statement'!D11</f>
        <v>3621</v>
      </c>
      <c r="E14" s="138">
        <f>'Income Statement'!E11</f>
        <v>4894</v>
      </c>
      <c r="F14" s="136">
        <f>F15*F6</f>
        <v>4972.84</v>
      </c>
      <c r="G14" s="136">
        <f t="shared" ref="G14:J14" si="5">G15*G6</f>
        <v>5122.0252</v>
      </c>
      <c r="H14" s="136">
        <f t="shared" si="5"/>
        <v>5275.6859560000012</v>
      </c>
      <c r="I14" s="136">
        <f t="shared" si="5"/>
        <v>5433.9565346800009</v>
      </c>
      <c r="J14" s="136">
        <f t="shared" si="5"/>
        <v>5596.9752307204008</v>
      </c>
    </row>
    <row r="15" spans="1:10" x14ac:dyDescent="0.35">
      <c r="B15" s="9" t="s">
        <v>97</v>
      </c>
      <c r="C15" s="43">
        <f>C14/C6</f>
        <v>1.0462531373252062</v>
      </c>
      <c r="D15" s="43">
        <f>D14/D6</f>
        <v>0.92632386799693012</v>
      </c>
      <c r="E15" s="43">
        <f>E14/E6</f>
        <v>0.81093620546810274</v>
      </c>
      <c r="F15" s="88">
        <f>0.8</f>
        <v>0.8</v>
      </c>
      <c r="G15" s="88">
        <f t="shared" ref="G15:J15" si="6">0.8</f>
        <v>0.8</v>
      </c>
      <c r="H15" s="88">
        <f t="shared" si="6"/>
        <v>0.8</v>
      </c>
      <c r="I15" s="88">
        <f t="shared" si="6"/>
        <v>0.8</v>
      </c>
      <c r="J15" s="88">
        <f t="shared" si="6"/>
        <v>0.8</v>
      </c>
    </row>
    <row r="17" spans="2:10" x14ac:dyDescent="0.35">
      <c r="B17" s="9" t="s">
        <v>0</v>
      </c>
      <c r="C17" s="138">
        <f>'Income Statement'!C12</f>
        <v>3906</v>
      </c>
      <c r="D17" s="138">
        <f>'Income Statement'!D12</f>
        <v>5880</v>
      </c>
      <c r="E17" s="138">
        <f>'Income Statement'!E12</f>
        <v>7830</v>
      </c>
      <c r="F17" s="136">
        <f>F18*F7</f>
        <v>10107.585000000001</v>
      </c>
      <c r="G17" s="136">
        <f t="shared" ref="G17:J17" si="7">G18*G7</f>
        <v>13645.239750000002</v>
      </c>
      <c r="H17" s="136">
        <f t="shared" si="7"/>
        <v>18421.073662500006</v>
      </c>
      <c r="I17" s="136">
        <f t="shared" si="7"/>
        <v>24868.449444375008</v>
      </c>
      <c r="J17" s="136">
        <f t="shared" si="7"/>
        <v>33572.406749906266</v>
      </c>
    </row>
    <row r="18" spans="2:10" x14ac:dyDescent="0.35">
      <c r="B18" s="9" t="s">
        <v>97</v>
      </c>
      <c r="C18" s="43">
        <f>C17/C7</f>
        <v>1.0273540241977905</v>
      </c>
      <c r="D18" s="43">
        <f t="shared" ref="D18:E18" si="8">D17/D7</f>
        <v>0.96535872598916439</v>
      </c>
      <c r="E18" s="43">
        <f t="shared" si="8"/>
        <v>0.94121889650198343</v>
      </c>
      <c r="F18" s="88">
        <f>0.9</f>
        <v>0.9</v>
      </c>
      <c r="G18" s="88">
        <f t="shared" ref="G18:J18" si="9">0.9</f>
        <v>0.9</v>
      </c>
      <c r="H18" s="88">
        <f t="shared" si="9"/>
        <v>0.9</v>
      </c>
      <c r="I18" s="88">
        <f t="shared" si="9"/>
        <v>0.9</v>
      </c>
      <c r="J18" s="88">
        <f t="shared" si="9"/>
        <v>0.9</v>
      </c>
    </row>
    <row r="19" spans="2:10" x14ac:dyDescent="0.35">
      <c r="B19" s="9"/>
      <c r="C19" s="43"/>
      <c r="D19" s="43"/>
      <c r="E19" s="43"/>
      <c r="F19" s="86"/>
      <c r="G19" s="86"/>
      <c r="H19" s="86"/>
      <c r="I19" s="86"/>
      <c r="J19" s="86"/>
    </row>
    <row r="20" spans="2:10" x14ac:dyDescent="0.35">
      <c r="B20" s="63" t="s">
        <v>231</v>
      </c>
      <c r="C20" s="42"/>
      <c r="D20" s="42"/>
      <c r="E20" s="42"/>
      <c r="F20" s="42"/>
      <c r="G20" s="42"/>
      <c r="H20" s="42"/>
      <c r="I20" s="42"/>
      <c r="J20" s="42"/>
    </row>
    <row r="21" spans="2:10" x14ac:dyDescent="0.35">
      <c r="B21" s="9" t="s">
        <v>5</v>
      </c>
      <c r="C21" s="138">
        <v>2593</v>
      </c>
      <c r="D21" s="138">
        <v>3075</v>
      </c>
      <c r="E21" s="138">
        <v>3969</v>
      </c>
      <c r="F21" s="136">
        <f>F22*F8</f>
        <v>4507.4219999999996</v>
      </c>
      <c r="G21" s="136">
        <f t="shared" ref="G21:J21" si="10">G22*G8</f>
        <v>5272.9134599999988</v>
      </c>
      <c r="H21" s="136">
        <f t="shared" si="10"/>
        <v>6200.003047799999</v>
      </c>
      <c r="I21" s="136">
        <f t="shared" si="10"/>
        <v>7331.3606912339992</v>
      </c>
      <c r="J21" s="136">
        <f t="shared" si="10"/>
        <v>8723.2685939110197</v>
      </c>
    </row>
    <row r="22" spans="2:10" x14ac:dyDescent="0.35">
      <c r="B22" s="9" t="s">
        <v>97</v>
      </c>
      <c r="C22" s="43">
        <f>C21/C8</f>
        <v>4.817643015067908E-2</v>
      </c>
      <c r="D22" s="43">
        <f t="shared" ref="D22:E22" si="11">D21/D8</f>
        <v>3.7747661486337188E-2</v>
      </c>
      <c r="E22" s="43">
        <f t="shared" si="11"/>
        <v>4.1013505833238609E-2</v>
      </c>
      <c r="F22" s="87">
        <f>0.04</f>
        <v>0.04</v>
      </c>
      <c r="G22" s="87">
        <f t="shared" ref="G22:J22" si="12">0.04</f>
        <v>0.04</v>
      </c>
      <c r="H22" s="87">
        <f t="shared" si="12"/>
        <v>0.04</v>
      </c>
      <c r="I22" s="87">
        <f t="shared" si="12"/>
        <v>0.04</v>
      </c>
      <c r="J22" s="87">
        <f t="shared" si="12"/>
        <v>0.04</v>
      </c>
    </row>
    <row r="23" spans="2:10" x14ac:dyDescent="0.35">
      <c r="B23" s="9"/>
      <c r="C23" s="43"/>
      <c r="D23" s="43"/>
      <c r="E23" s="43"/>
      <c r="F23" s="87"/>
      <c r="G23" s="87"/>
      <c r="H23" s="87"/>
      <c r="I23" s="87"/>
      <c r="J23" s="87"/>
    </row>
    <row r="24" spans="2:10" ht="15.75" customHeight="1" x14ac:dyDescent="0.35">
      <c r="B24" s="9" t="s">
        <v>6</v>
      </c>
      <c r="C24" s="138">
        <v>4517</v>
      </c>
      <c r="D24" s="138">
        <v>3946</v>
      </c>
      <c r="E24" s="138">
        <v>4800</v>
      </c>
      <c r="F24" s="136">
        <f>F25*F8</f>
        <v>5634.2775000000001</v>
      </c>
      <c r="G24" s="136">
        <f t="shared" ref="G24:J24" si="13">G25*G8</f>
        <v>6591.1418249999988</v>
      </c>
      <c r="H24" s="136">
        <f t="shared" si="13"/>
        <v>7750.0038097499992</v>
      </c>
      <c r="I24" s="136">
        <f t="shared" si="13"/>
        <v>9164.2008640424992</v>
      </c>
      <c r="J24" s="136">
        <f t="shared" si="13"/>
        <v>10904.085742388774</v>
      </c>
    </row>
    <row r="25" spans="2:10" x14ac:dyDescent="0.35">
      <c r="B25" s="9" t="s">
        <v>97</v>
      </c>
      <c r="C25" s="43">
        <f>C24/C8</f>
        <v>8.3923229845976624E-2</v>
      </c>
      <c r="D25" s="43">
        <f t="shared" ref="D25:E25" si="14">D24/D8</f>
        <v>4.8439763325231394E-2</v>
      </c>
      <c r="E25" s="43">
        <f t="shared" si="14"/>
        <v>4.9600611740878139E-2</v>
      </c>
      <c r="F25" s="87">
        <f>0.05</f>
        <v>0.05</v>
      </c>
      <c r="G25" s="87">
        <f t="shared" ref="G25:J25" si="15">0.05</f>
        <v>0.05</v>
      </c>
      <c r="H25" s="87">
        <f t="shared" si="15"/>
        <v>0.05</v>
      </c>
      <c r="I25" s="87">
        <f t="shared" si="15"/>
        <v>0.05</v>
      </c>
      <c r="J25" s="87">
        <f t="shared" si="15"/>
        <v>0.05</v>
      </c>
    </row>
    <row r="33" spans="2:10" x14ac:dyDescent="0.35">
      <c r="B33" s="9" t="s">
        <v>244</v>
      </c>
      <c r="C33" s="138">
        <v>-27</v>
      </c>
      <c r="D33" s="138">
        <v>176</v>
      </c>
      <c r="E33" s="138">
        <v>0</v>
      </c>
      <c r="F33" s="51">
        <f>F34*F8</f>
        <v>0</v>
      </c>
      <c r="G33" s="51">
        <f t="shared" ref="G33:J33" si="16">G34*G8</f>
        <v>0</v>
      </c>
      <c r="H33" s="51">
        <f t="shared" si="16"/>
        <v>0</v>
      </c>
      <c r="I33" s="51">
        <f t="shared" si="16"/>
        <v>0</v>
      </c>
      <c r="J33" s="51">
        <f t="shared" si="16"/>
        <v>0</v>
      </c>
    </row>
    <row r="34" spans="2:10" x14ac:dyDescent="0.35">
      <c r="B34" s="9" t="s">
        <v>245</v>
      </c>
      <c r="C34" s="43">
        <f>C33/C8</f>
        <v>-5.0164427846831284E-4</v>
      </c>
      <c r="D34" s="43">
        <f t="shared" ref="D34:E34" si="17">D33/D8</f>
        <v>2.160516559868405E-3</v>
      </c>
      <c r="E34" s="43">
        <f t="shared" si="17"/>
        <v>0</v>
      </c>
      <c r="F34" s="87">
        <f>E34</f>
        <v>0</v>
      </c>
      <c r="G34" s="87">
        <f t="shared" ref="G34:J34" si="18">F34</f>
        <v>0</v>
      </c>
      <c r="H34" s="87">
        <f t="shared" si="18"/>
        <v>0</v>
      </c>
      <c r="I34" s="87">
        <f t="shared" si="18"/>
        <v>0</v>
      </c>
      <c r="J34" s="87">
        <f t="shared" si="18"/>
        <v>0</v>
      </c>
    </row>
  </sheetData>
  <mergeCells count="2">
    <mergeCell ref="F1:J1"/>
    <mergeCell ref="C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9"/>
  <sheetViews>
    <sheetView showGridLines="0" zoomScale="90" zoomScaleNormal="9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F16" sqref="F16"/>
    </sheetView>
  </sheetViews>
  <sheetFormatPr defaultColWidth="0" defaultRowHeight="14.5" zeroHeight="1" x14ac:dyDescent="0.35"/>
  <cols>
    <col min="1" max="1" width="3.54296875" customWidth="1"/>
    <col min="2" max="2" width="54.54296875" customWidth="1"/>
    <col min="3" max="9" width="12.54296875" style="19" customWidth="1"/>
    <col min="10" max="10" width="12.54296875" customWidth="1"/>
    <col min="11" max="11" width="8.7265625" style="4" customWidth="1"/>
    <col min="12" max="33" width="0" style="4" hidden="1" customWidth="1"/>
    <col min="34" max="34" width="0" hidden="1" customWidth="1"/>
    <col min="35" max="16384" width="8.7265625" hidden="1"/>
  </cols>
  <sheetData>
    <row r="1" spans="1:10" ht="31.5" customHeight="1" x14ac:dyDescent="0.6">
      <c r="A1" s="66" t="str">
        <f>Index!A1</f>
        <v>TESLA Inc. Financial Modeling</v>
      </c>
      <c r="B1" s="68"/>
      <c r="C1" s="304" t="s">
        <v>18</v>
      </c>
      <c r="D1" s="304"/>
      <c r="E1" s="304"/>
      <c r="F1" s="304" t="s">
        <v>66</v>
      </c>
      <c r="G1" s="304"/>
      <c r="H1" s="304"/>
      <c r="I1" s="304"/>
      <c r="J1" s="304"/>
    </row>
    <row r="2" spans="1:10" ht="15" customHeight="1" x14ac:dyDescent="0.35">
      <c r="A2" s="67" t="s">
        <v>67</v>
      </c>
      <c r="B2" s="73"/>
      <c r="C2" s="81">
        <v>2021</v>
      </c>
      <c r="D2" s="81">
        <f t="shared" ref="D2:J2" si="0">C2+1</f>
        <v>2022</v>
      </c>
      <c r="E2" s="81">
        <f t="shared" si="0"/>
        <v>2023</v>
      </c>
      <c r="F2" s="81">
        <f t="shared" si="0"/>
        <v>2024</v>
      </c>
      <c r="G2" s="81">
        <f t="shared" si="0"/>
        <v>2025</v>
      </c>
      <c r="H2" s="81">
        <f t="shared" si="0"/>
        <v>2026</v>
      </c>
      <c r="I2" s="81">
        <f t="shared" si="0"/>
        <v>2027</v>
      </c>
      <c r="J2" s="81">
        <f t="shared" si="0"/>
        <v>2028</v>
      </c>
    </row>
    <row r="3" spans="1:10" x14ac:dyDescent="0.35">
      <c r="A3" s="11"/>
      <c r="B3" s="90" t="s">
        <v>98</v>
      </c>
      <c r="C3" s="202">
        <f>'Income Statement'!C7</f>
        <v>53823</v>
      </c>
      <c r="D3" s="202">
        <f>'Income Statement'!D7</f>
        <v>81462</v>
      </c>
      <c r="E3" s="202">
        <f>'Income Statement'!E7</f>
        <v>96773</v>
      </c>
      <c r="F3" s="202">
        <f>'Income Statement'!F7</f>
        <v>112685.54999999999</v>
      </c>
      <c r="G3" s="202">
        <f>'Income Statement'!G7</f>
        <v>131822.83649999998</v>
      </c>
      <c r="H3" s="202">
        <f>'Income Statement'!H7</f>
        <v>155000.07619499997</v>
      </c>
      <c r="I3" s="202">
        <f>'Income Statement'!I7</f>
        <v>183284.01728084998</v>
      </c>
      <c r="J3" s="202">
        <f>'Income Statement'!J7</f>
        <v>218081.71484777547</v>
      </c>
    </row>
    <row r="4" spans="1:10" x14ac:dyDescent="0.35">
      <c r="A4" s="11"/>
      <c r="B4" s="75" t="s">
        <v>262</v>
      </c>
      <c r="C4" s="203">
        <f>'Income Statement'!C13</f>
        <v>40217</v>
      </c>
      <c r="D4" s="203">
        <f>'Income Statement'!D13</f>
        <v>60609</v>
      </c>
      <c r="E4" s="203">
        <f>'Income Statement'!E13</f>
        <v>79113</v>
      </c>
      <c r="F4" s="203">
        <f>'Income Statement'!F13</f>
        <v>91271.505000000005</v>
      </c>
      <c r="G4" s="203">
        <f>'Income Statement'!G13</f>
        <v>106974.40695</v>
      </c>
      <c r="H4" s="203">
        <f>'Income Statement'!H13</f>
        <v>126046.8469185</v>
      </c>
      <c r="I4" s="203">
        <f>'Income Statement'!I13</f>
        <v>149390.37487405498</v>
      </c>
      <c r="J4" s="203">
        <f>'Income Statement'!J13</f>
        <v>178195.6392948766</v>
      </c>
    </row>
    <row r="5" spans="1:10" x14ac:dyDescent="0.35">
      <c r="A5" s="11"/>
      <c r="B5" s="14"/>
      <c r="C5" s="204"/>
      <c r="D5" s="204"/>
      <c r="E5" s="204"/>
      <c r="F5" s="204"/>
      <c r="G5" s="204"/>
      <c r="H5" s="204"/>
      <c r="I5" s="204"/>
      <c r="J5" s="204"/>
    </row>
    <row r="6" spans="1:10" x14ac:dyDescent="0.35">
      <c r="A6" s="11"/>
      <c r="B6" s="9" t="s">
        <v>99</v>
      </c>
      <c r="C6" s="203"/>
      <c r="D6" s="203">
        <f>'Balance Sheet'!D7</f>
        <v>2952</v>
      </c>
      <c r="E6" s="203">
        <f>'Balance Sheet'!E7</f>
        <v>3508</v>
      </c>
      <c r="F6" s="205">
        <f>F3*F19/365</f>
        <v>4630.9130136986296</v>
      </c>
      <c r="G6" s="205">
        <f t="shared" ref="G6:J6" si="1">G3*G19/365</f>
        <v>5417.3768424657528</v>
      </c>
      <c r="H6" s="205">
        <f t="shared" si="1"/>
        <v>6369.8661449999991</v>
      </c>
      <c r="I6" s="205">
        <f t="shared" si="1"/>
        <v>7532.2198882541079</v>
      </c>
      <c r="J6" s="205">
        <f t="shared" si="1"/>
        <v>8962.2622540181692</v>
      </c>
    </row>
    <row r="7" spans="1:10" x14ac:dyDescent="0.35">
      <c r="A7" s="11"/>
      <c r="B7" s="9" t="s">
        <v>21</v>
      </c>
      <c r="C7" s="203"/>
      <c r="D7" s="203">
        <f>'Balance Sheet'!D8</f>
        <v>12839</v>
      </c>
      <c r="E7" s="203">
        <f>'Balance Sheet'!E8</f>
        <v>13626</v>
      </c>
      <c r="F7" s="205">
        <f>F4*F21/365</f>
        <v>16253.829657534247</v>
      </c>
      <c r="G7" s="205">
        <f t="shared" ref="G7:J7" si="2">G4*G21/365</f>
        <v>19050.236854109589</v>
      </c>
      <c r="H7" s="205">
        <f t="shared" si="2"/>
        <v>22446.698766308218</v>
      </c>
      <c r="I7" s="205">
        <f t="shared" si="2"/>
        <v>26603.765388530341</v>
      </c>
      <c r="J7" s="205">
        <f t="shared" si="2"/>
        <v>31733.470011416379</v>
      </c>
    </row>
    <row r="8" spans="1:10" ht="15" thickBot="1" x14ac:dyDescent="0.4">
      <c r="A8" s="11"/>
      <c r="B8" s="9" t="s">
        <v>22</v>
      </c>
      <c r="C8" s="206"/>
      <c r="D8" s="206">
        <f>'Balance Sheet'!D9</f>
        <v>2941</v>
      </c>
      <c r="E8" s="206">
        <f>'Balance Sheet'!E9</f>
        <v>3388</v>
      </c>
      <c r="F8" s="207">
        <f>F23</f>
        <v>3943.9942500000002</v>
      </c>
      <c r="G8" s="207">
        <f t="shared" ref="G8:J8" si="3">G23</f>
        <v>4613.7992774999993</v>
      </c>
      <c r="H8" s="207">
        <f t="shared" si="3"/>
        <v>5425.0026668249993</v>
      </c>
      <c r="I8" s="207">
        <f t="shared" si="3"/>
        <v>6414.9406048297496</v>
      </c>
      <c r="J8" s="207">
        <f t="shared" si="3"/>
        <v>7632.8600196721418</v>
      </c>
    </row>
    <row r="9" spans="1:10" x14ac:dyDescent="0.35">
      <c r="A9" s="11"/>
      <c r="B9" s="75" t="s">
        <v>100</v>
      </c>
      <c r="C9" s="208"/>
      <c r="D9" s="208">
        <f>SUM(D6:D8)</f>
        <v>18732</v>
      </c>
      <c r="E9" s="208">
        <f>SUM(E6:E8)</f>
        <v>20522</v>
      </c>
      <c r="F9" s="208">
        <f t="shared" ref="F9:J9" si="4">SUM(F6:F8)</f>
        <v>24828.736921232874</v>
      </c>
      <c r="G9" s="208">
        <f t="shared" si="4"/>
        <v>29081.412974075341</v>
      </c>
      <c r="H9" s="208">
        <f t="shared" si="4"/>
        <v>34241.567578133217</v>
      </c>
      <c r="I9" s="208">
        <f t="shared" si="4"/>
        <v>40550.925881614196</v>
      </c>
      <c r="J9" s="208">
        <f t="shared" si="4"/>
        <v>48328.592285106686</v>
      </c>
    </row>
    <row r="10" spans="1:10" x14ac:dyDescent="0.35">
      <c r="A10" s="11"/>
      <c r="B10" s="14"/>
      <c r="C10" s="204"/>
      <c r="D10" s="204"/>
      <c r="E10" s="204"/>
      <c r="F10" s="204"/>
      <c r="G10" s="204"/>
      <c r="H10" s="205"/>
      <c r="I10" s="205"/>
      <c r="J10" s="205"/>
    </row>
    <row r="11" spans="1:10" x14ac:dyDescent="0.35">
      <c r="A11" s="11"/>
      <c r="B11" s="9" t="s">
        <v>264</v>
      </c>
      <c r="C11" s="203"/>
      <c r="D11" s="203">
        <f>'Balance Sheet'!D27</f>
        <v>15255</v>
      </c>
      <c r="E11" s="203">
        <f>'Balance Sheet'!E27</f>
        <v>14431</v>
      </c>
      <c r="F11" s="205">
        <f>F4*F26/365</f>
        <v>17504.124246575346</v>
      </c>
      <c r="G11" s="205">
        <f t="shared" ref="G11:J11" si="5">G4*G26/365</f>
        <v>20515.639689041098</v>
      </c>
      <c r="H11" s="205">
        <f t="shared" si="5"/>
        <v>24173.367902178081</v>
      </c>
      <c r="I11" s="205">
        <f t="shared" si="5"/>
        <v>28650.20887995575</v>
      </c>
      <c r="J11" s="205">
        <f t="shared" si="5"/>
        <v>34174.506166140716</v>
      </c>
    </row>
    <row r="12" spans="1:10" ht="15" thickBot="1" x14ac:dyDescent="0.4">
      <c r="A12" s="11"/>
      <c r="B12" s="9" t="s">
        <v>255</v>
      </c>
      <c r="C12" s="206"/>
      <c r="D12" s="206">
        <f>'Balance Sheet'!D28</f>
        <v>8205</v>
      </c>
      <c r="E12" s="206">
        <f>'Balance Sheet'!E28</f>
        <v>9080</v>
      </c>
      <c r="F12" s="207">
        <f>F28</f>
        <v>10930.49835</v>
      </c>
      <c r="G12" s="207">
        <f t="shared" ref="G12:J12" si="6">G28</f>
        <v>12786.815140499997</v>
      </c>
      <c r="H12" s="207">
        <f t="shared" si="6"/>
        <v>15035.007390914998</v>
      </c>
      <c r="I12" s="207">
        <f t="shared" si="6"/>
        <v>17778.549676242448</v>
      </c>
      <c r="J12" s="207">
        <f t="shared" si="6"/>
        <v>21153.926340234222</v>
      </c>
    </row>
    <row r="13" spans="1:10" x14ac:dyDescent="0.35">
      <c r="A13" s="11"/>
      <c r="B13" s="75" t="s">
        <v>102</v>
      </c>
      <c r="C13" s="208"/>
      <c r="D13" s="208">
        <f>SUM(D11:D12)</f>
        <v>23460</v>
      </c>
      <c r="E13" s="208">
        <f>SUM(E11:E12)</f>
        <v>23511</v>
      </c>
      <c r="F13" s="208">
        <f t="shared" ref="F13:J13" si="7">SUM(F11:F12)</f>
        <v>28434.622596575347</v>
      </c>
      <c r="G13" s="208">
        <f t="shared" si="7"/>
        <v>33302.454829541093</v>
      </c>
      <c r="H13" s="208">
        <f t="shared" si="7"/>
        <v>39208.375293093079</v>
      </c>
      <c r="I13" s="208">
        <f t="shared" si="7"/>
        <v>46428.758556198198</v>
      </c>
      <c r="J13" s="208">
        <f t="shared" si="7"/>
        <v>55328.432506374942</v>
      </c>
    </row>
    <row r="14" spans="1:10" x14ac:dyDescent="0.35">
      <c r="A14" s="11"/>
      <c r="B14" s="14"/>
      <c r="C14" s="204"/>
      <c r="D14" s="204"/>
      <c r="E14" s="204"/>
      <c r="F14" s="204"/>
      <c r="G14" s="204"/>
      <c r="H14" s="205"/>
      <c r="I14" s="205"/>
      <c r="J14" s="205"/>
    </row>
    <row r="15" spans="1:10" x14ac:dyDescent="0.35">
      <c r="A15" s="11"/>
      <c r="B15" s="10" t="s">
        <v>103</v>
      </c>
      <c r="C15" s="213"/>
      <c r="D15" s="213">
        <f>D9-D13</f>
        <v>-4728</v>
      </c>
      <c r="E15" s="213">
        <f>E9-E13</f>
        <v>-2989</v>
      </c>
      <c r="F15" s="213">
        <f t="shared" ref="F15:J15" si="8">F9-F13</f>
        <v>-3605.8856753424734</v>
      </c>
      <c r="G15" s="213">
        <f t="shared" si="8"/>
        <v>-4221.0418554657517</v>
      </c>
      <c r="H15" s="213">
        <f t="shared" si="8"/>
        <v>-4966.8077149598612</v>
      </c>
      <c r="I15" s="213">
        <f t="shared" si="8"/>
        <v>-5877.8326745840022</v>
      </c>
      <c r="J15" s="213">
        <f t="shared" si="8"/>
        <v>-6999.8402212682558</v>
      </c>
    </row>
    <row r="16" spans="1:10" ht="15" thickBot="1" x14ac:dyDescent="0.4">
      <c r="A16" s="11"/>
      <c r="B16" s="89" t="s">
        <v>104</v>
      </c>
      <c r="C16" s="214"/>
      <c r="D16" s="214"/>
      <c r="E16" s="214">
        <f>-(E15-D15)</f>
        <v>-1739</v>
      </c>
      <c r="F16" s="214">
        <f t="shared" ref="F16:J16" si="9">-(F15-E15)</f>
        <v>616.88567534247341</v>
      </c>
      <c r="G16" s="214">
        <f t="shared" si="9"/>
        <v>615.15618012327832</v>
      </c>
      <c r="H16" s="214">
        <f t="shared" si="9"/>
        <v>745.76585949410946</v>
      </c>
      <c r="I16" s="214">
        <f t="shared" si="9"/>
        <v>911.02495962414105</v>
      </c>
      <c r="J16" s="214">
        <f t="shared" si="9"/>
        <v>1122.0075466842536</v>
      </c>
    </row>
    <row r="18" spans="2:10" ht="15" thickTop="1" x14ac:dyDescent="0.35">
      <c r="B18" s="75" t="s">
        <v>105</v>
      </c>
      <c r="C18" s="6"/>
      <c r="D18" s="6"/>
      <c r="E18" s="6"/>
      <c r="F18" s="6"/>
      <c r="G18" s="6"/>
      <c r="H18" s="6"/>
      <c r="I18" s="6"/>
      <c r="J18" s="6"/>
    </row>
    <row r="19" spans="2:10" x14ac:dyDescent="0.35">
      <c r="B19" s="9" t="s">
        <v>99</v>
      </c>
      <c r="C19" s="205"/>
      <c r="D19" s="16">
        <f>365/D3*AVERAGE(D6,C6)</f>
        <v>13.22678058481255</v>
      </c>
      <c r="E19" s="16">
        <f>365/E3*AVERAGE(E6,D6)</f>
        <v>12.182633585814225</v>
      </c>
      <c r="F19" s="17">
        <f>15</f>
        <v>15</v>
      </c>
      <c r="G19" s="17">
        <f>15</f>
        <v>15</v>
      </c>
      <c r="H19" s="17">
        <f>15</f>
        <v>15</v>
      </c>
      <c r="I19" s="17">
        <f>15</f>
        <v>15</v>
      </c>
      <c r="J19" s="17">
        <f>15</f>
        <v>15</v>
      </c>
    </row>
    <row r="20" spans="2:10" x14ac:dyDescent="0.35">
      <c r="B20" s="9"/>
      <c r="C20" s="15"/>
      <c r="D20" s="15"/>
      <c r="E20" s="15"/>
      <c r="F20" s="15"/>
      <c r="G20" s="15"/>
      <c r="H20" s="15"/>
      <c r="I20" s="15"/>
      <c r="J20" s="15"/>
    </row>
    <row r="21" spans="2:10" x14ac:dyDescent="0.35">
      <c r="B21" s="9" t="s">
        <v>21</v>
      </c>
      <c r="C21" s="205"/>
      <c r="D21" s="16">
        <f>365/D4*AVERAGE(C7:D7)</f>
        <v>77.319127522315171</v>
      </c>
      <c r="E21" s="16">
        <f>365/E4*AVERAGE(D7:E7)</f>
        <v>61.050175066044766</v>
      </c>
      <c r="F21" s="17">
        <f>65</f>
        <v>65</v>
      </c>
      <c r="G21" s="17">
        <f>65</f>
        <v>65</v>
      </c>
      <c r="H21" s="17">
        <f>65</f>
        <v>65</v>
      </c>
      <c r="I21" s="17">
        <f>65</f>
        <v>65</v>
      </c>
      <c r="J21" s="17">
        <f>65</f>
        <v>65</v>
      </c>
    </row>
    <row r="22" spans="2:10" x14ac:dyDescent="0.35">
      <c r="B22" s="12"/>
      <c r="C22" s="14"/>
      <c r="D22" s="14"/>
      <c r="E22" s="14"/>
      <c r="F22" s="14"/>
      <c r="G22" s="14"/>
      <c r="H22" s="14"/>
      <c r="I22" s="14"/>
      <c r="J22" s="14"/>
    </row>
    <row r="23" spans="2:10" x14ac:dyDescent="0.35">
      <c r="B23" s="12" t="s">
        <v>22</v>
      </c>
      <c r="C23" s="210"/>
      <c r="D23" s="205">
        <f>'Balance Sheet'!D9</f>
        <v>2941</v>
      </c>
      <c r="E23" s="205">
        <f>'Balance Sheet'!E9</f>
        <v>3388</v>
      </c>
      <c r="F23" s="205">
        <f>F24*F3</f>
        <v>3943.9942500000002</v>
      </c>
      <c r="G23" s="205">
        <f t="shared" ref="G23:J23" si="10">G24*G3</f>
        <v>4613.7992774999993</v>
      </c>
      <c r="H23" s="205">
        <f t="shared" si="10"/>
        <v>5425.0026668249993</v>
      </c>
      <c r="I23" s="205">
        <f t="shared" si="10"/>
        <v>6414.9406048297496</v>
      </c>
      <c r="J23" s="205">
        <f t="shared" si="10"/>
        <v>7632.8600196721418</v>
      </c>
    </row>
    <row r="24" spans="2:10" x14ac:dyDescent="0.35">
      <c r="B24" s="12" t="s">
        <v>91</v>
      </c>
      <c r="C24" s="20"/>
      <c r="D24" s="209">
        <f>D23/D3</f>
        <v>3.6102722741891927E-2</v>
      </c>
      <c r="E24" s="209">
        <f>E23/E3</f>
        <v>3.5009765120436485E-2</v>
      </c>
      <c r="F24" s="211">
        <v>3.5000000000000003E-2</v>
      </c>
      <c r="G24" s="211">
        <v>3.5000000000000003E-2</v>
      </c>
      <c r="H24" s="211">
        <v>3.5000000000000003E-2</v>
      </c>
      <c r="I24" s="211">
        <v>3.5000000000000003E-2</v>
      </c>
      <c r="J24" s="211">
        <v>3.5000000000000003E-2</v>
      </c>
    </row>
    <row r="25" spans="2:10" x14ac:dyDescent="0.35">
      <c r="B25" s="12"/>
      <c r="C25" s="14"/>
      <c r="D25" s="14"/>
      <c r="E25" s="14"/>
      <c r="F25" s="14"/>
      <c r="G25" s="14"/>
      <c r="H25" s="14"/>
      <c r="I25" s="14"/>
      <c r="J25" s="14"/>
    </row>
    <row r="26" spans="2:10" x14ac:dyDescent="0.35">
      <c r="B26" s="9" t="s">
        <v>101</v>
      </c>
      <c r="C26" s="205"/>
      <c r="D26" s="16">
        <f>365/D4*AVERAGE(C11:D11)</f>
        <v>91.868781864079594</v>
      </c>
      <c r="E26" s="16">
        <f>365/E4*AVERAGE(D11:E11)</f>
        <v>68.480464651827134</v>
      </c>
      <c r="F26" s="17">
        <f>70</f>
        <v>70</v>
      </c>
      <c r="G26" s="17">
        <f>70</f>
        <v>70</v>
      </c>
      <c r="H26" s="17">
        <f>70</f>
        <v>70</v>
      </c>
      <c r="I26" s="17">
        <f>70</f>
        <v>70</v>
      </c>
      <c r="J26" s="17">
        <f>70</f>
        <v>70</v>
      </c>
    </row>
    <row r="27" spans="2:10" x14ac:dyDescent="0.35">
      <c r="B27" s="9"/>
      <c r="C27" s="14"/>
      <c r="D27" s="14"/>
      <c r="E27" s="14"/>
      <c r="F27" s="14"/>
      <c r="G27" s="14"/>
      <c r="H27" s="14"/>
      <c r="I27" s="14"/>
      <c r="J27" s="14"/>
    </row>
    <row r="28" spans="2:10" x14ac:dyDescent="0.35">
      <c r="B28" s="9" t="s">
        <v>28</v>
      </c>
      <c r="C28" s="205"/>
      <c r="D28" s="205">
        <f>'Balance Sheet'!D28</f>
        <v>8205</v>
      </c>
      <c r="E28" s="205">
        <f>'Balance Sheet'!E28</f>
        <v>9080</v>
      </c>
      <c r="F28" s="205">
        <f>F29*F3</f>
        <v>10930.49835</v>
      </c>
      <c r="G28" s="205">
        <f t="shared" ref="G28:J28" si="11">G29*G3</f>
        <v>12786.815140499997</v>
      </c>
      <c r="H28" s="205">
        <f t="shared" si="11"/>
        <v>15035.007390914998</v>
      </c>
      <c r="I28" s="205">
        <f t="shared" si="11"/>
        <v>17778.549676242448</v>
      </c>
      <c r="J28" s="205">
        <f t="shared" si="11"/>
        <v>21153.926340234222</v>
      </c>
    </row>
    <row r="29" spans="2:10" x14ac:dyDescent="0.35">
      <c r="B29" s="9" t="s">
        <v>106</v>
      </c>
      <c r="C29" s="18"/>
      <c r="D29" s="18">
        <f>D28/D3</f>
        <v>0.1007218089415924</v>
      </c>
      <c r="E29" s="18">
        <f>E28/E3</f>
        <v>9.3827823876494479E-2</v>
      </c>
      <c r="F29" s="212">
        <v>9.7000000000000003E-2</v>
      </c>
      <c r="G29" s="212">
        <v>9.7000000000000003E-2</v>
      </c>
      <c r="H29" s="212">
        <v>9.7000000000000003E-2</v>
      </c>
      <c r="I29" s="212">
        <v>9.7000000000000003E-2</v>
      </c>
      <c r="J29" s="212">
        <v>9.7000000000000003E-2</v>
      </c>
    </row>
  </sheetData>
  <mergeCells count="2">
    <mergeCell ref="F1:J1"/>
    <mergeCell ref="C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524D-103E-4DD2-AB69-0747F3750D55}">
  <dimension ref="A1:K103"/>
  <sheetViews>
    <sheetView showGridLines="0" zoomScaleNormal="100" workbookViewId="0">
      <pane ySplit="2" topLeftCell="A3" activePane="bottomLeft" state="frozen"/>
      <selection pane="bottomLeft" activeCell="F11" sqref="F11:J11"/>
    </sheetView>
  </sheetViews>
  <sheetFormatPr defaultColWidth="0" defaultRowHeight="14.5" x14ac:dyDescent="0.35"/>
  <cols>
    <col min="1" max="1" width="2.1796875" customWidth="1"/>
    <col min="2" max="2" width="67.1796875" bestFit="1" customWidth="1"/>
    <col min="3" max="3" width="8.7265625" customWidth="1"/>
    <col min="4" max="4" width="9.453125" bestFit="1" customWidth="1"/>
    <col min="5" max="5" width="12.26953125" customWidth="1"/>
    <col min="6" max="10" width="10" bestFit="1" customWidth="1"/>
    <col min="11" max="11" width="8.7265625" customWidth="1"/>
    <col min="12" max="16384" width="8.7265625" hidden="1"/>
  </cols>
  <sheetData>
    <row r="1" spans="1:10" ht="31" x14ac:dyDescent="0.6">
      <c r="A1" s="66" t="str">
        <f>Index!A1</f>
        <v>TESLA Inc. Financial Modeling</v>
      </c>
      <c r="B1" s="68"/>
      <c r="C1" s="304" t="s">
        <v>18</v>
      </c>
      <c r="D1" s="304"/>
      <c r="E1" s="304"/>
      <c r="F1" s="304" t="s">
        <v>66</v>
      </c>
      <c r="G1" s="304"/>
      <c r="H1" s="304"/>
      <c r="I1" s="304"/>
      <c r="J1" s="304"/>
    </row>
    <row r="2" spans="1:10" x14ac:dyDescent="0.35">
      <c r="A2" s="67" t="s">
        <v>67</v>
      </c>
      <c r="B2" s="73"/>
      <c r="C2" s="81">
        <v>2021</v>
      </c>
      <c r="D2" s="81">
        <f t="shared" ref="D2:J2" si="0">C2+1</f>
        <v>2022</v>
      </c>
      <c r="E2" s="81">
        <f t="shared" si="0"/>
        <v>2023</v>
      </c>
      <c r="F2" s="81">
        <f t="shared" si="0"/>
        <v>2024</v>
      </c>
      <c r="G2" s="81">
        <f t="shared" si="0"/>
        <v>2025</v>
      </c>
      <c r="H2" s="81">
        <f t="shared" si="0"/>
        <v>2026</v>
      </c>
      <c r="I2" s="81">
        <f t="shared" si="0"/>
        <v>2027</v>
      </c>
      <c r="J2" s="81">
        <f t="shared" si="0"/>
        <v>2028</v>
      </c>
    </row>
    <row r="3" spans="1:10" ht="15" customHeight="1" x14ac:dyDescent="0.35">
      <c r="B3" s="9" t="s">
        <v>98</v>
      </c>
      <c r="C3" s="103">
        <f>'Income Statement'!C7</f>
        <v>53823</v>
      </c>
      <c r="D3" s="103">
        <f>'Income Statement'!D7</f>
        <v>81462</v>
      </c>
      <c r="E3" s="103">
        <f>'Income Statement'!E7</f>
        <v>96773</v>
      </c>
      <c r="F3" s="103">
        <f>'Income Statement'!F7</f>
        <v>112685.54999999999</v>
      </c>
      <c r="G3" s="103">
        <f>'Income Statement'!G7</f>
        <v>131822.83649999998</v>
      </c>
      <c r="H3" s="103">
        <f>'Income Statement'!H7</f>
        <v>155000.07619499997</v>
      </c>
      <c r="I3" s="103">
        <f>'Income Statement'!I7</f>
        <v>183284.01728084998</v>
      </c>
      <c r="J3" s="103">
        <f>'Income Statement'!J7</f>
        <v>218081.71484777547</v>
      </c>
    </row>
    <row r="4" spans="1:10" ht="15" customHeight="1" x14ac:dyDescent="0.35">
      <c r="B4" s="9" t="s">
        <v>108</v>
      </c>
      <c r="C4" s="103">
        <f>-SUM('Cash Flow'!C24:C25)</f>
        <v>6514</v>
      </c>
      <c r="D4" s="103">
        <f>-SUM('Cash Flow'!D24:D25)</f>
        <v>7163</v>
      </c>
      <c r="E4" s="103">
        <f>-SUM('Cash Flow'!E24:E25)</f>
        <v>8899</v>
      </c>
      <c r="F4" s="103">
        <f>F3*F5</f>
        <v>11268.555</v>
      </c>
      <c r="G4" s="103">
        <f t="shared" ref="G4:J4" si="1">G3*G5</f>
        <v>13182.283649999998</v>
      </c>
      <c r="H4" s="103">
        <f t="shared" si="1"/>
        <v>15500.007619499998</v>
      </c>
      <c r="I4" s="103">
        <f t="shared" si="1"/>
        <v>18328.401728084998</v>
      </c>
      <c r="J4" s="103">
        <f t="shared" si="1"/>
        <v>21808.171484777547</v>
      </c>
    </row>
    <row r="5" spans="1:10" ht="15" customHeight="1" x14ac:dyDescent="0.35">
      <c r="B5" s="9" t="s">
        <v>109</v>
      </c>
      <c r="C5" s="94">
        <f>C4/C3</f>
        <v>0.12102632703491073</v>
      </c>
      <c r="D5" s="94">
        <f t="shared" ref="D5:E5" si="2">D4/D3</f>
        <v>8.7930568854189678E-2</v>
      </c>
      <c r="E5" s="94">
        <f t="shared" si="2"/>
        <v>9.1957467475432195E-2</v>
      </c>
      <c r="F5" s="94">
        <v>0.1</v>
      </c>
      <c r="G5" s="94">
        <v>0.1</v>
      </c>
      <c r="H5" s="94">
        <v>0.1</v>
      </c>
      <c r="I5" s="94">
        <v>0.1</v>
      </c>
      <c r="J5" s="94">
        <v>0.1</v>
      </c>
    </row>
    <row r="6" spans="1:10" ht="15" customHeight="1" x14ac:dyDescent="0.35">
      <c r="B6" s="9"/>
      <c r="C6" s="93"/>
      <c r="D6" s="93"/>
      <c r="E6" s="93"/>
      <c r="F6" s="85"/>
      <c r="G6" s="85"/>
      <c r="H6" s="85"/>
      <c r="I6" s="85"/>
      <c r="J6" s="85"/>
    </row>
    <row r="7" spans="1:10" ht="15" customHeight="1" x14ac:dyDescent="0.35">
      <c r="B7" s="9" t="s">
        <v>110</v>
      </c>
      <c r="C7" s="93"/>
      <c r="D7" s="93"/>
      <c r="E7" s="93"/>
      <c r="F7" s="133">
        <f>E11</f>
        <v>29725</v>
      </c>
      <c r="G7" s="133">
        <f>F11</f>
        <v>35347.3441998001</v>
      </c>
      <c r="H7" s="133">
        <f>G11</f>
        <v>41427.644933583964</v>
      </c>
      <c r="I7" s="133">
        <f>H11</f>
        <v>48117.962165100034</v>
      </c>
      <c r="J7" s="133">
        <f>I11</f>
        <v>55622.572649098285</v>
      </c>
    </row>
    <row r="8" spans="1:10" ht="15" customHeight="1" x14ac:dyDescent="0.35">
      <c r="B8" s="9" t="s">
        <v>108</v>
      </c>
      <c r="C8" s="93"/>
      <c r="D8" s="93"/>
      <c r="E8" s="93"/>
      <c r="F8" s="133">
        <f>F4</f>
        <v>11268.555</v>
      </c>
      <c r="G8" s="133">
        <f t="shared" ref="G8:J8" si="3">G4</f>
        <v>13182.283649999998</v>
      </c>
      <c r="H8" s="133">
        <f t="shared" si="3"/>
        <v>15500.007619499998</v>
      </c>
      <c r="I8" s="133">
        <f t="shared" si="3"/>
        <v>18328.401728084998</v>
      </c>
      <c r="J8" s="133">
        <f t="shared" si="3"/>
        <v>21808.171484777547</v>
      </c>
    </row>
    <row r="9" spans="1:10" ht="15" customHeight="1" x14ac:dyDescent="0.35">
      <c r="B9" s="9" t="s">
        <v>111</v>
      </c>
      <c r="C9" s="93"/>
      <c r="D9" s="93"/>
      <c r="E9" s="93"/>
      <c r="F9" s="133">
        <f>F103</f>
        <v>5646.2108001999031</v>
      </c>
      <c r="G9" s="133">
        <f t="shared" ref="G9:J9" si="4">G103</f>
        <v>7101.9829162161313</v>
      </c>
      <c r="H9" s="133">
        <f t="shared" si="4"/>
        <v>8809.6903879839265</v>
      </c>
      <c r="I9" s="133">
        <f t="shared" si="4"/>
        <v>10823.791244086744</v>
      </c>
      <c r="J9" s="133">
        <f t="shared" si="4"/>
        <v>13213.472226081576</v>
      </c>
    </row>
    <row r="10" spans="1:10" ht="15" customHeight="1" x14ac:dyDescent="0.35">
      <c r="B10" s="9" t="s">
        <v>112</v>
      </c>
      <c r="C10" s="93"/>
      <c r="D10" s="93"/>
      <c r="E10" s="93"/>
      <c r="F10" s="133">
        <v>0</v>
      </c>
      <c r="G10" s="133">
        <v>0</v>
      </c>
      <c r="H10" s="133">
        <v>0</v>
      </c>
      <c r="I10" s="133">
        <v>0</v>
      </c>
      <c r="J10" s="133">
        <v>0</v>
      </c>
    </row>
    <row r="11" spans="1:10" ht="15" customHeight="1" x14ac:dyDescent="0.35">
      <c r="B11" s="97" t="s">
        <v>113</v>
      </c>
      <c r="C11" s="98"/>
      <c r="D11" s="98"/>
      <c r="E11" s="104">
        <f>'Balance Sheet'!E16</f>
        <v>29725</v>
      </c>
      <c r="F11" s="104">
        <f>F7+F8-F9-F10</f>
        <v>35347.3441998001</v>
      </c>
      <c r="G11" s="104">
        <f t="shared" ref="G11:J11" si="5">G7+G8-G9-G10</f>
        <v>41427.644933583964</v>
      </c>
      <c r="H11" s="104">
        <f t="shared" si="5"/>
        <v>48117.962165100034</v>
      </c>
      <c r="I11" s="104">
        <f t="shared" si="5"/>
        <v>55622.572649098285</v>
      </c>
      <c r="J11" s="104">
        <f t="shared" si="5"/>
        <v>64217.27190779426</v>
      </c>
    </row>
    <row r="12" spans="1:10" ht="15" customHeight="1" x14ac:dyDescent="0.35">
      <c r="B12" s="9"/>
      <c r="C12" s="93"/>
      <c r="D12" s="93"/>
      <c r="E12" s="93"/>
      <c r="F12" s="61"/>
      <c r="G12" s="61"/>
      <c r="H12" s="61"/>
      <c r="I12" s="61"/>
      <c r="J12" s="61"/>
    </row>
    <row r="13" spans="1:10" ht="15" customHeight="1" x14ac:dyDescent="0.35">
      <c r="A13" s="2"/>
      <c r="B13" s="75" t="s">
        <v>295</v>
      </c>
      <c r="C13" s="93" t="s">
        <v>115</v>
      </c>
      <c r="D13" s="22" t="s">
        <v>116</v>
      </c>
      <c r="E13" s="14" t="s">
        <v>117</v>
      </c>
      <c r="F13" s="62"/>
      <c r="G13" s="62"/>
      <c r="H13" s="62"/>
      <c r="I13" s="62"/>
      <c r="J13" s="62"/>
    </row>
    <row r="14" spans="1:10" ht="15" customHeight="1" x14ac:dyDescent="0.35">
      <c r="B14" s="9" t="s">
        <v>290</v>
      </c>
      <c r="C14" s="52">
        <v>16372</v>
      </c>
      <c r="D14" s="105">
        <v>15</v>
      </c>
      <c r="E14" s="101">
        <f>C14/$C$20</f>
        <v>0.39184337753099419</v>
      </c>
      <c r="F14" s="61"/>
      <c r="G14" s="61"/>
      <c r="H14" s="61"/>
      <c r="I14" s="61"/>
      <c r="J14" s="61"/>
    </row>
    <row r="15" spans="1:10" ht="15" customHeight="1" x14ac:dyDescent="0.35">
      <c r="A15" s="2"/>
      <c r="B15" s="9" t="s">
        <v>291</v>
      </c>
      <c r="C15" s="52">
        <v>3147</v>
      </c>
      <c r="D15" s="105">
        <v>7</v>
      </c>
      <c r="E15" s="101">
        <f t="shared" ref="E15:E19" si="6">C15/$C$20</f>
        <v>7.5319515580872146E-2</v>
      </c>
      <c r="F15" s="62"/>
      <c r="G15" s="62"/>
      <c r="H15" s="62"/>
      <c r="I15" s="62"/>
      <c r="J15" s="62"/>
    </row>
    <row r="16" spans="1:10" ht="15" customHeight="1" x14ac:dyDescent="0.35">
      <c r="A16" s="2"/>
      <c r="B16" s="9" t="s">
        <v>292</v>
      </c>
      <c r="C16" s="52">
        <v>3168</v>
      </c>
      <c r="D16" s="105">
        <v>20</v>
      </c>
      <c r="E16" s="101">
        <f t="shared" si="6"/>
        <v>7.5822124359772147E-2</v>
      </c>
      <c r="F16" s="62"/>
      <c r="G16" s="62"/>
      <c r="H16" s="62"/>
      <c r="I16" s="62"/>
      <c r="J16" s="62"/>
    </row>
    <row r="17" spans="2:10" ht="15" customHeight="1" x14ac:dyDescent="0.35">
      <c r="B17" s="9" t="s">
        <v>293</v>
      </c>
      <c r="C17" s="52">
        <v>9505</v>
      </c>
      <c r="D17" s="105">
        <v>7</v>
      </c>
      <c r="E17" s="101">
        <f t="shared" si="6"/>
        <v>0.22749030683069263</v>
      </c>
      <c r="F17" s="62"/>
      <c r="G17" s="62"/>
      <c r="H17" s="62"/>
      <c r="I17" s="62"/>
      <c r="J17" s="62"/>
    </row>
    <row r="18" spans="2:10" ht="15" customHeight="1" x14ac:dyDescent="0.35">
      <c r="B18" s="9" t="s">
        <v>294</v>
      </c>
      <c r="C18" s="52">
        <v>3799</v>
      </c>
      <c r="D18" s="105">
        <v>5</v>
      </c>
      <c r="E18" s="101">
        <f t="shared" si="6"/>
        <v>9.0924321478148482E-2</v>
      </c>
      <c r="F18" s="62"/>
      <c r="G18" s="62"/>
      <c r="H18" s="62"/>
      <c r="I18" s="62"/>
      <c r="J18" s="62"/>
    </row>
    <row r="19" spans="2:10" ht="15" customHeight="1" x14ac:dyDescent="0.35">
      <c r="B19" s="9" t="s">
        <v>107</v>
      </c>
      <c r="C19" s="52">
        <v>5791</v>
      </c>
      <c r="D19" s="105">
        <v>5</v>
      </c>
      <c r="E19" s="101">
        <f t="shared" si="6"/>
        <v>0.13860035421952036</v>
      </c>
      <c r="F19" s="61"/>
      <c r="G19" s="61"/>
      <c r="H19" s="61"/>
      <c r="I19" s="61"/>
      <c r="J19" s="61"/>
    </row>
    <row r="20" spans="2:10" ht="15" customHeight="1" x14ac:dyDescent="0.35">
      <c r="B20" s="104" t="s">
        <v>114</v>
      </c>
      <c r="C20" s="140">
        <f>SUM(C14:C19)</f>
        <v>41782</v>
      </c>
      <c r="D20" s="98"/>
      <c r="E20" s="98"/>
      <c r="F20" s="141"/>
      <c r="G20" s="141"/>
      <c r="H20" s="141"/>
      <c r="I20" s="141"/>
      <c r="J20" s="141"/>
    </row>
    <row r="21" spans="2:10" ht="15" customHeight="1" x14ac:dyDescent="0.35">
      <c r="B21" s="51"/>
      <c r="C21" s="51"/>
      <c r="D21" s="51"/>
      <c r="E21" s="51"/>
      <c r="F21" s="61"/>
      <c r="G21" s="61"/>
      <c r="H21" s="61"/>
      <c r="I21" s="61"/>
      <c r="J21" s="61"/>
    </row>
    <row r="22" spans="2:10" ht="15" customHeight="1" x14ac:dyDescent="0.35">
      <c r="B22" s="75" t="s">
        <v>118</v>
      </c>
      <c r="C22" s="51"/>
      <c r="D22" s="51"/>
      <c r="E22" s="51"/>
      <c r="F22" s="61"/>
      <c r="G22" s="61"/>
      <c r="H22" s="61"/>
      <c r="I22" s="61"/>
      <c r="J22" s="61"/>
    </row>
    <row r="23" spans="2:10" ht="15" customHeight="1" x14ac:dyDescent="0.35">
      <c r="B23" s="9" t="s">
        <v>119</v>
      </c>
      <c r="C23" s="51"/>
      <c r="D23" s="51"/>
      <c r="E23" s="95"/>
      <c r="F23" s="81">
        <v>2024</v>
      </c>
      <c r="G23" s="81">
        <f t="shared" ref="G23:J23" si="7">F23+1</f>
        <v>2025</v>
      </c>
      <c r="H23" s="81">
        <f t="shared" si="7"/>
        <v>2026</v>
      </c>
      <c r="I23" s="81">
        <f t="shared" si="7"/>
        <v>2027</v>
      </c>
      <c r="J23" s="81">
        <f t="shared" si="7"/>
        <v>2028</v>
      </c>
    </row>
    <row r="24" spans="2:10" ht="15" customHeight="1" x14ac:dyDescent="0.35">
      <c r="B24" s="9" t="s">
        <v>290</v>
      </c>
      <c r="C24" s="51"/>
      <c r="D24" s="51"/>
      <c r="E24" s="51"/>
      <c r="F24" s="142">
        <f>$E14*F$4</f>
        <v>4415.5086510937726</v>
      </c>
      <c r="G24" s="142">
        <f t="shared" ref="G24:J25" si="8">$E14*G$4</f>
        <v>5165.3905489876015</v>
      </c>
      <c r="H24" s="142">
        <f t="shared" si="8"/>
        <v>6073.5753373810239</v>
      </c>
      <c r="I24" s="142">
        <f t="shared" si="8"/>
        <v>7181.8628378777366</v>
      </c>
      <c r="J24" s="142">
        <f t="shared" si="8"/>
        <v>8545.3875723703513</v>
      </c>
    </row>
    <row r="25" spans="2:10" ht="15" customHeight="1" x14ac:dyDescent="0.35">
      <c r="B25" s="9" t="s">
        <v>291</v>
      </c>
      <c r="C25" s="51"/>
      <c r="D25" s="51"/>
      <c r="E25" s="51"/>
      <c r="F25" s="142">
        <f>$E15*F$4</f>
        <v>848.74210389641473</v>
      </c>
      <c r="G25" s="142">
        <f t="shared" si="8"/>
        <v>992.88321876765099</v>
      </c>
      <c r="H25" s="142">
        <f t="shared" si="8"/>
        <v>1167.4530654005671</v>
      </c>
      <c r="I25" s="142">
        <f t="shared" si="8"/>
        <v>1380.4863395309819</v>
      </c>
      <c r="J25" s="142">
        <f t="shared" si="8"/>
        <v>1642.5809119380342</v>
      </c>
    </row>
    <row r="26" spans="2:10" ht="15" customHeight="1" x14ac:dyDescent="0.35">
      <c r="B26" s="9" t="s">
        <v>292</v>
      </c>
      <c r="C26" s="51"/>
      <c r="D26" s="51"/>
      <c r="E26" s="51"/>
      <c r="F26" s="142">
        <f t="shared" ref="F26:J29" si="9">$E16*F$4</f>
        <v>854.40577856493223</v>
      </c>
      <c r="G26" s="142">
        <f t="shared" si="9"/>
        <v>999.50875025609093</v>
      </c>
      <c r="H26" s="142">
        <f t="shared" si="9"/>
        <v>1175.2435053031447</v>
      </c>
      <c r="I26" s="142">
        <f t="shared" si="9"/>
        <v>1389.6983551427236</v>
      </c>
      <c r="J26" s="142">
        <f t="shared" si="9"/>
        <v>1653.5418903780401</v>
      </c>
    </row>
    <row r="27" spans="2:10" ht="15" customHeight="1" x14ac:dyDescent="0.35">
      <c r="B27" s="9" t="s">
        <v>293</v>
      </c>
      <c r="C27" s="51"/>
      <c r="D27" s="51"/>
      <c r="E27" s="51"/>
      <c r="F27" s="142">
        <f t="shared" si="9"/>
        <v>2563.4870344885358</v>
      </c>
      <c r="G27" s="142">
        <f t="shared" si="9"/>
        <v>2998.8417522677223</v>
      </c>
      <c r="H27" s="142">
        <f t="shared" si="9"/>
        <v>3526.1014892381281</v>
      </c>
      <c r="I27" s="142">
        <f t="shared" si="9"/>
        <v>4169.5337328382529</v>
      </c>
      <c r="J27" s="142">
        <f t="shared" si="9"/>
        <v>4961.1476224884063</v>
      </c>
    </row>
    <row r="28" spans="2:10" ht="15" customHeight="1" x14ac:dyDescent="0.35">
      <c r="B28" s="9" t="s">
        <v>294</v>
      </c>
      <c r="C28" s="51"/>
      <c r="D28" s="51"/>
      <c r="E28" s="51"/>
      <c r="F28" s="142">
        <f t="shared" si="9"/>
        <v>1024.5857174141975</v>
      </c>
      <c r="G28" s="142">
        <f t="shared" si="9"/>
        <v>1198.5901964087404</v>
      </c>
      <c r="H28" s="142">
        <f t="shared" si="9"/>
        <v>1409.3276757091687</v>
      </c>
      <c r="I28" s="142">
        <f t="shared" si="9"/>
        <v>1666.4974909050525</v>
      </c>
      <c r="J28" s="142">
        <f t="shared" si="9"/>
        <v>1982.8931949325045</v>
      </c>
    </row>
    <row r="29" spans="2:10" ht="15" customHeight="1" x14ac:dyDescent="0.35">
      <c r="B29" s="9" t="s">
        <v>107</v>
      </c>
      <c r="C29" s="51"/>
      <c r="D29" s="51"/>
      <c r="E29" s="51"/>
      <c r="F29" s="142">
        <f t="shared" si="9"/>
        <v>1561.8257145421471</v>
      </c>
      <c r="G29" s="142">
        <f t="shared" si="9"/>
        <v>1827.0691833121914</v>
      </c>
      <c r="H29" s="142">
        <f t="shared" si="9"/>
        <v>2148.3065464679644</v>
      </c>
      <c r="I29" s="142">
        <f t="shared" si="9"/>
        <v>2540.32297179025</v>
      </c>
      <c r="J29" s="142">
        <f t="shared" si="9"/>
        <v>3022.6202926702113</v>
      </c>
    </row>
    <row r="30" spans="2:10" ht="15" customHeight="1" x14ac:dyDescent="0.35">
      <c r="B30" s="9"/>
      <c r="C30" s="51"/>
      <c r="D30" s="51"/>
      <c r="E30" s="51"/>
      <c r="F30" s="61"/>
      <c r="G30" s="61"/>
      <c r="H30" s="61"/>
      <c r="I30" s="61"/>
      <c r="J30" s="61"/>
    </row>
    <row r="31" spans="2:10" ht="15" customHeight="1" x14ac:dyDescent="0.35">
      <c r="B31" s="91" t="s">
        <v>296</v>
      </c>
      <c r="C31" s="96"/>
      <c r="D31" s="96"/>
      <c r="E31" s="96"/>
      <c r="F31" s="147"/>
      <c r="G31" s="147"/>
      <c r="H31" s="147"/>
      <c r="I31" s="147"/>
      <c r="J31" s="147"/>
    </row>
    <row r="32" spans="2:10" ht="15" customHeight="1" x14ac:dyDescent="0.35">
      <c r="B32" s="99" t="s">
        <v>116</v>
      </c>
      <c r="C32" s="52">
        <f>D14</f>
        <v>15</v>
      </c>
      <c r="D32" s="51"/>
      <c r="E32" s="51"/>
      <c r="F32" s="61"/>
      <c r="G32" s="61"/>
      <c r="H32" s="61"/>
      <c r="I32" s="61"/>
      <c r="J32" s="61"/>
    </row>
    <row r="33" spans="1:10" ht="15" customHeight="1" x14ac:dyDescent="0.35">
      <c r="B33" s="9" t="s">
        <v>290</v>
      </c>
      <c r="C33" s="52">
        <f>C14</f>
        <v>16372</v>
      </c>
      <c r="D33" s="51"/>
      <c r="E33" s="51"/>
      <c r="F33" s="61">
        <f>$C33/$C32</f>
        <v>1091.4666666666667</v>
      </c>
      <c r="G33" s="61">
        <f t="shared" ref="G33:J33" si="10">$C33/$C32</f>
        <v>1091.4666666666667</v>
      </c>
      <c r="H33" s="61">
        <f t="shared" si="10"/>
        <v>1091.4666666666667</v>
      </c>
      <c r="I33" s="61">
        <f t="shared" si="10"/>
        <v>1091.4666666666667</v>
      </c>
      <c r="J33" s="61">
        <f t="shared" si="10"/>
        <v>1091.4666666666667</v>
      </c>
    </row>
    <row r="34" spans="1:10" x14ac:dyDescent="0.35">
      <c r="B34" s="51"/>
      <c r="C34" s="51"/>
      <c r="D34" s="51"/>
      <c r="E34" s="51"/>
      <c r="F34" s="61"/>
      <c r="G34" s="61"/>
      <c r="H34" s="61"/>
      <c r="I34" s="61"/>
      <c r="J34" s="61"/>
    </row>
    <row r="35" spans="1:10" x14ac:dyDescent="0.35">
      <c r="B35" s="100" t="s">
        <v>120</v>
      </c>
      <c r="C35" s="228" t="s">
        <v>121</v>
      </c>
      <c r="D35" s="108" t="s">
        <v>116</v>
      </c>
      <c r="E35" s="51"/>
      <c r="F35" s="61"/>
      <c r="G35" s="61"/>
      <c r="H35" s="61"/>
      <c r="I35" s="61"/>
      <c r="J35" s="61"/>
    </row>
    <row r="36" spans="1:10" ht="15" customHeight="1" x14ac:dyDescent="0.35">
      <c r="B36" s="111">
        <f>F$2</f>
        <v>2024</v>
      </c>
      <c r="C36" s="142">
        <f>$E14*F$4</f>
        <v>4415.5086510937726</v>
      </c>
      <c r="D36" s="110">
        <f>$D$14</f>
        <v>15</v>
      </c>
      <c r="E36" s="51"/>
      <c r="F36" s="144">
        <f>$C36/$D36/2</f>
        <v>147.18362170312577</v>
      </c>
      <c r="G36" s="145">
        <f>$C36/$D36</f>
        <v>294.36724340625153</v>
      </c>
      <c r="H36" s="145">
        <f t="shared" ref="H36:J38" si="11">$C36/$D36</f>
        <v>294.36724340625153</v>
      </c>
      <c r="I36" s="145">
        <f t="shared" si="11"/>
        <v>294.36724340625153</v>
      </c>
      <c r="J36" s="145">
        <f t="shared" si="11"/>
        <v>294.36724340625153</v>
      </c>
    </row>
    <row r="37" spans="1:10" ht="15" customHeight="1" x14ac:dyDescent="0.35">
      <c r="B37" s="111">
        <f>B36+1</f>
        <v>2025</v>
      </c>
      <c r="C37" s="142">
        <f>$E14*G$4</f>
        <v>5165.3905489876015</v>
      </c>
      <c r="D37" s="110">
        <f t="shared" ref="D37:D40" si="12">$D$14</f>
        <v>15</v>
      </c>
      <c r="E37" s="51"/>
      <c r="F37" s="144"/>
      <c r="G37" s="144">
        <f>$C37/$D37/2</f>
        <v>172.17968496625338</v>
      </c>
      <c r="H37" s="145">
        <f>$C37/$D37</f>
        <v>344.35936993250675</v>
      </c>
      <c r="I37" s="145">
        <f t="shared" si="11"/>
        <v>344.35936993250675</v>
      </c>
      <c r="J37" s="145">
        <f t="shared" si="11"/>
        <v>344.35936993250675</v>
      </c>
    </row>
    <row r="38" spans="1:10" ht="15" customHeight="1" x14ac:dyDescent="0.35">
      <c r="B38" s="111">
        <f t="shared" ref="B38:B40" si="13">B37+1</f>
        <v>2026</v>
      </c>
      <c r="C38" s="142">
        <f>$E14*H$4</f>
        <v>6073.5753373810239</v>
      </c>
      <c r="D38" s="110">
        <f t="shared" si="12"/>
        <v>15</v>
      </c>
      <c r="E38" s="51"/>
      <c r="F38" s="146"/>
      <c r="G38" s="146"/>
      <c r="H38" s="144">
        <f>$C38/$D38/2</f>
        <v>202.45251124603413</v>
      </c>
      <c r="I38" s="145">
        <f>$C38/$D38</f>
        <v>404.90502249206827</v>
      </c>
      <c r="J38" s="145">
        <f t="shared" si="11"/>
        <v>404.90502249206827</v>
      </c>
    </row>
    <row r="39" spans="1:10" ht="15" customHeight="1" x14ac:dyDescent="0.35">
      <c r="B39" s="111">
        <f t="shared" si="13"/>
        <v>2027</v>
      </c>
      <c r="C39" s="142">
        <f>$E14*I$4</f>
        <v>7181.8628378777366</v>
      </c>
      <c r="D39" s="110">
        <f t="shared" si="12"/>
        <v>15</v>
      </c>
      <c r="E39" s="51"/>
      <c r="F39" s="146"/>
      <c r="G39" s="146"/>
      <c r="H39" s="146"/>
      <c r="I39" s="144">
        <f>$C39/$D39/2</f>
        <v>239.39542792925789</v>
      </c>
      <c r="J39" s="145">
        <f>$C39/$D39</f>
        <v>478.79085585851578</v>
      </c>
    </row>
    <row r="40" spans="1:10" ht="15" customHeight="1" x14ac:dyDescent="0.35">
      <c r="B40" s="111">
        <f t="shared" si="13"/>
        <v>2028</v>
      </c>
      <c r="C40" s="142">
        <f>$E14*J$4</f>
        <v>8545.3875723703513</v>
      </c>
      <c r="D40" s="110">
        <f t="shared" si="12"/>
        <v>15</v>
      </c>
      <c r="E40" s="51"/>
      <c r="F40" s="146"/>
      <c r="G40" s="146"/>
      <c r="H40" s="146"/>
      <c r="I40" s="145"/>
      <c r="J40" s="144">
        <f>$C40/$D40/2</f>
        <v>284.84625241234505</v>
      </c>
    </row>
    <row r="41" spans="1:10" ht="15" customHeight="1" x14ac:dyDescent="0.35">
      <c r="A41" s="92" t="s">
        <v>122</v>
      </c>
      <c r="B41" s="91" t="s">
        <v>299</v>
      </c>
      <c r="C41" s="96"/>
      <c r="D41" s="96"/>
      <c r="E41" s="96"/>
      <c r="F41" s="147">
        <f>SUM(F33:F40)</f>
        <v>1238.6502883697924</v>
      </c>
      <c r="G41" s="147">
        <f t="shared" ref="G41:J41" si="14">SUM(G33:G40)</f>
        <v>1558.0135950391714</v>
      </c>
      <c r="H41" s="147">
        <f t="shared" si="14"/>
        <v>1932.6457912514591</v>
      </c>
      <c r="I41" s="147">
        <f t="shared" si="14"/>
        <v>2374.493730426751</v>
      </c>
      <c r="J41" s="147">
        <f t="shared" si="14"/>
        <v>2898.7354107683541</v>
      </c>
    </row>
    <row r="42" spans="1:10" ht="15" customHeight="1" x14ac:dyDescent="0.35">
      <c r="B42" s="51"/>
      <c r="C42" s="51"/>
      <c r="D42" s="51"/>
      <c r="E42" s="51"/>
      <c r="F42" s="61"/>
      <c r="G42" s="61"/>
      <c r="H42" s="61"/>
      <c r="I42" s="61"/>
      <c r="J42" s="61"/>
    </row>
    <row r="43" spans="1:10" ht="15" customHeight="1" x14ac:dyDescent="0.35">
      <c r="B43" s="106" t="s">
        <v>297</v>
      </c>
      <c r="C43" s="96"/>
      <c r="D43" s="96"/>
      <c r="E43" s="96"/>
      <c r="F43" s="147"/>
      <c r="G43" s="147"/>
      <c r="H43" s="147"/>
      <c r="I43" s="147"/>
      <c r="J43" s="147"/>
    </row>
    <row r="44" spans="1:10" ht="15" customHeight="1" x14ac:dyDescent="0.35">
      <c r="B44" s="99" t="s">
        <v>116</v>
      </c>
      <c r="C44" s="52">
        <f>D15</f>
        <v>7</v>
      </c>
      <c r="D44" s="51"/>
      <c r="E44" s="51"/>
      <c r="F44" s="61"/>
      <c r="G44" s="61"/>
      <c r="H44" s="61"/>
      <c r="I44" s="61"/>
      <c r="J44" s="61"/>
    </row>
    <row r="45" spans="1:10" ht="15" customHeight="1" x14ac:dyDescent="0.35">
      <c r="B45" s="9" t="s">
        <v>291</v>
      </c>
      <c r="C45" s="102">
        <f>C15</f>
        <v>3147</v>
      </c>
      <c r="D45" s="102"/>
      <c r="E45" s="102"/>
      <c r="F45" s="61">
        <f>$C45/$C44</f>
        <v>449.57142857142856</v>
      </c>
      <c r="G45" s="61">
        <f t="shared" ref="G45" si="15">$C45/$C44</f>
        <v>449.57142857142856</v>
      </c>
      <c r="H45" s="61">
        <f t="shared" ref="H45" si="16">$C45/$C44</f>
        <v>449.57142857142856</v>
      </c>
      <c r="I45" s="61">
        <f t="shared" ref="I45" si="17">$C45/$C44</f>
        <v>449.57142857142856</v>
      </c>
      <c r="J45" s="61">
        <f t="shared" ref="J45" si="18">$C45/$C44</f>
        <v>449.57142857142856</v>
      </c>
    </row>
    <row r="46" spans="1:10" ht="15" customHeight="1" x14ac:dyDescent="0.35">
      <c r="B46" s="51"/>
      <c r="C46" s="51"/>
      <c r="D46" s="51"/>
      <c r="E46" s="51"/>
      <c r="F46" s="61"/>
      <c r="G46" s="61"/>
      <c r="H46" s="61"/>
      <c r="I46" s="61"/>
      <c r="J46" s="61"/>
    </row>
    <row r="47" spans="1:10" x14ac:dyDescent="0.35">
      <c r="B47" s="100" t="s">
        <v>120</v>
      </c>
      <c r="C47" s="228" t="s">
        <v>121</v>
      </c>
      <c r="D47" s="108" t="s">
        <v>116</v>
      </c>
      <c r="E47" s="51"/>
      <c r="F47" s="61"/>
      <c r="G47" s="61"/>
      <c r="H47" s="61"/>
      <c r="I47" s="61"/>
      <c r="J47" s="61"/>
    </row>
    <row r="48" spans="1:10" ht="15" customHeight="1" x14ac:dyDescent="0.35">
      <c r="B48" s="111">
        <f>F$2</f>
        <v>2024</v>
      </c>
      <c r="C48" s="109" cm="1">
        <f t="array" ref="C48:C52">TRANSPOSE(F25:J25)</f>
        <v>848.74210389641473</v>
      </c>
      <c r="D48" s="110">
        <f>$D$15</f>
        <v>7</v>
      </c>
      <c r="E48" s="51"/>
      <c r="F48" s="144">
        <f>$C48/$D48/2</f>
        <v>60.62443599260105</v>
      </c>
      <c r="G48" s="145">
        <f>$C48/$D48</f>
        <v>121.2488719852021</v>
      </c>
      <c r="H48" s="145">
        <f t="shared" ref="H48:J50" si="19">$C48/$D48</f>
        <v>121.2488719852021</v>
      </c>
      <c r="I48" s="145">
        <f t="shared" si="19"/>
        <v>121.2488719852021</v>
      </c>
      <c r="J48" s="145">
        <f t="shared" si="19"/>
        <v>121.2488719852021</v>
      </c>
    </row>
    <row r="49" spans="1:10" ht="15" customHeight="1" x14ac:dyDescent="0.35">
      <c r="B49" s="111">
        <f>B48+1</f>
        <v>2025</v>
      </c>
      <c r="C49" s="109">
        <v>992.88321876765099</v>
      </c>
      <c r="D49" s="110">
        <f t="shared" ref="D49:D52" si="20">$D$15</f>
        <v>7</v>
      </c>
      <c r="E49" s="51"/>
      <c r="F49" s="144"/>
      <c r="G49" s="144">
        <f>$C49/$D49/2</f>
        <v>70.920229911975071</v>
      </c>
      <c r="H49" s="145">
        <f>$C49/$D49</f>
        <v>141.84045982395014</v>
      </c>
      <c r="I49" s="145">
        <f t="shared" si="19"/>
        <v>141.84045982395014</v>
      </c>
      <c r="J49" s="145">
        <f t="shared" si="19"/>
        <v>141.84045982395014</v>
      </c>
    </row>
    <row r="50" spans="1:10" ht="15" customHeight="1" x14ac:dyDescent="0.35">
      <c r="B50" s="111">
        <f t="shared" ref="B50:B52" si="21">B49+1</f>
        <v>2026</v>
      </c>
      <c r="C50" s="109">
        <v>1167.4530654005671</v>
      </c>
      <c r="D50" s="110">
        <f t="shared" si="20"/>
        <v>7</v>
      </c>
      <c r="E50" s="51"/>
      <c r="F50" s="146"/>
      <c r="G50" s="146"/>
      <c r="H50" s="144">
        <f>$C50/$D50/2</f>
        <v>83.389504671469084</v>
      </c>
      <c r="I50" s="145">
        <f>$C50/$D50</f>
        <v>166.77900934293817</v>
      </c>
      <c r="J50" s="145">
        <f t="shared" si="19"/>
        <v>166.77900934293817</v>
      </c>
    </row>
    <row r="51" spans="1:10" ht="15" customHeight="1" x14ac:dyDescent="0.35">
      <c r="B51" s="111">
        <f t="shared" si="21"/>
        <v>2027</v>
      </c>
      <c r="C51" s="109">
        <v>1380.4863395309819</v>
      </c>
      <c r="D51" s="110">
        <f t="shared" si="20"/>
        <v>7</v>
      </c>
      <c r="E51" s="51"/>
      <c r="F51" s="146"/>
      <c r="G51" s="146"/>
      <c r="H51" s="146"/>
      <c r="I51" s="144">
        <f>$C51/$D51/2</f>
        <v>98.606167109355852</v>
      </c>
      <c r="J51" s="145">
        <f>$C51/$D51</f>
        <v>197.2123342187117</v>
      </c>
    </row>
    <row r="52" spans="1:10" ht="15" customHeight="1" x14ac:dyDescent="0.35">
      <c r="B52" s="111">
        <f t="shared" si="21"/>
        <v>2028</v>
      </c>
      <c r="C52" s="109">
        <v>1642.5809119380342</v>
      </c>
      <c r="D52" s="110">
        <f t="shared" si="20"/>
        <v>7</v>
      </c>
      <c r="E52" s="51"/>
      <c r="F52" s="146"/>
      <c r="G52" s="146"/>
      <c r="H52" s="146"/>
      <c r="I52" s="145"/>
      <c r="J52" s="144">
        <f>$C52/$D52/2</f>
        <v>117.32720799557387</v>
      </c>
    </row>
    <row r="53" spans="1:10" ht="15" customHeight="1" x14ac:dyDescent="0.35">
      <c r="A53" s="92" t="s">
        <v>123</v>
      </c>
      <c r="B53" s="106" t="s">
        <v>298</v>
      </c>
      <c r="C53" s="96"/>
      <c r="D53" s="96"/>
      <c r="E53" s="96"/>
      <c r="F53" s="148">
        <f>SUM(F45:F52)</f>
        <v>510.19586456402959</v>
      </c>
      <c r="G53" s="148">
        <f t="shared" ref="G53:J53" si="22">SUM(G45:G52)</f>
        <v>641.7405304686057</v>
      </c>
      <c r="H53" s="148">
        <f t="shared" si="22"/>
        <v>796.05026505204989</v>
      </c>
      <c r="I53" s="148">
        <f t="shared" si="22"/>
        <v>978.04593683287476</v>
      </c>
      <c r="J53" s="148">
        <f t="shared" si="22"/>
        <v>1193.9793119378044</v>
      </c>
    </row>
    <row r="55" spans="1:10" x14ac:dyDescent="0.35">
      <c r="B55" s="106" t="s">
        <v>300</v>
      </c>
      <c r="C55" s="107"/>
      <c r="D55" s="107"/>
      <c r="E55" s="107"/>
      <c r="F55" s="143"/>
      <c r="G55" s="143"/>
      <c r="H55" s="143"/>
      <c r="I55" s="143"/>
      <c r="J55" s="143"/>
    </row>
    <row r="56" spans="1:10" x14ac:dyDescent="0.35">
      <c r="B56" s="99" t="s">
        <v>116</v>
      </c>
      <c r="C56" s="52">
        <f>D16</f>
        <v>20</v>
      </c>
      <c r="D56" s="51"/>
      <c r="E56" s="51"/>
      <c r="F56" s="61"/>
      <c r="G56" s="61"/>
      <c r="H56" s="61"/>
      <c r="I56" s="61"/>
      <c r="J56" s="61"/>
    </row>
    <row r="57" spans="1:10" x14ac:dyDescent="0.35">
      <c r="B57" s="9" t="s">
        <v>292</v>
      </c>
      <c r="C57" s="102">
        <f>C16</f>
        <v>3168</v>
      </c>
      <c r="D57" s="102"/>
      <c r="E57" s="102"/>
      <c r="F57" s="61">
        <f>$C57/$C56</f>
        <v>158.4</v>
      </c>
      <c r="G57" s="61">
        <f t="shared" ref="G57" si="23">$C57/$C56</f>
        <v>158.4</v>
      </c>
      <c r="H57" s="61">
        <f t="shared" ref="H57" si="24">$C57/$C56</f>
        <v>158.4</v>
      </c>
      <c r="I57" s="61">
        <f t="shared" ref="I57" si="25">$C57/$C56</f>
        <v>158.4</v>
      </c>
      <c r="J57" s="61">
        <f t="shared" ref="J57" si="26">$C57/$C56</f>
        <v>158.4</v>
      </c>
    </row>
    <row r="58" spans="1:10" x14ac:dyDescent="0.35">
      <c r="B58" s="51"/>
      <c r="C58" s="51"/>
      <c r="D58" s="51"/>
      <c r="E58" s="51"/>
      <c r="F58" s="61"/>
      <c r="G58" s="61"/>
      <c r="H58" s="61"/>
      <c r="I58" s="61"/>
      <c r="J58" s="61"/>
    </row>
    <row r="59" spans="1:10" x14ac:dyDescent="0.35">
      <c r="B59" s="100" t="s">
        <v>120</v>
      </c>
      <c r="C59" s="228" t="s">
        <v>121</v>
      </c>
      <c r="D59" s="108" t="s">
        <v>116</v>
      </c>
      <c r="E59" s="51"/>
      <c r="F59" s="61"/>
      <c r="G59" s="61"/>
      <c r="H59" s="61"/>
      <c r="I59" s="61"/>
      <c r="J59" s="61"/>
    </row>
    <row r="60" spans="1:10" x14ac:dyDescent="0.35">
      <c r="B60" s="111">
        <f>F$2</f>
        <v>2024</v>
      </c>
      <c r="C60" s="109" cm="1">
        <f t="array" ref="C60:C64">TRANSPOSE(F26:J26)</f>
        <v>854.40577856493223</v>
      </c>
      <c r="D60" s="110">
        <f>D$16</f>
        <v>20</v>
      </c>
      <c r="E60" s="51"/>
      <c r="F60" s="144">
        <f>$C60/$D60/2</f>
        <v>21.360144464123305</v>
      </c>
      <c r="G60" s="145">
        <f>$C60/$D60</f>
        <v>42.72028892824661</v>
      </c>
      <c r="H60" s="145">
        <f t="shared" ref="H60:J62" si="27">$C60/$D60</f>
        <v>42.72028892824661</v>
      </c>
      <c r="I60" s="145">
        <f t="shared" si="27"/>
        <v>42.72028892824661</v>
      </c>
      <c r="J60" s="145">
        <f t="shared" si="27"/>
        <v>42.72028892824661</v>
      </c>
    </row>
    <row r="61" spans="1:10" x14ac:dyDescent="0.35">
      <c r="B61" s="111">
        <f>B60+1</f>
        <v>2025</v>
      </c>
      <c r="C61" s="109">
        <v>999.50875025609093</v>
      </c>
      <c r="D61" s="110">
        <f t="shared" ref="D61:D64" si="28">D$16</f>
        <v>20</v>
      </c>
      <c r="E61" s="51"/>
      <c r="F61" s="144"/>
      <c r="G61" s="144">
        <f>$C61/$D61/2</f>
        <v>24.987718756402273</v>
      </c>
      <c r="H61" s="145">
        <f>$C61/$D61</f>
        <v>49.975437512804547</v>
      </c>
      <c r="I61" s="145">
        <f t="shared" si="27"/>
        <v>49.975437512804547</v>
      </c>
      <c r="J61" s="145">
        <f t="shared" si="27"/>
        <v>49.975437512804547</v>
      </c>
    </row>
    <row r="62" spans="1:10" x14ac:dyDescent="0.35">
      <c r="B62" s="111">
        <f t="shared" ref="B62:B64" si="29">B61+1</f>
        <v>2026</v>
      </c>
      <c r="C62" s="109">
        <v>1175.2435053031447</v>
      </c>
      <c r="D62" s="110">
        <f t="shared" si="28"/>
        <v>20</v>
      </c>
      <c r="E62" s="51"/>
      <c r="F62" s="146"/>
      <c r="G62" s="146"/>
      <c r="H62" s="144">
        <f>$C62/$D62/2</f>
        <v>29.38108763257862</v>
      </c>
      <c r="I62" s="145">
        <f>$C62/$D62</f>
        <v>58.762175265157239</v>
      </c>
      <c r="J62" s="145">
        <f t="shared" si="27"/>
        <v>58.762175265157239</v>
      </c>
    </row>
    <row r="63" spans="1:10" x14ac:dyDescent="0.35">
      <c r="B63" s="111">
        <f t="shared" si="29"/>
        <v>2027</v>
      </c>
      <c r="C63" s="109">
        <v>1389.6983551427236</v>
      </c>
      <c r="D63" s="110">
        <f t="shared" si="28"/>
        <v>20</v>
      </c>
      <c r="E63" s="51"/>
      <c r="F63" s="146"/>
      <c r="G63" s="146"/>
      <c r="H63" s="146"/>
      <c r="I63" s="144">
        <f>$C63/$D63/2</f>
        <v>34.742458878568087</v>
      </c>
      <c r="J63" s="145">
        <f>$C63/$D63</f>
        <v>69.484917757136174</v>
      </c>
    </row>
    <row r="64" spans="1:10" x14ac:dyDescent="0.35">
      <c r="B64" s="111">
        <f t="shared" si="29"/>
        <v>2028</v>
      </c>
      <c r="C64" s="109">
        <v>1653.5418903780401</v>
      </c>
      <c r="D64" s="110">
        <f t="shared" si="28"/>
        <v>20</v>
      </c>
      <c r="E64" s="51"/>
      <c r="F64" s="146"/>
      <c r="G64" s="146"/>
      <c r="H64" s="146"/>
      <c r="I64" s="145"/>
      <c r="J64" s="144">
        <f>$C64/$D64/2</f>
        <v>41.338547259451005</v>
      </c>
    </row>
    <row r="65" spans="1:10" x14ac:dyDescent="0.35">
      <c r="A65" s="92" t="s">
        <v>124</v>
      </c>
      <c r="B65" s="106" t="s">
        <v>301</v>
      </c>
      <c r="C65" s="96"/>
      <c r="D65" s="96"/>
      <c r="E65" s="96"/>
      <c r="F65" s="148">
        <f>SUM(F57:F64)</f>
        <v>179.7601444641233</v>
      </c>
      <c r="G65" s="148">
        <f t="shared" ref="G65:J65" si="30">SUM(G57:G64)</f>
        <v>226.1080076846489</v>
      </c>
      <c r="H65" s="148">
        <f t="shared" si="30"/>
        <v>280.47681407362978</v>
      </c>
      <c r="I65" s="148">
        <f t="shared" si="30"/>
        <v>344.60036058477647</v>
      </c>
      <c r="J65" s="148">
        <f t="shared" si="30"/>
        <v>420.68136672279553</v>
      </c>
    </row>
    <row r="67" spans="1:10" x14ac:dyDescent="0.35">
      <c r="B67" s="106" t="s">
        <v>308</v>
      </c>
      <c r="C67" s="107"/>
      <c r="D67" s="107"/>
      <c r="E67" s="107"/>
      <c r="F67" s="143"/>
      <c r="G67" s="143"/>
      <c r="H67" s="143"/>
      <c r="I67" s="143"/>
      <c r="J67" s="143"/>
    </row>
    <row r="68" spans="1:10" x14ac:dyDescent="0.35">
      <c r="B68" s="99" t="s">
        <v>116</v>
      </c>
      <c r="C68" s="52">
        <f>D17</f>
        <v>7</v>
      </c>
      <c r="D68" s="51"/>
      <c r="E68" s="51"/>
      <c r="F68" s="61"/>
      <c r="G68" s="61"/>
      <c r="H68" s="61"/>
      <c r="I68" s="61"/>
      <c r="J68" s="61"/>
    </row>
    <row r="69" spans="1:10" x14ac:dyDescent="0.35">
      <c r="B69" s="9" t="s">
        <v>293</v>
      </c>
      <c r="C69" s="102">
        <f>C17</f>
        <v>9505</v>
      </c>
      <c r="D69" s="102"/>
      <c r="E69" s="102"/>
      <c r="F69" s="61">
        <f>$C69/$C68</f>
        <v>1357.8571428571429</v>
      </c>
      <c r="G69" s="61">
        <f t="shared" ref="G69" si="31">$C69/$C68</f>
        <v>1357.8571428571429</v>
      </c>
      <c r="H69" s="61">
        <f t="shared" ref="H69" si="32">$C69/$C68</f>
        <v>1357.8571428571429</v>
      </c>
      <c r="I69" s="61">
        <f t="shared" ref="I69" si="33">$C69/$C68</f>
        <v>1357.8571428571429</v>
      </c>
      <c r="J69" s="61">
        <f t="shared" ref="J69" si="34">$C69/$C68</f>
        <v>1357.8571428571429</v>
      </c>
    </row>
    <row r="70" spans="1:10" x14ac:dyDescent="0.35">
      <c r="B70" s="51"/>
      <c r="C70" s="51"/>
      <c r="D70" s="51"/>
      <c r="E70" s="51"/>
      <c r="F70" s="61"/>
      <c r="G70" s="61"/>
      <c r="H70" s="61"/>
      <c r="I70" s="61"/>
      <c r="J70" s="61"/>
    </row>
    <row r="71" spans="1:10" x14ac:dyDescent="0.35">
      <c r="B71" s="100" t="s">
        <v>120</v>
      </c>
      <c r="C71" s="228" t="s">
        <v>121</v>
      </c>
      <c r="D71" s="108" t="s">
        <v>116</v>
      </c>
      <c r="E71" s="51"/>
      <c r="F71" s="61"/>
      <c r="G71" s="61"/>
      <c r="H71" s="61"/>
      <c r="I71" s="61"/>
      <c r="J71" s="61"/>
    </row>
    <row r="72" spans="1:10" x14ac:dyDescent="0.35">
      <c r="B72" s="111">
        <f>F$2</f>
        <v>2024</v>
      </c>
      <c r="C72" s="109" cm="1">
        <f t="array" ref="C72:C76">TRANSPOSE(F27:J27)</f>
        <v>2563.4870344885358</v>
      </c>
      <c r="D72" s="110">
        <f>D$17</f>
        <v>7</v>
      </c>
      <c r="E72" s="51"/>
      <c r="F72" s="144">
        <f>$C72/$D72/2</f>
        <v>183.10621674918113</v>
      </c>
      <c r="G72" s="145">
        <f>$C72/$D72</f>
        <v>366.21243349836226</v>
      </c>
      <c r="H72" s="145">
        <f t="shared" ref="H72:J74" si="35">$C72/$D72</f>
        <v>366.21243349836226</v>
      </c>
      <c r="I72" s="145">
        <f t="shared" si="35"/>
        <v>366.21243349836226</v>
      </c>
      <c r="J72" s="145">
        <f t="shared" si="35"/>
        <v>366.21243349836226</v>
      </c>
    </row>
    <row r="73" spans="1:10" x14ac:dyDescent="0.35">
      <c r="B73" s="111">
        <f>B72+1</f>
        <v>2025</v>
      </c>
      <c r="C73" s="109">
        <v>2998.8417522677223</v>
      </c>
      <c r="D73" s="110">
        <f t="shared" ref="D73:D76" si="36">D$17</f>
        <v>7</v>
      </c>
      <c r="E73" s="51"/>
      <c r="F73" s="144"/>
      <c r="G73" s="144">
        <f>$C73/$D73/2</f>
        <v>214.20298230483732</v>
      </c>
      <c r="H73" s="145">
        <f>$C73/$D73</f>
        <v>428.40596460967464</v>
      </c>
      <c r="I73" s="145">
        <f t="shared" si="35"/>
        <v>428.40596460967464</v>
      </c>
      <c r="J73" s="145">
        <f t="shared" si="35"/>
        <v>428.40596460967464</v>
      </c>
    </row>
    <row r="74" spans="1:10" x14ac:dyDescent="0.35">
      <c r="B74" s="111">
        <f t="shared" ref="B74:B76" si="37">B73+1</f>
        <v>2026</v>
      </c>
      <c r="C74" s="109">
        <v>3526.1014892381281</v>
      </c>
      <c r="D74" s="110">
        <f t="shared" si="36"/>
        <v>7</v>
      </c>
      <c r="E74" s="51"/>
      <c r="F74" s="146"/>
      <c r="G74" s="146"/>
      <c r="H74" s="144">
        <f>$C74/$D74/2</f>
        <v>251.86439208843771</v>
      </c>
      <c r="I74" s="145">
        <f>$C74/$D74</f>
        <v>503.72878417687542</v>
      </c>
      <c r="J74" s="145">
        <f t="shared" si="35"/>
        <v>503.72878417687542</v>
      </c>
    </row>
    <row r="75" spans="1:10" x14ac:dyDescent="0.35">
      <c r="B75" s="111">
        <f t="shared" si="37"/>
        <v>2027</v>
      </c>
      <c r="C75" s="109">
        <v>4169.5337328382529</v>
      </c>
      <c r="D75" s="110">
        <f t="shared" si="36"/>
        <v>7</v>
      </c>
      <c r="E75" s="51"/>
      <c r="F75" s="146"/>
      <c r="G75" s="146"/>
      <c r="H75" s="146"/>
      <c r="I75" s="144">
        <f>$C75/$D75/2</f>
        <v>297.82383805987519</v>
      </c>
      <c r="J75" s="145">
        <f>$C75/$D75</f>
        <v>595.64767611975037</v>
      </c>
    </row>
    <row r="76" spans="1:10" x14ac:dyDescent="0.35">
      <c r="B76" s="111">
        <f t="shared" si="37"/>
        <v>2028</v>
      </c>
      <c r="C76" s="109">
        <v>4961.1476224884063</v>
      </c>
      <c r="D76" s="110">
        <f t="shared" si="36"/>
        <v>7</v>
      </c>
      <c r="E76" s="51"/>
      <c r="F76" s="146"/>
      <c r="G76" s="146"/>
      <c r="H76" s="146"/>
      <c r="I76" s="145"/>
      <c r="J76" s="144">
        <f>$C76/$D76/2</f>
        <v>354.36768732060045</v>
      </c>
    </row>
    <row r="77" spans="1:10" x14ac:dyDescent="0.35">
      <c r="A77" s="92" t="s">
        <v>303</v>
      </c>
      <c r="B77" s="106" t="s">
        <v>302</v>
      </c>
      <c r="C77" s="96"/>
      <c r="D77" s="96"/>
      <c r="E77" s="96"/>
      <c r="F77" s="148">
        <f>SUM(F69:F76)</f>
        <v>1540.963359606324</v>
      </c>
      <c r="G77" s="148">
        <f t="shared" ref="G77:J77" si="38">SUM(G69:G76)</f>
        <v>1938.2725586603426</v>
      </c>
      <c r="H77" s="148">
        <f t="shared" si="38"/>
        <v>2404.3399330536176</v>
      </c>
      <c r="I77" s="148">
        <f t="shared" si="38"/>
        <v>2954.0281632019301</v>
      </c>
      <c r="J77" s="148">
        <f t="shared" si="38"/>
        <v>3606.219688582406</v>
      </c>
    </row>
    <row r="79" spans="1:10" x14ac:dyDescent="0.35">
      <c r="B79" s="106" t="s">
        <v>309</v>
      </c>
      <c r="C79" s="96"/>
      <c r="D79" s="96"/>
      <c r="E79" s="96"/>
      <c r="F79" s="147"/>
      <c r="G79" s="147"/>
      <c r="H79" s="147"/>
      <c r="I79" s="147"/>
      <c r="J79" s="147"/>
    </row>
    <row r="80" spans="1:10" x14ac:dyDescent="0.35">
      <c r="B80" s="99" t="s">
        <v>116</v>
      </c>
      <c r="C80" s="52">
        <f>D18</f>
        <v>5</v>
      </c>
      <c r="D80" s="51"/>
      <c r="E80" s="51"/>
      <c r="F80" s="61"/>
      <c r="G80" s="61"/>
      <c r="H80" s="61"/>
      <c r="I80" s="61"/>
      <c r="J80" s="61"/>
    </row>
    <row r="81" spans="1:10" x14ac:dyDescent="0.35">
      <c r="B81" s="9" t="s">
        <v>294</v>
      </c>
      <c r="C81" s="102">
        <f>C18</f>
        <v>3799</v>
      </c>
      <c r="D81" s="102"/>
      <c r="E81" s="102"/>
      <c r="F81" s="61">
        <f>$C81/$C80</f>
        <v>759.8</v>
      </c>
      <c r="G81" s="61">
        <f t="shared" ref="G81" si="39">$C81/$C80</f>
        <v>759.8</v>
      </c>
      <c r="H81" s="61">
        <f t="shared" ref="H81" si="40">$C81/$C80</f>
        <v>759.8</v>
      </c>
      <c r="I81" s="61">
        <f t="shared" ref="I81" si="41">$C81/$C80</f>
        <v>759.8</v>
      </c>
      <c r="J81" s="61">
        <f t="shared" ref="J81" si="42">$C81/$C80</f>
        <v>759.8</v>
      </c>
    </row>
    <row r="82" spans="1:10" x14ac:dyDescent="0.35">
      <c r="B82" s="51"/>
      <c r="C82" s="51"/>
      <c r="D82" s="51"/>
      <c r="E82" s="51"/>
      <c r="F82" s="61"/>
      <c r="G82" s="61"/>
      <c r="H82" s="61"/>
      <c r="I82" s="61"/>
      <c r="J82" s="61"/>
    </row>
    <row r="83" spans="1:10" x14ac:dyDescent="0.35">
      <c r="B83" s="100" t="s">
        <v>120</v>
      </c>
      <c r="C83" s="228" t="s">
        <v>121</v>
      </c>
      <c r="D83" s="108" t="s">
        <v>116</v>
      </c>
      <c r="E83" s="51"/>
      <c r="F83" s="61"/>
      <c r="G83" s="61"/>
      <c r="H83" s="61"/>
      <c r="I83" s="61"/>
      <c r="J83" s="61"/>
    </row>
    <row r="84" spans="1:10" x14ac:dyDescent="0.35">
      <c r="B84" s="111">
        <f>F$2</f>
        <v>2024</v>
      </c>
      <c r="C84" s="109" cm="1">
        <f t="array" ref="C84:C88">TRANSPOSE(F28:J28)</f>
        <v>1024.5857174141975</v>
      </c>
      <c r="D84" s="110">
        <f>D$18</f>
        <v>5</v>
      </c>
      <c r="E84" s="51"/>
      <c r="F84" s="144">
        <f>$C84/$D84/2</f>
        <v>102.45857174141975</v>
      </c>
      <c r="G84" s="145">
        <f>$C84/$D84</f>
        <v>204.91714348283949</v>
      </c>
      <c r="H84" s="145">
        <f t="shared" ref="H84:J86" si="43">$C84/$D84</f>
        <v>204.91714348283949</v>
      </c>
      <c r="I84" s="145">
        <f t="shared" si="43"/>
        <v>204.91714348283949</v>
      </c>
      <c r="J84" s="145">
        <f t="shared" si="43"/>
        <v>204.91714348283949</v>
      </c>
    </row>
    <row r="85" spans="1:10" x14ac:dyDescent="0.35">
      <c r="B85" s="111">
        <f>B84+1</f>
        <v>2025</v>
      </c>
      <c r="C85" s="109">
        <v>1198.5901964087404</v>
      </c>
      <c r="D85" s="110">
        <f t="shared" ref="D85:D88" si="44">D$18</f>
        <v>5</v>
      </c>
      <c r="E85" s="51"/>
      <c r="F85" s="144"/>
      <c r="G85" s="144">
        <f>$C85/$D85/2</f>
        <v>119.85901964087404</v>
      </c>
      <c r="H85" s="145">
        <f>$C85/$D85</f>
        <v>239.71803928174808</v>
      </c>
      <c r="I85" s="145">
        <f t="shared" si="43"/>
        <v>239.71803928174808</v>
      </c>
      <c r="J85" s="145">
        <f t="shared" si="43"/>
        <v>239.71803928174808</v>
      </c>
    </row>
    <row r="86" spans="1:10" x14ac:dyDescent="0.35">
      <c r="B86" s="111">
        <f t="shared" ref="B86:B88" si="45">B85+1</f>
        <v>2026</v>
      </c>
      <c r="C86" s="109">
        <v>1409.3276757091687</v>
      </c>
      <c r="D86" s="110">
        <f t="shared" si="44"/>
        <v>5</v>
      </c>
      <c r="E86" s="51"/>
      <c r="F86" s="146"/>
      <c r="G86" s="146"/>
      <c r="H86" s="144">
        <f>$C86/$D86/2</f>
        <v>140.93276757091687</v>
      </c>
      <c r="I86" s="145">
        <f>$C86/$D86</f>
        <v>281.86553514183373</v>
      </c>
      <c r="J86" s="145">
        <f t="shared" si="43"/>
        <v>281.86553514183373</v>
      </c>
    </row>
    <row r="87" spans="1:10" x14ac:dyDescent="0.35">
      <c r="B87" s="111">
        <f t="shared" si="45"/>
        <v>2027</v>
      </c>
      <c r="C87" s="109">
        <v>1666.4974909050525</v>
      </c>
      <c r="D87" s="110">
        <f t="shared" si="44"/>
        <v>5</v>
      </c>
      <c r="E87" s="51"/>
      <c r="F87" s="146"/>
      <c r="G87" s="146"/>
      <c r="H87" s="146"/>
      <c r="I87" s="144">
        <f>$C87/$D87/2</f>
        <v>166.64974909050525</v>
      </c>
      <c r="J87" s="145">
        <f>$C87/$D87</f>
        <v>333.29949818101051</v>
      </c>
    </row>
    <row r="88" spans="1:10" x14ac:dyDescent="0.35">
      <c r="B88" s="111">
        <f t="shared" si="45"/>
        <v>2028</v>
      </c>
      <c r="C88" s="109">
        <v>1982.8931949325045</v>
      </c>
      <c r="D88" s="110">
        <f t="shared" si="44"/>
        <v>5</v>
      </c>
      <c r="E88" s="51"/>
      <c r="F88" s="146"/>
      <c r="G88" s="146"/>
      <c r="H88" s="146"/>
      <c r="I88" s="145"/>
      <c r="J88" s="144">
        <f>$C88/$D88/2</f>
        <v>198.28931949325045</v>
      </c>
    </row>
    <row r="89" spans="1:10" x14ac:dyDescent="0.35">
      <c r="A89" s="92" t="s">
        <v>304</v>
      </c>
      <c r="B89" s="106" t="s">
        <v>310</v>
      </c>
      <c r="C89" s="96"/>
      <c r="D89" s="96"/>
      <c r="E89" s="96"/>
      <c r="F89" s="148">
        <f>SUM(F81:F88)</f>
        <v>862.2585717414197</v>
      </c>
      <c r="G89" s="148">
        <f t="shared" ref="G89:J89" si="46">SUM(G81:G88)</f>
        <v>1084.5761631237135</v>
      </c>
      <c r="H89" s="148">
        <f t="shared" si="46"/>
        <v>1345.3679503355045</v>
      </c>
      <c r="I89" s="148">
        <f t="shared" si="46"/>
        <v>1652.9504669969267</v>
      </c>
      <c r="J89" s="148">
        <f t="shared" si="46"/>
        <v>2017.8895355806821</v>
      </c>
    </row>
    <row r="91" spans="1:10" x14ac:dyDescent="0.35">
      <c r="B91" s="106" t="s">
        <v>306</v>
      </c>
      <c r="C91" s="96"/>
      <c r="D91" s="96"/>
      <c r="E91" s="96"/>
      <c r="F91" s="147"/>
      <c r="G91" s="147"/>
      <c r="H91" s="147"/>
      <c r="I91" s="147"/>
      <c r="J91" s="147"/>
    </row>
    <row r="92" spans="1:10" x14ac:dyDescent="0.35">
      <c r="B92" s="99" t="s">
        <v>116</v>
      </c>
      <c r="C92" s="52">
        <f>D19</f>
        <v>5</v>
      </c>
      <c r="D92" s="51"/>
      <c r="E92" s="51"/>
      <c r="F92" s="61"/>
      <c r="G92" s="61"/>
      <c r="H92" s="61"/>
      <c r="I92" s="61"/>
      <c r="J92" s="61"/>
    </row>
    <row r="93" spans="1:10" x14ac:dyDescent="0.35">
      <c r="B93" s="9" t="s">
        <v>107</v>
      </c>
      <c r="C93" s="102">
        <f>C19</f>
        <v>5791</v>
      </c>
      <c r="D93" s="102"/>
      <c r="E93" s="102"/>
      <c r="F93" s="61">
        <f>$C93/$C92</f>
        <v>1158.2</v>
      </c>
      <c r="G93" s="61">
        <f t="shared" ref="G93" si="47">$C93/$C92</f>
        <v>1158.2</v>
      </c>
      <c r="H93" s="61">
        <f t="shared" ref="H93" si="48">$C93/$C92</f>
        <v>1158.2</v>
      </c>
      <c r="I93" s="61">
        <f t="shared" ref="I93" si="49">$C93/$C92</f>
        <v>1158.2</v>
      </c>
      <c r="J93" s="61">
        <f t="shared" ref="J93" si="50">$C93/$C92</f>
        <v>1158.2</v>
      </c>
    </row>
    <row r="94" spans="1:10" x14ac:dyDescent="0.35">
      <c r="B94" s="51"/>
      <c r="C94" s="51"/>
      <c r="D94" s="51"/>
      <c r="E94" s="51"/>
      <c r="F94" s="61"/>
      <c r="G94" s="61"/>
      <c r="H94" s="61"/>
      <c r="I94" s="61"/>
      <c r="J94" s="61"/>
    </row>
    <row r="95" spans="1:10" x14ac:dyDescent="0.35">
      <c r="B95" s="100" t="s">
        <v>120</v>
      </c>
      <c r="C95" s="228" t="s">
        <v>121</v>
      </c>
      <c r="D95" s="108" t="s">
        <v>116</v>
      </c>
      <c r="E95" s="51"/>
      <c r="F95" s="61"/>
      <c r="G95" s="61"/>
      <c r="H95" s="61"/>
      <c r="I95" s="61"/>
      <c r="J95" s="61"/>
    </row>
    <row r="96" spans="1:10" x14ac:dyDescent="0.35">
      <c r="B96" s="111">
        <f>F$2</f>
        <v>2024</v>
      </c>
      <c r="C96" s="109" cm="1">
        <f t="array" ref="C96:C100">TRANSPOSE(F29:J29)</f>
        <v>1561.8257145421471</v>
      </c>
      <c r="D96" s="110">
        <f>D$19</f>
        <v>5</v>
      </c>
      <c r="E96" s="51"/>
      <c r="F96" s="144">
        <f>$C96/$D96/2</f>
        <v>156.18257145421472</v>
      </c>
      <c r="G96" s="145">
        <f>$C96/$D96</f>
        <v>312.36514290842945</v>
      </c>
      <c r="H96" s="145">
        <f t="shared" ref="H96:J98" si="51">$C96/$D96</f>
        <v>312.36514290842945</v>
      </c>
      <c r="I96" s="145">
        <f t="shared" si="51"/>
        <v>312.36514290842945</v>
      </c>
      <c r="J96" s="145">
        <f t="shared" si="51"/>
        <v>312.36514290842945</v>
      </c>
    </row>
    <row r="97" spans="1:10" x14ac:dyDescent="0.35">
      <c r="B97" s="111">
        <f>B96+1</f>
        <v>2025</v>
      </c>
      <c r="C97" s="109">
        <v>1827.0691833121914</v>
      </c>
      <c r="D97" s="110">
        <f t="shared" ref="D97:D100" si="52">D$19</f>
        <v>5</v>
      </c>
      <c r="E97" s="51"/>
      <c r="F97" s="144"/>
      <c r="G97" s="144">
        <f>$C97/$D97/2</f>
        <v>182.70691833121913</v>
      </c>
      <c r="H97" s="145">
        <f>$C97/$D97</f>
        <v>365.41383666243826</v>
      </c>
      <c r="I97" s="145">
        <f t="shared" si="51"/>
        <v>365.41383666243826</v>
      </c>
      <c r="J97" s="145">
        <f t="shared" si="51"/>
        <v>365.41383666243826</v>
      </c>
    </row>
    <row r="98" spans="1:10" x14ac:dyDescent="0.35">
      <c r="B98" s="111">
        <f t="shared" ref="B98:B100" si="53">B97+1</f>
        <v>2026</v>
      </c>
      <c r="C98" s="109">
        <v>2148.3065464679644</v>
      </c>
      <c r="D98" s="110">
        <f t="shared" si="52"/>
        <v>5</v>
      </c>
      <c r="E98" s="51"/>
      <c r="F98" s="146"/>
      <c r="G98" s="146"/>
      <c r="H98" s="144">
        <f>$C98/$D98/2</f>
        <v>214.83065464679643</v>
      </c>
      <c r="I98" s="145">
        <f>$C98/$D98</f>
        <v>429.66130929359286</v>
      </c>
      <c r="J98" s="145">
        <f t="shared" si="51"/>
        <v>429.66130929359286</v>
      </c>
    </row>
    <row r="99" spans="1:10" x14ac:dyDescent="0.35">
      <c r="B99" s="111">
        <f t="shared" si="53"/>
        <v>2027</v>
      </c>
      <c r="C99" s="109">
        <v>2540.32297179025</v>
      </c>
      <c r="D99" s="110">
        <f t="shared" si="52"/>
        <v>5</v>
      </c>
      <c r="E99" s="51"/>
      <c r="F99" s="146"/>
      <c r="G99" s="146"/>
      <c r="H99" s="146"/>
      <c r="I99" s="144">
        <f>$C99/$D99/2</f>
        <v>254.03229717902499</v>
      </c>
      <c r="J99" s="145">
        <f>$C99/$D99</f>
        <v>508.06459435804999</v>
      </c>
    </row>
    <row r="100" spans="1:10" x14ac:dyDescent="0.35">
      <c r="B100" s="111">
        <f t="shared" si="53"/>
        <v>2028</v>
      </c>
      <c r="C100" s="109">
        <v>3022.6202926702113</v>
      </c>
      <c r="D100" s="110">
        <f t="shared" si="52"/>
        <v>5</v>
      </c>
      <c r="E100" s="51"/>
      <c r="F100" s="146"/>
      <c r="G100" s="146"/>
      <c r="H100" s="146"/>
      <c r="I100" s="145"/>
      <c r="J100" s="144">
        <f>$C100/$D100/2</f>
        <v>302.26202926702115</v>
      </c>
    </row>
    <row r="101" spans="1:10" x14ac:dyDescent="0.35">
      <c r="A101" s="92" t="s">
        <v>305</v>
      </c>
      <c r="B101" s="106" t="s">
        <v>307</v>
      </c>
      <c r="C101" s="96"/>
      <c r="D101" s="96"/>
      <c r="E101" s="96"/>
      <c r="F101" s="148">
        <f>SUM(F93:F100)</f>
        <v>1314.3825714542147</v>
      </c>
      <c r="G101" s="148">
        <f t="shared" ref="G101:J101" si="54">SUM(G93:G100)</f>
        <v>1653.2720612396488</v>
      </c>
      <c r="H101" s="148">
        <f t="shared" si="54"/>
        <v>2050.8096342176646</v>
      </c>
      <c r="I101" s="148">
        <f t="shared" si="54"/>
        <v>2519.6725860434858</v>
      </c>
      <c r="J101" s="148">
        <f t="shared" si="54"/>
        <v>3075.9669124895318</v>
      </c>
    </row>
    <row r="103" spans="1:10" x14ac:dyDescent="0.35">
      <c r="B103" s="104" t="s">
        <v>311</v>
      </c>
      <c r="C103" s="140"/>
      <c r="D103" s="98"/>
      <c r="E103" s="98"/>
      <c r="F103" s="141">
        <f>SUM(F101,F89,F77,F65,F53,F41)</f>
        <v>5646.2108001999031</v>
      </c>
      <c r="G103" s="141">
        <f>SUM(G101,G89,G77,G65,G53,G41)</f>
        <v>7101.9829162161313</v>
      </c>
      <c r="H103" s="141">
        <f t="shared" ref="H103:J103" si="55">SUM(H101,H89,H77,H65,H53,H41)</f>
        <v>8809.6903879839265</v>
      </c>
      <c r="I103" s="141">
        <f t="shared" si="55"/>
        <v>10823.791244086744</v>
      </c>
      <c r="J103" s="141">
        <f t="shared" si="55"/>
        <v>13213.472226081576</v>
      </c>
    </row>
  </sheetData>
  <mergeCells count="2">
    <mergeCell ref="C1:E1"/>
    <mergeCell ref="F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7"/>
  <sheetViews>
    <sheetView showGridLines="0" zoomScale="90" zoomScaleNormal="90" workbookViewId="0">
      <pane ySplit="2" topLeftCell="A3" activePane="bottomLeft" state="frozen"/>
      <selection pane="bottomLeft" activeCell="C2" sqref="C2"/>
    </sheetView>
  </sheetViews>
  <sheetFormatPr defaultColWidth="0" defaultRowHeight="14.5" zeroHeight="1" x14ac:dyDescent="0.35"/>
  <cols>
    <col min="1" max="1" width="3.54296875" customWidth="1"/>
    <col min="2" max="2" width="64.453125" bestFit="1" customWidth="1"/>
    <col min="3" max="10" width="12.54296875" customWidth="1"/>
    <col min="11" max="11" width="9.1796875" customWidth="1"/>
  </cols>
  <sheetData>
    <row r="1" spans="1:10" ht="31.5" customHeight="1" x14ac:dyDescent="0.6">
      <c r="A1" s="66" t="str">
        <f>Index!A1</f>
        <v>TESLA Inc. Financial Modeling</v>
      </c>
      <c r="B1" s="66"/>
      <c r="C1" s="304" t="s">
        <v>18</v>
      </c>
      <c r="D1" s="304"/>
      <c r="E1" s="304"/>
      <c r="F1" s="304" t="s">
        <v>66</v>
      </c>
      <c r="G1" s="304"/>
      <c r="H1" s="304"/>
      <c r="I1" s="304"/>
      <c r="J1" s="304"/>
    </row>
    <row r="2" spans="1:10" x14ac:dyDescent="0.35">
      <c r="A2" s="67" t="s">
        <v>67</v>
      </c>
      <c r="B2" s="67"/>
      <c r="C2" s="81">
        <f>'Income Statement'!C2</f>
        <v>2021</v>
      </c>
      <c r="D2" s="81">
        <f>'Income Statement'!D2</f>
        <v>2022</v>
      </c>
      <c r="E2" s="81">
        <f>'Income Statement'!E2</f>
        <v>2023</v>
      </c>
      <c r="F2" s="81">
        <f>'Income Statement'!F2</f>
        <v>2024</v>
      </c>
      <c r="G2" s="81">
        <f>'Income Statement'!G2</f>
        <v>2025</v>
      </c>
      <c r="H2" s="81">
        <f>'Income Statement'!H2</f>
        <v>2026</v>
      </c>
      <c r="I2" s="81">
        <f>'Income Statement'!I2</f>
        <v>2027</v>
      </c>
      <c r="J2" s="81">
        <f>'Income Statement'!J2</f>
        <v>2028</v>
      </c>
    </row>
    <row r="3" spans="1:10" x14ac:dyDescent="0.35">
      <c r="B3" s="51" t="s">
        <v>42</v>
      </c>
      <c r="C3" s="51"/>
      <c r="D3" s="51"/>
      <c r="E3" s="51"/>
      <c r="F3" s="51"/>
      <c r="G3" s="51"/>
      <c r="H3" s="51"/>
      <c r="I3" s="51"/>
      <c r="J3" s="51"/>
    </row>
    <row r="4" spans="1:10" x14ac:dyDescent="0.35">
      <c r="B4" s="51" t="s">
        <v>43</v>
      </c>
      <c r="C4" s="149"/>
      <c r="D4" s="150"/>
      <c r="E4" s="150"/>
      <c r="F4" s="150"/>
      <c r="G4" s="150"/>
      <c r="H4" s="150"/>
      <c r="I4" s="150"/>
      <c r="J4" s="150"/>
    </row>
    <row r="5" spans="1:10" x14ac:dyDescent="0.35">
      <c r="B5" s="51" t="s">
        <v>44</v>
      </c>
      <c r="C5" s="149"/>
      <c r="D5" s="149"/>
      <c r="E5" s="149"/>
      <c r="F5" s="151"/>
      <c r="G5" s="151"/>
      <c r="H5" s="151"/>
      <c r="I5" s="151"/>
      <c r="J5" s="151"/>
    </row>
    <row r="6" spans="1:10" x14ac:dyDescent="0.35">
      <c r="B6" s="51" t="s">
        <v>47</v>
      </c>
      <c r="C6" s="149"/>
      <c r="D6" s="149"/>
      <c r="E6" s="149"/>
      <c r="F6" s="151"/>
      <c r="G6" s="151"/>
      <c r="H6" s="151"/>
      <c r="I6" s="151"/>
      <c r="J6" s="151"/>
    </row>
    <row r="7" spans="1:10" x14ac:dyDescent="0.35">
      <c r="B7" s="51" t="s">
        <v>45</v>
      </c>
      <c r="C7" s="149"/>
      <c r="D7" s="149"/>
      <c r="E7" s="149"/>
      <c r="F7" s="150"/>
      <c r="G7" s="150"/>
      <c r="H7" s="150"/>
      <c r="I7" s="150"/>
      <c r="J7" s="150"/>
    </row>
    <row r="8" spans="1:10" s="2" customFormat="1" x14ac:dyDescent="0.35">
      <c r="B8" s="21" t="s">
        <v>46</v>
      </c>
      <c r="C8" s="152"/>
      <c r="D8" s="152"/>
      <c r="E8" s="152"/>
      <c r="F8" s="153"/>
      <c r="G8" s="153"/>
      <c r="H8" s="153"/>
      <c r="I8" s="153"/>
      <c r="J8" s="153"/>
    </row>
    <row r="9" spans="1:10" x14ac:dyDescent="0.35">
      <c r="B9" s="51"/>
      <c r="C9" s="150"/>
      <c r="D9" s="150"/>
      <c r="E9" s="150"/>
      <c r="F9" s="150"/>
      <c r="G9" s="150"/>
      <c r="H9" s="150"/>
      <c r="I9" s="150"/>
      <c r="J9" s="150"/>
    </row>
    <row r="10" spans="1:10" x14ac:dyDescent="0.35">
      <c r="B10" s="51" t="s">
        <v>48</v>
      </c>
      <c r="C10" s="150"/>
      <c r="D10" s="150"/>
      <c r="E10" s="150"/>
      <c r="F10" s="150"/>
      <c r="G10" s="150"/>
      <c r="H10" s="150"/>
      <c r="I10" s="150"/>
      <c r="J10" s="150"/>
    </row>
    <row r="11" spans="1:10" x14ac:dyDescent="0.35">
      <c r="B11" s="51" t="s">
        <v>43</v>
      </c>
      <c r="C11" s="149"/>
      <c r="D11" s="150"/>
      <c r="E11" s="150"/>
      <c r="F11" s="150"/>
      <c r="G11" s="150"/>
      <c r="H11" s="150"/>
      <c r="I11" s="150"/>
      <c r="J11" s="150"/>
    </row>
    <row r="12" spans="1:10" x14ac:dyDescent="0.35">
      <c r="B12" s="51" t="s">
        <v>12</v>
      </c>
      <c r="C12" s="149"/>
      <c r="D12" s="149"/>
      <c r="E12" s="149"/>
      <c r="F12" s="154"/>
      <c r="G12" s="154"/>
      <c r="H12" s="154"/>
      <c r="I12" s="154"/>
      <c r="J12" s="154"/>
    </row>
    <row r="13" spans="1:10" x14ac:dyDescent="0.35">
      <c r="B13" s="51" t="s">
        <v>49</v>
      </c>
      <c r="C13" s="149"/>
      <c r="D13" s="149"/>
      <c r="E13" s="149"/>
      <c r="F13" s="154"/>
      <c r="G13" s="154"/>
      <c r="H13" s="154"/>
      <c r="I13" s="154"/>
      <c r="J13" s="154"/>
    </row>
    <row r="14" spans="1:10" x14ac:dyDescent="0.35">
      <c r="B14" s="51" t="s">
        <v>47</v>
      </c>
      <c r="C14" s="149"/>
      <c r="D14" s="149"/>
      <c r="E14" s="149"/>
      <c r="F14" s="150"/>
      <c r="G14" s="150"/>
      <c r="H14" s="150"/>
      <c r="I14" s="150"/>
      <c r="J14" s="150"/>
    </row>
    <row r="15" spans="1:10" x14ac:dyDescent="0.35">
      <c r="B15" s="51" t="s">
        <v>50</v>
      </c>
      <c r="C15" s="149"/>
      <c r="D15" s="149"/>
      <c r="E15" s="149"/>
      <c r="F15" s="150"/>
      <c r="G15" s="150"/>
      <c r="H15" s="150"/>
      <c r="I15" s="150"/>
      <c r="J15" s="150"/>
    </row>
    <row r="16" spans="1:10" x14ac:dyDescent="0.35">
      <c r="B16" s="51" t="s">
        <v>51</v>
      </c>
      <c r="C16" s="149"/>
      <c r="D16" s="149"/>
      <c r="E16" s="149"/>
      <c r="F16" s="150"/>
      <c r="G16" s="150"/>
      <c r="H16" s="150"/>
      <c r="I16" s="150"/>
      <c r="J16" s="150"/>
    </row>
    <row r="17" spans="2:2" x14ac:dyDescent="0.35">
      <c r="B17" s="21" t="s">
        <v>46</v>
      </c>
    </row>
    <row r="18" spans="2:2" x14ac:dyDescent="0.35">
      <c r="B18" s="51"/>
    </row>
    <row r="19" spans="2:2" x14ac:dyDescent="0.35">
      <c r="B19" s="51" t="s">
        <v>52</v>
      </c>
    </row>
    <row r="20" spans="2:2" x14ac:dyDescent="0.35">
      <c r="B20" s="51" t="s">
        <v>43</v>
      </c>
    </row>
    <row r="21" spans="2:2" x14ac:dyDescent="0.35">
      <c r="B21" s="51" t="s">
        <v>53</v>
      </c>
    </row>
    <row r="22" spans="2:2" x14ac:dyDescent="0.35">
      <c r="B22" s="51" t="s">
        <v>51</v>
      </c>
    </row>
    <row r="23" spans="2:2" s="2" customFormat="1" x14ac:dyDescent="0.35">
      <c r="B23" s="21" t="s">
        <v>46</v>
      </c>
    </row>
    <row r="24" spans="2:2" x14ac:dyDescent="0.35">
      <c r="B24" s="51"/>
    </row>
    <row r="25" spans="2:2" s="2" customFormat="1" x14ac:dyDescent="0.35">
      <c r="B25" s="21" t="s">
        <v>54</v>
      </c>
    </row>
    <row r="26" spans="2:2" x14ac:dyDescent="0.35">
      <c r="B26" s="51"/>
    </row>
    <row r="27" spans="2:2" x14ac:dyDescent="0.35">
      <c r="B27" s="51" t="s">
        <v>55</v>
      </c>
    </row>
  </sheetData>
  <mergeCells count="2">
    <mergeCell ref="F1:J1"/>
    <mergeCell ref="C1:E1"/>
  </mergeCells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4"/>
  <sheetViews>
    <sheetView showGridLines="0" zoomScale="90" zoomScaleNormal="90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ColWidth="9.1796875" defaultRowHeight="14.5" x14ac:dyDescent="0.35"/>
  <cols>
    <col min="1" max="1" width="3.54296875" customWidth="1"/>
    <col min="2" max="2" width="54.54296875" customWidth="1"/>
    <col min="3" max="10" width="12.54296875" customWidth="1"/>
    <col min="11" max="11" width="9.1796875" customWidth="1"/>
    <col min="12" max="16384" width="9.1796875" style="5"/>
  </cols>
  <sheetData>
    <row r="1" spans="1:10" ht="31.5" customHeight="1" x14ac:dyDescent="0.6">
      <c r="A1" s="66" t="str">
        <f>Index!A1</f>
        <v>TESLA Inc. Financial Modeling</v>
      </c>
      <c r="B1" s="66"/>
      <c r="C1" s="305" t="s">
        <v>18</v>
      </c>
      <c r="D1" s="304"/>
      <c r="E1" s="304"/>
      <c r="F1" s="304" t="s">
        <v>66</v>
      </c>
      <c r="G1" s="304"/>
      <c r="H1" s="304"/>
      <c r="I1" s="304"/>
      <c r="J1" s="304"/>
    </row>
    <row r="2" spans="1:10" x14ac:dyDescent="0.35">
      <c r="A2" s="67" t="s">
        <v>67</v>
      </c>
      <c r="B2" s="67"/>
      <c r="C2" s="81">
        <f>'Income Statement'!C2</f>
        <v>2021</v>
      </c>
      <c r="D2" s="81">
        <f>'Income Statement'!D2</f>
        <v>2022</v>
      </c>
      <c r="E2" s="81">
        <f>'Income Statement'!E2</f>
        <v>2023</v>
      </c>
      <c r="F2" s="81">
        <f>'Income Statement'!F2</f>
        <v>2024</v>
      </c>
      <c r="G2" s="81">
        <f>'Income Statement'!G2</f>
        <v>2025</v>
      </c>
      <c r="H2" s="81">
        <f>'Income Statement'!H2</f>
        <v>2026</v>
      </c>
      <c r="I2" s="81">
        <f>'Income Statement'!I2</f>
        <v>2027</v>
      </c>
      <c r="J2" s="81">
        <f>'Income Statement'!J2</f>
        <v>2028</v>
      </c>
    </row>
    <row r="3" spans="1:10" x14ac:dyDescent="0.35">
      <c r="B3" s="114" t="s">
        <v>187</v>
      </c>
      <c r="C3" s="253"/>
      <c r="D3" s="253"/>
      <c r="E3" s="253"/>
      <c r="F3" s="254">
        <f>'Cash Flow'!F21+'Cash Flow'!F35</f>
        <v>-1676.401095108331</v>
      </c>
      <c r="G3" s="254">
        <f>'Cash Flow'!G21+'Cash Flow'!G35</f>
        <v>-613.44198941711147</v>
      </c>
      <c r="H3" s="254">
        <f>'Cash Flow'!H21+'Cash Flow'!H35</f>
        <v>-747.04555924570195</v>
      </c>
      <c r="I3" s="254">
        <f>'Cash Flow'!I21+'Cash Flow'!I35</f>
        <v>-1106.9141284051948</v>
      </c>
      <c r="J3" s="254">
        <f>'Cash Flow'!J21+'Cash Flow'!J35</f>
        <v>11875.422830229651</v>
      </c>
    </row>
    <row r="4" spans="1:10" x14ac:dyDescent="0.35">
      <c r="B4" s="113" t="s">
        <v>188</v>
      </c>
      <c r="C4" s="253"/>
      <c r="D4" s="253"/>
      <c r="E4" s="253"/>
      <c r="F4" s="254"/>
      <c r="G4" s="254"/>
      <c r="H4" s="254"/>
      <c r="I4" s="254"/>
      <c r="J4" s="254"/>
    </row>
    <row r="5" spans="1:10" x14ac:dyDescent="0.35">
      <c r="B5" s="113" t="s">
        <v>189</v>
      </c>
      <c r="C5" s="253"/>
      <c r="D5" s="253"/>
      <c r="E5" s="253"/>
      <c r="F5" s="254">
        <f>'Cash Flow'!F50</f>
        <v>17189</v>
      </c>
      <c r="G5" s="254">
        <f>'Cash Flow'!G50</f>
        <v>13534.598904891669</v>
      </c>
      <c r="H5" s="254">
        <f>'Cash Flow'!H50</f>
        <v>11254.156915474558</v>
      </c>
      <c r="I5" s="254">
        <f>'Cash Flow'!I50</f>
        <v>10013.111356228856</v>
      </c>
      <c r="J5" s="254">
        <f>'Cash Flow'!J50</f>
        <v>8630.1972278236608</v>
      </c>
    </row>
    <row r="6" spans="1:10" x14ac:dyDescent="0.35">
      <c r="B6" s="113" t="s">
        <v>190</v>
      </c>
      <c r="C6" s="253"/>
      <c r="D6" s="253"/>
      <c r="E6" s="253"/>
      <c r="F6" s="255">
        <v>-10000</v>
      </c>
      <c r="G6" s="255">
        <v>-10000</v>
      </c>
      <c r="H6" s="255">
        <v>-10000</v>
      </c>
      <c r="I6" s="255">
        <v>-10000</v>
      </c>
      <c r="J6" s="255">
        <v>-10000</v>
      </c>
    </row>
    <row r="7" spans="1:10" x14ac:dyDescent="0.35">
      <c r="B7" s="115" t="s">
        <v>191</v>
      </c>
      <c r="C7" s="256"/>
      <c r="D7" s="257"/>
      <c r="E7" s="257"/>
      <c r="F7" s="258">
        <f>SUM(F3:F6)</f>
        <v>5512.598904891669</v>
      </c>
      <c r="G7" s="258">
        <f t="shared" ref="G7:J7" si="0">SUM(G3:G6)</f>
        <v>2921.1569154745575</v>
      </c>
      <c r="H7" s="258">
        <f t="shared" si="0"/>
        <v>507.11135622885558</v>
      </c>
      <c r="I7" s="258">
        <f t="shared" si="0"/>
        <v>-1093.8027721763392</v>
      </c>
      <c r="J7" s="258">
        <f t="shared" si="0"/>
        <v>10505.620058053311</v>
      </c>
    </row>
    <row r="8" spans="1:10" x14ac:dyDescent="0.35">
      <c r="B8" s="112"/>
      <c r="C8" s="253"/>
      <c r="D8" s="253"/>
      <c r="E8" s="253"/>
      <c r="F8" s="253"/>
      <c r="G8" s="253"/>
      <c r="H8" s="253"/>
      <c r="I8" s="253"/>
      <c r="J8" s="253"/>
    </row>
    <row r="9" spans="1:10" x14ac:dyDescent="0.35">
      <c r="B9" s="114" t="s">
        <v>192</v>
      </c>
      <c r="C9" s="253"/>
      <c r="D9" s="253"/>
      <c r="E9" s="253"/>
      <c r="F9" s="253"/>
      <c r="G9" s="253"/>
      <c r="H9" s="253"/>
      <c r="I9" s="253"/>
      <c r="J9" s="253"/>
    </row>
    <row r="10" spans="1:10" x14ac:dyDescent="0.35">
      <c r="B10" s="113" t="s">
        <v>193</v>
      </c>
      <c r="C10" s="253"/>
      <c r="D10" s="253"/>
      <c r="E10" s="253">
        <f>D13</f>
        <v>5330</v>
      </c>
      <c r="F10" s="253">
        <f t="shared" ref="F10:J10" si="1">E13</f>
        <v>8153</v>
      </c>
      <c r="G10" s="253">
        <f t="shared" si="1"/>
        <v>6175</v>
      </c>
      <c r="H10" s="253">
        <f t="shared" si="1"/>
        <v>4508</v>
      </c>
      <c r="I10" s="253">
        <f t="shared" si="1"/>
        <v>4014</v>
      </c>
      <c r="J10" s="253">
        <f t="shared" si="1"/>
        <v>3738</v>
      </c>
    </row>
    <row r="11" spans="1:10" x14ac:dyDescent="0.35">
      <c r="B11" s="113" t="s">
        <v>194</v>
      </c>
      <c r="C11" s="253"/>
      <c r="D11" s="253"/>
      <c r="E11" s="253"/>
      <c r="F11" s="259"/>
      <c r="G11" s="259"/>
      <c r="H11" s="259"/>
      <c r="I11" s="259"/>
      <c r="J11" s="259"/>
    </row>
    <row r="12" spans="1:10" x14ac:dyDescent="0.35">
      <c r="B12" s="113" t="s">
        <v>195</v>
      </c>
      <c r="C12" s="253"/>
      <c r="D12" s="253"/>
      <c r="E12" s="253"/>
      <c r="F12" s="255">
        <v>-1978</v>
      </c>
      <c r="G12" s="255">
        <v>-1667</v>
      </c>
      <c r="H12" s="255">
        <v>-494</v>
      </c>
      <c r="I12" s="255">
        <v>-276</v>
      </c>
      <c r="J12" s="255">
        <v>-44</v>
      </c>
    </row>
    <row r="13" spans="1:10" s="39" customFormat="1" x14ac:dyDescent="0.3">
      <c r="A13" s="40"/>
      <c r="B13" s="115" t="s">
        <v>196</v>
      </c>
      <c r="C13" s="261">
        <f>'Balance Sheet'!C36</f>
        <v>0</v>
      </c>
      <c r="D13" s="261">
        <f>'Balance Sheet'!D36</f>
        <v>5330</v>
      </c>
      <c r="E13" s="261">
        <f>'Balance Sheet'!E36</f>
        <v>8153</v>
      </c>
      <c r="F13" s="258">
        <f>SUM(F10:F12)</f>
        <v>6175</v>
      </c>
      <c r="G13" s="258">
        <f t="shared" ref="G13:J13" si="2">SUM(G10:G12)</f>
        <v>4508</v>
      </c>
      <c r="H13" s="258">
        <f t="shared" si="2"/>
        <v>4014</v>
      </c>
      <c r="I13" s="258">
        <f t="shared" si="2"/>
        <v>3738</v>
      </c>
      <c r="J13" s="258">
        <f t="shared" si="2"/>
        <v>3694</v>
      </c>
    </row>
    <row r="14" spans="1:10" x14ac:dyDescent="0.35">
      <c r="B14" s="112"/>
      <c r="C14" s="253"/>
      <c r="D14" s="253"/>
      <c r="E14" s="253"/>
      <c r="F14" s="253"/>
      <c r="G14" s="253"/>
      <c r="H14" s="253"/>
      <c r="I14" s="253"/>
      <c r="J14" s="253"/>
    </row>
    <row r="15" spans="1:10" x14ac:dyDescent="0.35">
      <c r="B15" s="114" t="s">
        <v>197</v>
      </c>
      <c r="C15" s="253"/>
      <c r="D15" s="253"/>
      <c r="E15" s="253"/>
      <c r="F15" s="253"/>
      <c r="G15" s="253"/>
      <c r="H15" s="253"/>
      <c r="I15" s="253"/>
      <c r="J15" s="253"/>
    </row>
    <row r="16" spans="1:10" x14ac:dyDescent="0.35">
      <c r="B16" s="117" t="s">
        <v>94</v>
      </c>
      <c r="C16" s="260">
        <f>-'Income Statement'!C47</f>
        <v>371</v>
      </c>
      <c r="D16" s="260">
        <f>-'Income Statement'!D47</f>
        <v>191</v>
      </c>
      <c r="E16" s="260">
        <f>-'Income Statement'!E47</f>
        <v>156</v>
      </c>
      <c r="F16" s="260">
        <f>F17*AVERAGE(F13,E13)</f>
        <v>214.92</v>
      </c>
      <c r="G16" s="260">
        <f t="shared" ref="G16:J16" si="3">G17*AVERAGE(G13,F13)</f>
        <v>160.245</v>
      </c>
      <c r="H16" s="260">
        <f t="shared" si="3"/>
        <v>127.83</v>
      </c>
      <c r="I16" s="260">
        <f t="shared" si="3"/>
        <v>116.28</v>
      </c>
      <c r="J16" s="260">
        <f t="shared" si="3"/>
        <v>111.47999999999999</v>
      </c>
    </row>
    <row r="17" spans="2:10" x14ac:dyDescent="0.35">
      <c r="B17" s="113" t="s">
        <v>198</v>
      </c>
      <c r="C17" s="253"/>
      <c r="D17" s="265">
        <f>D16/AVERAGE(D13,C13)</f>
        <v>7.1669793621013139E-2</v>
      </c>
      <c r="E17" s="265">
        <f>E16/AVERAGE(E13,D13)</f>
        <v>2.3140250686049101E-2</v>
      </c>
      <c r="F17" s="266">
        <v>0.03</v>
      </c>
      <c r="G17" s="266">
        <v>0.03</v>
      </c>
      <c r="H17" s="266">
        <v>0.03</v>
      </c>
      <c r="I17" s="266">
        <v>0.03</v>
      </c>
      <c r="J17" s="266">
        <v>0.03</v>
      </c>
    </row>
    <row r="18" spans="2:10" x14ac:dyDescent="0.35">
      <c r="B18" s="112"/>
      <c r="C18" s="253"/>
      <c r="D18" s="253"/>
      <c r="E18" s="253"/>
      <c r="F18" s="253"/>
      <c r="G18" s="253"/>
      <c r="H18" s="253"/>
      <c r="I18" s="253"/>
      <c r="J18" s="253"/>
    </row>
    <row r="19" spans="2:10" x14ac:dyDescent="0.35">
      <c r="B19" s="114" t="s">
        <v>199</v>
      </c>
      <c r="C19" s="253"/>
      <c r="D19" s="253"/>
      <c r="E19" s="253"/>
      <c r="F19" s="253"/>
      <c r="G19" s="253"/>
      <c r="H19" s="253"/>
      <c r="I19" s="253"/>
      <c r="J19" s="253"/>
    </row>
    <row r="20" spans="2:10" x14ac:dyDescent="0.35">
      <c r="B20" s="113" t="s">
        <v>200</v>
      </c>
      <c r="C20" s="253"/>
      <c r="D20" s="259">
        <f>AVERAGE('Balance Sheet'!C5:D5)</f>
        <v>16253</v>
      </c>
      <c r="E20" s="259">
        <f>AVERAGE('Balance Sheet'!D5:E5)</f>
        <v>16325.5</v>
      </c>
      <c r="F20" s="259">
        <f>AVERAGE('Balance Sheet'!E5:F5)</f>
        <v>14966.299452445834</v>
      </c>
      <c r="G20" s="259">
        <f>AVERAGE('Balance Sheet'!F5:G5)</f>
        <v>12394.377910183113</v>
      </c>
      <c r="H20" s="259">
        <f>AVERAGE('Balance Sheet'!G5:H5)</f>
        <v>10633.634135851706</v>
      </c>
      <c r="I20" s="259">
        <f>AVERAGE('Balance Sheet'!H5:I5)</f>
        <v>9321.6542920262582</v>
      </c>
      <c r="J20" s="259">
        <f>AVERAGE('Balance Sheet'!I5:J5)</f>
        <v>14545.908642938486</v>
      </c>
    </row>
    <row r="21" spans="2:10" x14ac:dyDescent="0.35">
      <c r="B21" s="113" t="s">
        <v>201</v>
      </c>
      <c r="C21" s="253"/>
      <c r="D21" s="265">
        <f>D22/D20</f>
        <v>1.8273549498554115E-2</v>
      </c>
      <c r="E21" s="265">
        <f>E22/E20</f>
        <v>6.5296621849254236E-2</v>
      </c>
      <c r="F21" s="264">
        <f>0.06</f>
        <v>0.06</v>
      </c>
      <c r="G21" s="264">
        <f t="shared" ref="G21:J21" si="4">0.06</f>
        <v>0.06</v>
      </c>
      <c r="H21" s="264">
        <f t="shared" si="4"/>
        <v>0.06</v>
      </c>
      <c r="I21" s="264">
        <f t="shared" si="4"/>
        <v>0.06</v>
      </c>
      <c r="J21" s="264">
        <f t="shared" si="4"/>
        <v>0.06</v>
      </c>
    </row>
    <row r="22" spans="2:10" x14ac:dyDescent="0.35">
      <c r="B22" s="117" t="s">
        <v>202</v>
      </c>
      <c r="C22" s="260">
        <f>'Income Statement'!C46</f>
        <v>56</v>
      </c>
      <c r="D22" s="260">
        <f>'Income Statement'!D46</f>
        <v>297</v>
      </c>
      <c r="E22" s="260">
        <f>'Income Statement'!E46</f>
        <v>1066</v>
      </c>
      <c r="F22" s="260">
        <f>F20*F21</f>
        <v>897.97796714674996</v>
      </c>
      <c r="G22" s="260">
        <f t="shared" ref="G22:J22" si="5">G20*G21</f>
        <v>743.66267461098676</v>
      </c>
      <c r="H22" s="260">
        <f t="shared" si="5"/>
        <v>638.01804815110233</v>
      </c>
      <c r="I22" s="260">
        <f t="shared" si="5"/>
        <v>559.29925752157544</v>
      </c>
      <c r="J22" s="260">
        <f t="shared" si="5"/>
        <v>872.75451857630912</v>
      </c>
    </row>
    <row r="23" spans="2:10" x14ac:dyDescent="0.35">
      <c r="B23" s="112"/>
      <c r="C23" s="253"/>
      <c r="D23" s="253"/>
      <c r="E23" s="253"/>
      <c r="F23" s="253"/>
      <c r="G23" s="253"/>
      <c r="H23" s="253"/>
      <c r="I23" s="253"/>
      <c r="J23" s="253"/>
    </row>
    <row r="24" spans="2:10" x14ac:dyDescent="0.35">
      <c r="B24" s="117" t="s">
        <v>203</v>
      </c>
      <c r="C24" s="260"/>
      <c r="D24" s="260"/>
      <c r="E24" s="260"/>
      <c r="F24" s="260">
        <f>F22-F16</f>
        <v>683.05796714675</v>
      </c>
      <c r="G24" s="260">
        <f t="shared" ref="G24:J24" si="6">G22-G16</f>
        <v>583.41767461098675</v>
      </c>
      <c r="H24" s="260">
        <f t="shared" si="6"/>
        <v>510.18804815110235</v>
      </c>
      <c r="I24" s="260">
        <f t="shared" si="6"/>
        <v>443.01925752157547</v>
      </c>
      <c r="J24" s="260">
        <f t="shared" si="6"/>
        <v>761.27451857630911</v>
      </c>
    </row>
  </sheetData>
  <mergeCells count="2">
    <mergeCell ref="C1:E1"/>
    <mergeCell ref="F1:J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86"/>
  <sheetViews>
    <sheetView showGridLines="0" tabSelected="1" topLeftCell="A53" zoomScale="90" zoomScaleNormal="90" workbookViewId="0">
      <selection activeCell="F19" sqref="F19"/>
    </sheetView>
  </sheetViews>
  <sheetFormatPr defaultColWidth="9.1796875" defaultRowHeight="14.5" x14ac:dyDescent="0.35"/>
  <cols>
    <col min="1" max="1" width="2.81640625" style="4" customWidth="1"/>
    <col min="2" max="2" width="48" style="4" customWidth="1"/>
    <col min="3" max="3" width="14.81640625" style="4" customWidth="1"/>
    <col min="4" max="4" width="15.54296875" style="4" bestFit="1" customWidth="1"/>
    <col min="5" max="7" width="13.81640625" style="4" bestFit="1" customWidth="1"/>
    <col min="8" max="8" width="14.7265625" style="4" bestFit="1" customWidth="1"/>
    <col min="9" max="9" width="15.54296875" style="4" bestFit="1" customWidth="1"/>
    <col min="10" max="19" width="15.54296875" style="4" customWidth="1"/>
    <col min="20" max="25" width="15.54296875" style="5" customWidth="1"/>
    <col min="26" max="26" width="9.1796875" style="5"/>
    <col min="27" max="16384" width="9.1796875" style="4"/>
  </cols>
  <sheetData>
    <row r="1" spans="1:25" ht="31.5" customHeight="1" x14ac:dyDescent="0.5">
      <c r="A1" s="66" t="str">
        <f>Index!A1</f>
        <v>TESLA Inc. Financial Modeling</v>
      </c>
      <c r="B1" s="82"/>
      <c r="C1" s="68"/>
      <c r="D1" s="308" t="s">
        <v>18</v>
      </c>
      <c r="E1" s="308"/>
      <c r="F1" s="308" t="s">
        <v>204</v>
      </c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</row>
    <row r="2" spans="1:25" x14ac:dyDescent="0.35">
      <c r="A2" s="67" t="s">
        <v>67</v>
      </c>
      <c r="B2" s="83"/>
      <c r="C2" s="74"/>
      <c r="D2" s="81">
        <v>2022</v>
      </c>
      <c r="E2" s="81">
        <f t="shared" ref="E2:Y2" si="0">D2+1</f>
        <v>2023</v>
      </c>
      <c r="F2" s="81">
        <f t="shared" si="0"/>
        <v>2024</v>
      </c>
      <c r="G2" s="81">
        <f t="shared" si="0"/>
        <v>2025</v>
      </c>
      <c r="H2" s="81">
        <f t="shared" si="0"/>
        <v>2026</v>
      </c>
      <c r="I2" s="81">
        <f t="shared" si="0"/>
        <v>2027</v>
      </c>
      <c r="J2" s="81">
        <f t="shared" si="0"/>
        <v>2028</v>
      </c>
      <c r="K2" s="81">
        <f t="shared" si="0"/>
        <v>2029</v>
      </c>
      <c r="L2" s="81">
        <f t="shared" si="0"/>
        <v>2030</v>
      </c>
      <c r="M2" s="81">
        <f t="shared" si="0"/>
        <v>2031</v>
      </c>
      <c r="N2" s="81">
        <f t="shared" si="0"/>
        <v>2032</v>
      </c>
      <c r="O2" s="81">
        <f t="shared" si="0"/>
        <v>2033</v>
      </c>
      <c r="P2" s="81">
        <f t="shared" si="0"/>
        <v>2034</v>
      </c>
      <c r="Q2" s="81">
        <f t="shared" si="0"/>
        <v>2035</v>
      </c>
      <c r="R2" s="81">
        <f t="shared" si="0"/>
        <v>2036</v>
      </c>
      <c r="S2" s="81">
        <f t="shared" si="0"/>
        <v>2037</v>
      </c>
      <c r="T2" s="81">
        <f t="shared" si="0"/>
        <v>2038</v>
      </c>
      <c r="U2" s="81">
        <f t="shared" si="0"/>
        <v>2039</v>
      </c>
      <c r="V2" s="81">
        <f t="shared" si="0"/>
        <v>2040</v>
      </c>
      <c r="W2" s="81">
        <f t="shared" si="0"/>
        <v>2041</v>
      </c>
      <c r="X2" s="81">
        <f t="shared" si="0"/>
        <v>2042</v>
      </c>
      <c r="Y2" s="81">
        <f t="shared" si="0"/>
        <v>2043</v>
      </c>
    </row>
    <row r="3" spans="1:25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25" x14ac:dyDescent="0.35">
      <c r="A4"/>
      <c r="B4" s="155" t="s">
        <v>131</v>
      </c>
      <c r="C4" s="60"/>
      <c r="D4" s="156"/>
      <c r="E4" s="156"/>
      <c r="F4" s="157">
        <f>'Income Statement'!F22</f>
        <v>11272.345499999985</v>
      </c>
      <c r="G4" s="157">
        <f>'Income Statement'!G22</f>
        <v>12984.374264999973</v>
      </c>
      <c r="H4" s="157">
        <f>'Income Statement'!H22</f>
        <v>15003.222418949976</v>
      </c>
      <c r="I4" s="157">
        <f>'Income Statement'!I22</f>
        <v>17398.080851518502</v>
      </c>
      <c r="J4" s="157">
        <f>'Income Statement'!J22</f>
        <v>20258.721216599071</v>
      </c>
      <c r="K4" s="157"/>
      <c r="L4" s="158"/>
      <c r="M4" s="158"/>
      <c r="N4" s="158"/>
      <c r="O4" s="158"/>
      <c r="P4" s="158"/>
      <c r="Q4" s="158"/>
      <c r="R4" s="158"/>
      <c r="S4" s="159"/>
      <c r="T4" s="160"/>
      <c r="U4" s="160"/>
      <c r="V4" s="160"/>
      <c r="W4" s="160"/>
      <c r="X4" s="160"/>
      <c r="Y4" s="160"/>
    </row>
    <row r="5" spans="1:25" x14ac:dyDescent="0.35">
      <c r="A5"/>
      <c r="B5" s="161"/>
      <c r="C5" s="60"/>
      <c r="D5" s="60"/>
      <c r="E5" s="60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159"/>
      <c r="T5" s="160"/>
      <c r="U5" s="160"/>
      <c r="V5" s="160"/>
      <c r="W5" s="160"/>
      <c r="X5" s="160"/>
      <c r="Y5" s="160"/>
    </row>
    <row r="6" spans="1:25" x14ac:dyDescent="0.35">
      <c r="A6"/>
      <c r="B6" s="155" t="s">
        <v>132</v>
      </c>
      <c r="C6" s="60"/>
      <c r="D6" s="60"/>
      <c r="E6" s="60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159"/>
      <c r="T6" s="160"/>
      <c r="U6" s="160"/>
      <c r="V6" s="160"/>
      <c r="W6" s="160"/>
      <c r="X6" s="160"/>
      <c r="Y6" s="160"/>
    </row>
    <row r="7" spans="1:25" x14ac:dyDescent="0.35">
      <c r="A7"/>
      <c r="B7" s="161" t="s">
        <v>133</v>
      </c>
      <c r="C7" s="60"/>
      <c r="D7" s="156"/>
      <c r="E7" s="156"/>
      <c r="F7" s="157">
        <f>F4*(1-'Income Statement'!F28)</f>
        <v>10145.110949999987</v>
      </c>
      <c r="G7" s="157">
        <f>G4*(1-'Income Statement'!G28)</f>
        <v>11685.936838499976</v>
      </c>
      <c r="H7" s="157">
        <f>H4*(1-'Income Statement'!H28)</f>
        <v>13502.900177054978</v>
      </c>
      <c r="I7" s="157">
        <f>I4*(1-'Income Statement'!I28)</f>
        <v>15658.272766366652</v>
      </c>
      <c r="J7" s="157">
        <f>J4*(1-'Income Statement'!J28)</f>
        <v>18232.849094939163</v>
      </c>
      <c r="K7" s="158"/>
      <c r="L7" s="158"/>
      <c r="M7" s="158"/>
      <c r="N7" s="158"/>
      <c r="O7" s="158"/>
      <c r="P7" s="158"/>
      <c r="Q7" s="158"/>
      <c r="R7" s="158"/>
      <c r="S7" s="159"/>
      <c r="T7" s="160"/>
      <c r="U7" s="160"/>
      <c r="V7" s="160"/>
      <c r="W7" s="160"/>
      <c r="X7" s="160"/>
      <c r="Y7" s="160"/>
    </row>
    <row r="8" spans="1:25" x14ac:dyDescent="0.35">
      <c r="A8"/>
      <c r="B8" s="162" t="s">
        <v>134</v>
      </c>
      <c r="C8" s="60"/>
      <c r="D8" s="60"/>
      <c r="E8" s="60"/>
      <c r="F8" s="157">
        <f>'Income Statement'!F41</f>
        <v>5646.2108001999031</v>
      </c>
      <c r="G8" s="157">
        <f>'Income Statement'!G41</f>
        <v>7101.9829162161313</v>
      </c>
      <c r="H8" s="157">
        <f>'Income Statement'!H41</f>
        <v>8809.6903879839265</v>
      </c>
      <c r="I8" s="157">
        <f>'Income Statement'!I41</f>
        <v>10823.791244086744</v>
      </c>
      <c r="J8" s="157">
        <f>'Income Statement'!J41</f>
        <v>13213.472226081576</v>
      </c>
      <c r="K8" s="158"/>
      <c r="L8" s="158"/>
      <c r="M8" s="158"/>
      <c r="N8" s="158"/>
      <c r="O8" s="158"/>
      <c r="P8" s="158"/>
      <c r="Q8" s="158"/>
      <c r="R8" s="158"/>
      <c r="S8" s="159"/>
      <c r="T8" s="160"/>
      <c r="U8" s="160"/>
      <c r="V8" s="160"/>
      <c r="W8" s="160"/>
      <c r="X8" s="160"/>
      <c r="Y8" s="160"/>
    </row>
    <row r="9" spans="1:25" x14ac:dyDescent="0.35">
      <c r="A9"/>
      <c r="B9" s="163" t="s">
        <v>135</v>
      </c>
      <c r="C9" s="60"/>
      <c r="D9" s="60"/>
      <c r="E9" s="60"/>
      <c r="F9" s="164">
        <f>'Income Statement'!F42</f>
        <v>0</v>
      </c>
      <c r="G9" s="164">
        <f>'Income Statement'!G42</f>
        <v>0</v>
      </c>
      <c r="H9" s="164">
        <f>'Income Statement'!H42</f>
        <v>0</v>
      </c>
      <c r="I9" s="164">
        <f>'Income Statement'!I42</f>
        <v>0</v>
      </c>
      <c r="J9" s="164">
        <f>'Income Statement'!J42</f>
        <v>0</v>
      </c>
      <c r="K9" s="165"/>
      <c r="L9" s="165"/>
      <c r="M9" s="165"/>
      <c r="N9" s="165"/>
      <c r="O9" s="165"/>
      <c r="P9" s="165"/>
      <c r="Q9" s="165"/>
      <c r="R9" s="165"/>
      <c r="S9" s="159"/>
      <c r="T9" s="160"/>
      <c r="U9" s="160"/>
      <c r="V9" s="160"/>
      <c r="W9" s="160"/>
      <c r="X9" s="160"/>
      <c r="Y9" s="160"/>
    </row>
    <row r="10" spans="1:25" x14ac:dyDescent="0.35">
      <c r="A10"/>
      <c r="B10" s="161" t="s">
        <v>136</v>
      </c>
      <c r="C10" s="60"/>
      <c r="D10" s="60"/>
      <c r="E10" s="60"/>
      <c r="F10" s="157">
        <f>'Cash Flow'!F24</f>
        <v>-11268.555</v>
      </c>
      <c r="G10" s="157">
        <f>'Cash Flow'!G24</f>
        <v>-13182.283649999998</v>
      </c>
      <c r="H10" s="157">
        <f>'Cash Flow'!H24</f>
        <v>-15500.007619499998</v>
      </c>
      <c r="I10" s="157">
        <f>'Cash Flow'!I24</f>
        <v>-18328.401728084998</v>
      </c>
      <c r="J10" s="157">
        <f>'Cash Flow'!J24</f>
        <v>-21808.171484777547</v>
      </c>
      <c r="K10" s="158"/>
      <c r="L10" s="158"/>
      <c r="M10" s="158"/>
      <c r="N10" s="158"/>
      <c r="O10" s="158"/>
      <c r="P10" s="158"/>
      <c r="Q10" s="158"/>
      <c r="R10" s="158"/>
      <c r="S10" s="159"/>
      <c r="T10" s="160"/>
      <c r="U10" s="160"/>
      <c r="V10" s="160"/>
      <c r="W10" s="160"/>
      <c r="X10" s="160"/>
      <c r="Y10" s="160"/>
    </row>
    <row r="11" spans="1:25" x14ac:dyDescent="0.35">
      <c r="A11"/>
      <c r="B11" s="166" t="s">
        <v>137</v>
      </c>
      <c r="C11" s="167"/>
      <c r="D11" s="167"/>
      <c r="E11" s="167"/>
      <c r="F11" s="168">
        <f>'Working cap'!F16</f>
        <v>616.88567534247341</v>
      </c>
      <c r="G11" s="168">
        <f>'Working cap'!G16</f>
        <v>615.15618012327832</v>
      </c>
      <c r="H11" s="168">
        <f>'Working cap'!H16</f>
        <v>745.76585949410946</v>
      </c>
      <c r="I11" s="168">
        <f>'Working cap'!I16</f>
        <v>911.02495962414105</v>
      </c>
      <c r="J11" s="168">
        <f>'Working cap'!J16</f>
        <v>1122.0075466842536</v>
      </c>
      <c r="K11" s="169"/>
      <c r="L11" s="169"/>
      <c r="M11" s="169"/>
      <c r="N11" s="169"/>
      <c r="O11" s="169"/>
      <c r="P11" s="169"/>
      <c r="Q11" s="169"/>
      <c r="R11" s="169"/>
      <c r="S11" s="170"/>
      <c r="T11" s="171"/>
      <c r="U11" s="171"/>
      <c r="V11" s="171"/>
      <c r="W11" s="171"/>
      <c r="X11" s="171"/>
      <c r="Y11" s="171"/>
    </row>
    <row r="12" spans="1:25" ht="15" thickBot="1" x14ac:dyDescent="0.4">
      <c r="A12"/>
      <c r="B12" s="122" t="s">
        <v>138</v>
      </c>
      <c r="C12" s="123"/>
      <c r="D12" s="123"/>
      <c r="E12" s="123"/>
      <c r="F12" s="124">
        <f>SUM(F7:F11)</f>
        <v>5139.6524255423647</v>
      </c>
      <c r="G12" s="124">
        <f t="shared" ref="G12:J12" si="1">SUM(G7:G11)</f>
        <v>6220.79228483939</v>
      </c>
      <c r="H12" s="124">
        <f t="shared" si="1"/>
        <v>7558.3488050330143</v>
      </c>
      <c r="I12" s="124">
        <f t="shared" si="1"/>
        <v>9064.6872419925385</v>
      </c>
      <c r="J12" s="124">
        <f t="shared" si="1"/>
        <v>10760.157382927446</v>
      </c>
      <c r="K12" s="131">
        <f>J12*(1+K13)</f>
        <v>11836.173121220192</v>
      </c>
      <c r="L12" s="131">
        <f t="shared" ref="L12:Y12" si="2">K12*(1+L13)</f>
        <v>13019.790433342212</v>
      </c>
      <c r="M12" s="131">
        <f t="shared" si="2"/>
        <v>14321.769476676434</v>
      </c>
      <c r="N12" s="131">
        <f t="shared" si="2"/>
        <v>15037.857950510257</v>
      </c>
      <c r="O12" s="131">
        <f t="shared" si="2"/>
        <v>15789.75084803577</v>
      </c>
      <c r="P12" s="131">
        <f t="shared" si="2"/>
        <v>16579.23839043756</v>
      </c>
      <c r="Q12" s="131">
        <f t="shared" si="2"/>
        <v>17408.20030995944</v>
      </c>
      <c r="R12" s="131">
        <f t="shared" si="2"/>
        <v>18278.610325457412</v>
      </c>
      <c r="S12" s="131">
        <f t="shared" si="2"/>
        <v>19192.540841730282</v>
      </c>
      <c r="T12" s="131">
        <f t="shared" si="2"/>
        <v>20152.167883816797</v>
      </c>
      <c r="U12" s="131">
        <f t="shared" si="2"/>
        <v>21159.776278007637</v>
      </c>
      <c r="V12" s="131">
        <f t="shared" si="2"/>
        <v>22217.765091908019</v>
      </c>
      <c r="W12" s="131">
        <f t="shared" si="2"/>
        <v>23328.653346503419</v>
      </c>
      <c r="X12" s="131">
        <f t="shared" si="2"/>
        <v>24495.08601382859</v>
      </c>
      <c r="Y12" s="131">
        <f t="shared" si="2"/>
        <v>25719.840314520021</v>
      </c>
    </row>
    <row r="13" spans="1:25" ht="15" thickTop="1" x14ac:dyDescent="0.35">
      <c r="A13"/>
      <c r="B13" s="23" t="s">
        <v>139</v>
      </c>
      <c r="C13" s="45"/>
      <c r="D13" s="45"/>
      <c r="E13" s="45"/>
      <c r="F13" s="125"/>
      <c r="G13" s="126">
        <f>G12/F12-1</f>
        <v>0.21035271839086223</v>
      </c>
      <c r="H13" s="126">
        <f t="shared" ref="H13:J13" si="3">H12/G12-1</f>
        <v>0.21501385337256251</v>
      </c>
      <c r="I13" s="126">
        <f t="shared" si="3"/>
        <v>0.19929464434830946</v>
      </c>
      <c r="J13" s="126">
        <f t="shared" si="3"/>
        <v>0.18704121782388383</v>
      </c>
      <c r="K13" s="126">
        <v>0.1</v>
      </c>
      <c r="L13" s="25">
        <v>0.1</v>
      </c>
      <c r="M13" s="25">
        <v>0.1</v>
      </c>
      <c r="N13" s="25">
        <v>0.05</v>
      </c>
      <c r="O13" s="25">
        <v>0.05</v>
      </c>
      <c r="P13" s="25">
        <v>0.05</v>
      </c>
      <c r="Q13" s="25">
        <v>0.05</v>
      </c>
      <c r="R13" s="25">
        <v>0.05</v>
      </c>
      <c r="S13" s="25">
        <v>0.05</v>
      </c>
      <c r="T13" s="25">
        <v>0.05</v>
      </c>
      <c r="U13" s="25">
        <v>0.05</v>
      </c>
      <c r="V13" s="25">
        <v>0.05</v>
      </c>
      <c r="W13" s="25">
        <v>0.05</v>
      </c>
      <c r="X13" s="25">
        <v>0.05</v>
      </c>
      <c r="Y13" s="25">
        <v>0.05</v>
      </c>
    </row>
    <row r="14" spans="1:25" ht="15" thickBot="1" x14ac:dyDescent="0.4">
      <c r="A14"/>
      <c r="B14" s="127" t="s">
        <v>140</v>
      </c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>
        <f>Y12*(1+C24)/(C51-C24)</f>
        <v>352404.59733801504</v>
      </c>
    </row>
    <row r="15" spans="1:25" ht="15" thickTop="1" x14ac:dyDescent="0.35">
      <c r="A15"/>
      <c r="B1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/>
    </row>
    <row r="16" spans="1:25" x14ac:dyDescent="0.35">
      <c r="A16"/>
      <c r="B16" s="118" t="s">
        <v>141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/>
    </row>
    <row r="18" spans="2:3" x14ac:dyDescent="0.35">
      <c r="B18" s="118" t="s">
        <v>142</v>
      </c>
    </row>
    <row r="19" spans="2:3" x14ac:dyDescent="0.35">
      <c r="B19"/>
      <c r="C19" s="28"/>
    </row>
    <row r="20" spans="2:3" x14ac:dyDescent="0.35">
      <c r="B20" s="23" t="s">
        <v>143</v>
      </c>
      <c r="C20" s="26">
        <v>0.04</v>
      </c>
    </row>
    <row r="21" spans="2:3" x14ac:dyDescent="0.35">
      <c r="B21" s="23" t="s">
        <v>144</v>
      </c>
      <c r="C21" s="267">
        <v>2.2999999999999998</v>
      </c>
    </row>
    <row r="22" spans="2:3" x14ac:dyDescent="0.35">
      <c r="B22" s="23" t="s">
        <v>145</v>
      </c>
      <c r="C22" s="293">
        <v>4.24E-2</v>
      </c>
    </row>
    <row r="23" spans="2:3" x14ac:dyDescent="0.35">
      <c r="B23" s="23" t="s">
        <v>146</v>
      </c>
      <c r="C23" s="26">
        <f>C20+C21*C22</f>
        <v>0.13752</v>
      </c>
    </row>
    <row r="24" spans="2:3" x14ac:dyDescent="0.35">
      <c r="B24" s="24" t="s">
        <v>147</v>
      </c>
      <c r="C24" s="294">
        <v>0.01</v>
      </c>
    </row>
    <row r="25" spans="2:3" x14ac:dyDescent="0.35">
      <c r="B25"/>
      <c r="C25" s="271"/>
    </row>
    <row r="26" spans="2:3" x14ac:dyDescent="0.35">
      <c r="B26" s="118" t="s">
        <v>148</v>
      </c>
      <c r="C26" s="272"/>
    </row>
    <row r="27" spans="2:3" x14ac:dyDescent="0.35">
      <c r="B27" s="23" t="s">
        <v>149</v>
      </c>
      <c r="C27" s="267">
        <v>175.4</v>
      </c>
    </row>
    <row r="28" spans="2:3" x14ac:dyDescent="0.35">
      <c r="B28" s="23" t="s">
        <v>150</v>
      </c>
      <c r="C28" s="268">
        <f>'Income Statement'!F37</f>
        <v>3485</v>
      </c>
    </row>
    <row r="29" spans="2:3" x14ac:dyDescent="0.35">
      <c r="B29" s="23" t="s">
        <v>151</v>
      </c>
      <c r="C29" s="26"/>
    </row>
    <row r="30" spans="2:3" x14ac:dyDescent="0.35">
      <c r="B30" s="23" t="s">
        <v>152</v>
      </c>
      <c r="C30" s="27"/>
    </row>
    <row r="31" spans="2:3" x14ac:dyDescent="0.35">
      <c r="B31" s="24" t="s">
        <v>153</v>
      </c>
      <c r="C31" s="268">
        <f>C27*C28/100000</f>
        <v>6.1126899999999997</v>
      </c>
    </row>
    <row r="32" spans="2:3" x14ac:dyDescent="0.35">
      <c r="C32" s="273"/>
    </row>
    <row r="33" spans="2:7" x14ac:dyDescent="0.35">
      <c r="B33" s="118" t="s">
        <v>154</v>
      </c>
      <c r="C33" s="274"/>
    </row>
    <row r="34" spans="2:7" x14ac:dyDescent="0.35">
      <c r="B34" s="23" t="s">
        <v>155</v>
      </c>
      <c r="C34" s="268">
        <f>'Balance Sheet'!F30/1000</f>
        <v>2.3730000000000002</v>
      </c>
    </row>
    <row r="35" spans="2:7" x14ac:dyDescent="0.35">
      <c r="B35" s="23" t="s">
        <v>156</v>
      </c>
      <c r="C35" s="269">
        <f>'Balance Sheet'!F34/1000</f>
        <v>2.8570000000000002</v>
      </c>
    </row>
    <row r="36" spans="2:7" x14ac:dyDescent="0.35">
      <c r="B36" s="24" t="s">
        <v>157</v>
      </c>
      <c r="C36" s="275">
        <f>SUM(C34:C35)</f>
        <v>5.23</v>
      </c>
    </row>
    <row r="37" spans="2:7" x14ac:dyDescent="0.35">
      <c r="B37"/>
      <c r="C37" s="271"/>
    </row>
    <row r="38" spans="2:7" x14ac:dyDescent="0.35">
      <c r="B38" s="118" t="s">
        <v>158</v>
      </c>
      <c r="C38" s="272"/>
      <c r="G38" s="277"/>
    </row>
    <row r="39" spans="2:7" x14ac:dyDescent="0.35">
      <c r="B39" s="23" t="s">
        <v>159</v>
      </c>
      <c r="C39" s="27">
        <f>C31/(C31+C36)</f>
        <v>0.53891008217627379</v>
      </c>
    </row>
    <row r="40" spans="2:7" x14ac:dyDescent="0.35">
      <c r="B40" s="23" t="s">
        <v>160</v>
      </c>
      <c r="C40" s="28">
        <f>1-C39</f>
        <v>0.46108991782372621</v>
      </c>
    </row>
    <row r="41" spans="2:7" x14ac:dyDescent="0.35">
      <c r="B41" s="24" t="s">
        <v>89</v>
      </c>
      <c r="C41" s="269">
        <f>C36/C31</f>
        <v>0.85559712663328269</v>
      </c>
    </row>
    <row r="42" spans="2:7" x14ac:dyDescent="0.35">
      <c r="B42"/>
      <c r="C42" s="270"/>
    </row>
    <row r="43" spans="2:7" x14ac:dyDescent="0.35">
      <c r="B43" s="118" t="s">
        <v>161</v>
      </c>
      <c r="C43" s="271"/>
    </row>
    <row r="44" spans="2:7" x14ac:dyDescent="0.35">
      <c r="B44" s="23" t="s">
        <v>162</v>
      </c>
      <c r="C44" s="276">
        <f>C20</f>
        <v>0.04</v>
      </c>
    </row>
    <row r="45" spans="2:7" x14ac:dyDescent="0.35">
      <c r="B45" s="23" t="s">
        <v>163</v>
      </c>
      <c r="C45" s="27">
        <f>C22</f>
        <v>4.24E-2</v>
      </c>
    </row>
    <row r="46" spans="2:7" x14ac:dyDescent="0.35">
      <c r="B46" s="23" t="s">
        <v>164</v>
      </c>
      <c r="C46" s="268">
        <f>C21</f>
        <v>2.2999999999999998</v>
      </c>
    </row>
    <row r="47" spans="2:7" x14ac:dyDescent="0.35">
      <c r="B47" s="23" t="s">
        <v>146</v>
      </c>
      <c r="C47" s="26">
        <f>C23</f>
        <v>0.13752</v>
      </c>
    </row>
    <row r="48" spans="2:7" x14ac:dyDescent="0.35">
      <c r="B48" s="23" t="s">
        <v>165</v>
      </c>
      <c r="C48" s="27">
        <f>'Debt Schedule'!E17</f>
        <v>2.3140250686049101E-2</v>
      </c>
    </row>
    <row r="49" spans="2:25" x14ac:dyDescent="0.35">
      <c r="B49" s="23" t="s">
        <v>17</v>
      </c>
      <c r="C49" s="28">
        <f>'Income Statement'!F28</f>
        <v>0.1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/>
    </row>
    <row r="50" spans="2:25" x14ac:dyDescent="0.35">
      <c r="B50" s="23" t="s">
        <v>166</v>
      </c>
      <c r="C50" s="26">
        <f>C48*(1-C49)</f>
        <v>2.082622561744419E-2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/>
    </row>
    <row r="51" spans="2:25" x14ac:dyDescent="0.35">
      <c r="B51" s="24" t="s">
        <v>167</v>
      </c>
      <c r="C51" s="27">
        <f>C47*C39+C40*C50</f>
        <v>8.3713677159406891E-2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/>
    </row>
    <row r="52" spans="2:25" x14ac:dyDescent="0.35">
      <c r="B5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/>
    </row>
    <row r="53" spans="2:25" x14ac:dyDescent="0.3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2:25" x14ac:dyDescent="0.35">
      <c r="B54" s="5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</row>
    <row r="55" spans="2:25" x14ac:dyDescent="0.35">
      <c r="B55" s="119" t="s">
        <v>168</v>
      </c>
      <c r="C55" s="30"/>
      <c r="D55" s="30"/>
      <c r="E55" s="30"/>
      <c r="F55" s="13"/>
      <c r="G55" s="13">
        <v>2024</v>
      </c>
      <c r="H55" s="13">
        <f>G55+1</f>
        <v>2025</v>
      </c>
      <c r="I55" s="13">
        <f>H55+1</f>
        <v>2026</v>
      </c>
      <c r="J55" s="13">
        <f>I55+1</f>
        <v>2027</v>
      </c>
      <c r="K55" s="13">
        <f t="shared" ref="K55:Y55" si="4">J55+1</f>
        <v>2028</v>
      </c>
      <c r="L55" s="13">
        <f t="shared" si="4"/>
        <v>2029</v>
      </c>
      <c r="M55" s="13">
        <f t="shared" si="4"/>
        <v>2030</v>
      </c>
      <c r="N55" s="13">
        <f t="shared" si="4"/>
        <v>2031</v>
      </c>
      <c r="O55" s="13">
        <f t="shared" si="4"/>
        <v>2032</v>
      </c>
      <c r="P55" s="13">
        <f t="shared" si="4"/>
        <v>2033</v>
      </c>
      <c r="Q55" s="13">
        <f t="shared" si="4"/>
        <v>2034</v>
      </c>
      <c r="R55" s="13">
        <f t="shared" si="4"/>
        <v>2035</v>
      </c>
      <c r="S55" s="13">
        <f t="shared" si="4"/>
        <v>2036</v>
      </c>
      <c r="T55" s="13">
        <f t="shared" si="4"/>
        <v>2037</v>
      </c>
      <c r="U55" s="13">
        <f t="shared" si="4"/>
        <v>2038</v>
      </c>
      <c r="V55" s="13">
        <f t="shared" si="4"/>
        <v>2039</v>
      </c>
      <c r="W55" s="13">
        <f t="shared" si="4"/>
        <v>2040</v>
      </c>
      <c r="X55" s="13">
        <f t="shared" si="4"/>
        <v>2041</v>
      </c>
      <c r="Y55" s="13">
        <f t="shared" si="4"/>
        <v>2042</v>
      </c>
    </row>
    <row r="56" spans="2:25" x14ac:dyDescent="0.35">
      <c r="B56" t="s">
        <v>169</v>
      </c>
      <c r="C56" s="268"/>
      <c r="D56"/>
      <c r="E56"/>
      <c r="F56" s="31"/>
      <c r="G56" s="31">
        <f>F12</f>
        <v>5139.6524255423647</v>
      </c>
      <c r="H56" s="31">
        <f t="shared" ref="H56:Y56" si="5">G12</f>
        <v>6220.79228483939</v>
      </c>
      <c r="I56" s="31">
        <f t="shared" si="5"/>
        <v>7558.3488050330143</v>
      </c>
      <c r="J56" s="31">
        <f t="shared" si="5"/>
        <v>9064.6872419925385</v>
      </c>
      <c r="K56" s="31">
        <f t="shared" si="5"/>
        <v>10760.157382927446</v>
      </c>
      <c r="L56" s="31">
        <f t="shared" si="5"/>
        <v>11836.173121220192</v>
      </c>
      <c r="M56" s="31">
        <f t="shared" si="5"/>
        <v>13019.790433342212</v>
      </c>
      <c r="N56" s="31">
        <f t="shared" si="5"/>
        <v>14321.769476676434</v>
      </c>
      <c r="O56" s="31">
        <f t="shared" si="5"/>
        <v>15037.857950510257</v>
      </c>
      <c r="P56" s="31">
        <f t="shared" si="5"/>
        <v>15789.75084803577</v>
      </c>
      <c r="Q56" s="31">
        <f t="shared" si="5"/>
        <v>16579.23839043756</v>
      </c>
      <c r="R56" s="31">
        <f t="shared" si="5"/>
        <v>17408.20030995944</v>
      </c>
      <c r="S56" s="31">
        <f t="shared" si="5"/>
        <v>18278.610325457412</v>
      </c>
      <c r="T56" s="31">
        <f t="shared" si="5"/>
        <v>19192.540841730282</v>
      </c>
      <c r="U56" s="31">
        <f t="shared" si="5"/>
        <v>20152.167883816797</v>
      </c>
      <c r="V56" s="31">
        <f t="shared" si="5"/>
        <v>21159.776278007637</v>
      </c>
      <c r="W56" s="31">
        <f t="shared" si="5"/>
        <v>22217.765091908019</v>
      </c>
      <c r="X56" s="31">
        <f t="shared" si="5"/>
        <v>23328.653346503419</v>
      </c>
      <c r="Y56" s="31">
        <f t="shared" si="5"/>
        <v>24495.08601382859</v>
      </c>
    </row>
    <row r="57" spans="2:25" x14ac:dyDescent="0.35">
      <c r="B57" t="s">
        <v>170</v>
      </c>
      <c r="C57" s="269">
        <f>NPV(C51,G56:Y56)</f>
        <v>120847.36146472006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2:25" x14ac:dyDescent="0.3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2:25" x14ac:dyDescent="0.3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2:25" x14ac:dyDescent="0.35">
      <c r="B60" s="119" t="s">
        <v>171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/>
    </row>
    <row r="61" spans="2:25" x14ac:dyDescent="0.35">
      <c r="B61" t="s">
        <v>172</v>
      </c>
      <c r="C61" s="268"/>
      <c r="D61"/>
      <c r="E61"/>
      <c r="F61"/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295">
        <f>Y14</f>
        <v>352404.59733801504</v>
      </c>
    </row>
    <row r="62" spans="2:25" x14ac:dyDescent="0.35">
      <c r="B62" t="s">
        <v>173</v>
      </c>
      <c r="C62" s="269">
        <f>NPV(C51,F61:Y61)</f>
        <v>76500.633291807491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2:25" x14ac:dyDescent="0.3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2:25" x14ac:dyDescent="0.35">
      <c r="B64" s="309" t="s">
        <v>174</v>
      </c>
      <c r="C64" s="309"/>
      <c r="D64" s="309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6" spans="2:9" x14ac:dyDescent="0.35">
      <c r="B66" s="119" t="s">
        <v>175</v>
      </c>
      <c r="C66" s="120" t="s">
        <v>176</v>
      </c>
      <c r="D66" s="120" t="s">
        <v>177</v>
      </c>
      <c r="E66" s="5"/>
      <c r="F66"/>
      <c r="G66"/>
      <c r="H66"/>
      <c r="I66"/>
    </row>
    <row r="67" spans="2:9" x14ac:dyDescent="0.35">
      <c r="B67" t="s">
        <v>170</v>
      </c>
      <c r="C67" s="296">
        <f>C57</f>
        <v>120847.36146472006</v>
      </c>
      <c r="D67" s="296">
        <f>NPV(C51,H56:Y56)</f>
        <v>125824.28604240144</v>
      </c>
      <c r="E67" s="33"/>
      <c r="F67"/>
      <c r="G67"/>
      <c r="H67"/>
      <c r="I67"/>
    </row>
    <row r="68" spans="2:9" x14ac:dyDescent="0.35">
      <c r="B68" t="s">
        <v>173</v>
      </c>
      <c r="C68" s="296">
        <f>C62</f>
        <v>76500.633291807491</v>
      </c>
      <c r="D68" s="296">
        <f>NPV(C51,H61:Y61)</f>
        <v>82904.78260968806</v>
      </c>
      <c r="E68" s="34"/>
      <c r="F68"/>
      <c r="G68"/>
      <c r="H68"/>
      <c r="I68"/>
    </row>
    <row r="69" spans="2:9" x14ac:dyDescent="0.35">
      <c r="B69" t="s">
        <v>178</v>
      </c>
      <c r="C69" s="267">
        <f>SUM(C67:C68)</f>
        <v>197347.99475652754</v>
      </c>
      <c r="D69" s="267">
        <f>SUM(D67:D68)</f>
        <v>208729.06865208951</v>
      </c>
      <c r="E69" s="35"/>
      <c r="F69"/>
      <c r="G69"/>
      <c r="H69"/>
      <c r="I69"/>
    </row>
    <row r="70" spans="2:9" x14ac:dyDescent="0.35">
      <c r="B70" s="36" t="s">
        <v>179</v>
      </c>
      <c r="C70" s="296">
        <f>'Balance Sheet'!E5</f>
        <v>16398</v>
      </c>
      <c r="D70" s="296">
        <f>'Balance Sheet'!F5</f>
        <v>13534.598904891669</v>
      </c>
      <c r="E70" s="5"/>
      <c r="F70"/>
      <c r="G70"/>
      <c r="H70"/>
      <c r="I70"/>
    </row>
    <row r="71" spans="2:9" x14ac:dyDescent="0.35">
      <c r="B71" s="36" t="s">
        <v>180</v>
      </c>
      <c r="C71" s="296">
        <f>-('Balance Sheet'!E30+'Balance Sheet'!E34)</f>
        <v>-5230</v>
      </c>
      <c r="D71" s="296">
        <f>-('Balance Sheet'!F30+'Balance Sheet'!F34)</f>
        <v>-5230</v>
      </c>
      <c r="E71" s="5"/>
      <c r="F71"/>
      <c r="G71"/>
      <c r="H71"/>
      <c r="I71"/>
    </row>
    <row r="72" spans="2:9" x14ac:dyDescent="0.35">
      <c r="B72" s="2" t="s">
        <v>181</v>
      </c>
      <c r="C72" s="296">
        <f>SUM(C69:C71)</f>
        <v>208515.99475652754</v>
      </c>
      <c r="D72" s="296">
        <f>SUM(D69:D71)</f>
        <v>217033.66755698118</v>
      </c>
      <c r="E72" s="5"/>
      <c r="F72"/>
      <c r="G72"/>
      <c r="H72"/>
      <c r="I72"/>
    </row>
    <row r="73" spans="2:9" x14ac:dyDescent="0.35">
      <c r="B73" s="36" t="s">
        <v>182</v>
      </c>
      <c r="C73" s="296">
        <f>'Balance Sheet'!F6</f>
        <v>12696</v>
      </c>
      <c r="D73" s="296">
        <f>'Balance Sheet'!G6</f>
        <v>12696</v>
      </c>
      <c r="E73" s="5"/>
      <c r="F73"/>
      <c r="G73"/>
      <c r="H73"/>
      <c r="I73"/>
    </row>
    <row r="74" spans="2:9" x14ac:dyDescent="0.35">
      <c r="B74" s="129" t="s">
        <v>183</v>
      </c>
      <c r="C74" s="296">
        <f>SUM(C72:C73)</f>
        <v>221211.99475652754</v>
      </c>
      <c r="D74" s="296">
        <f>SUM(D72:D73)</f>
        <v>229729.66755698118</v>
      </c>
      <c r="E74" s="5"/>
      <c r="F74"/>
      <c r="G74"/>
      <c r="H74"/>
      <c r="I74"/>
    </row>
    <row r="75" spans="2:9" x14ac:dyDescent="0.35">
      <c r="B75" s="119" t="s">
        <v>184</v>
      </c>
      <c r="C75" s="121">
        <f>C74/'Income Statement'!F36</f>
        <v>69.695020402182593</v>
      </c>
      <c r="D75" s="121">
        <f>D74/'Income Statement'!G36</f>
        <v>72.378597213919718</v>
      </c>
      <c r="E75" s="5"/>
      <c r="F75"/>
      <c r="G75"/>
      <c r="H75"/>
      <c r="I75"/>
    </row>
    <row r="76" spans="2:9" x14ac:dyDescent="0.35">
      <c r="B76" s="2"/>
      <c r="C76" s="32"/>
      <c r="D76"/>
      <c r="E76" s="37"/>
      <c r="F76"/>
      <c r="G76"/>
      <c r="H76"/>
      <c r="I76"/>
    </row>
    <row r="77" spans="2:9" x14ac:dyDescent="0.35">
      <c r="B77" s="2"/>
      <c r="C77"/>
      <c r="D77" s="5"/>
      <c r="E77" s="130"/>
      <c r="F77" s="130"/>
      <c r="G77" s="130" t="s">
        <v>185</v>
      </c>
      <c r="H77" s="130"/>
      <c r="I77" s="130"/>
    </row>
    <row r="78" spans="2:9" ht="16" x14ac:dyDescent="0.5">
      <c r="B78"/>
      <c r="C78"/>
      <c r="D78"/>
      <c r="E78" s="306" t="s">
        <v>167</v>
      </c>
      <c r="F78" s="306"/>
      <c r="G78" s="306"/>
      <c r="H78" s="306"/>
      <c r="I78" s="306"/>
    </row>
    <row r="79" spans="2:9" x14ac:dyDescent="0.35">
      <c r="B79"/>
      <c r="C79"/>
      <c r="D79" s="38">
        <f>C75</f>
        <v>69.695020402182593</v>
      </c>
      <c r="E79" s="132">
        <v>7.2999999999999995E-2</v>
      </c>
      <c r="F79" s="132">
        <v>8.3000000000000004E-2</v>
      </c>
      <c r="G79" s="132">
        <v>9.2999999999999999E-2</v>
      </c>
      <c r="H79" s="132">
        <v>0.10299999999999999</v>
      </c>
      <c r="I79" s="132">
        <v>0.113</v>
      </c>
    </row>
    <row r="80" spans="2:9" x14ac:dyDescent="0.35">
      <c r="B80"/>
      <c r="C80" s="307" t="s">
        <v>186</v>
      </c>
      <c r="D80" s="297">
        <v>0.01</v>
      </c>
      <c r="E80" s="298">
        <f t="dataTable" ref="E80:I86" dt2D="1" dtr="1" r1="C51" r2="C24"/>
        <v>83.634551195017252</v>
      </c>
      <c r="F80" s="299">
        <v>70.485951069226516</v>
      </c>
      <c r="G80" s="300">
        <v>60.752092474225208</v>
      </c>
      <c r="H80" s="299">
        <v>53.302820985530381</v>
      </c>
      <c r="I80" s="299">
        <v>47.450724822170535</v>
      </c>
    </row>
    <row r="81" spans="3:9" x14ac:dyDescent="0.35">
      <c r="C81" s="307"/>
      <c r="D81" s="297">
        <v>0.02</v>
      </c>
      <c r="E81" s="301">
        <v>90.461866040011699</v>
      </c>
      <c r="F81" s="302">
        <v>74.680504362480377</v>
      </c>
      <c r="G81" s="302">
        <v>63.450437485175037</v>
      </c>
      <c r="H81" s="302">
        <v>55.100619762342411</v>
      </c>
      <c r="I81" s="302">
        <v>48.68220723569808</v>
      </c>
    </row>
    <row r="82" spans="3:9" x14ac:dyDescent="0.35">
      <c r="C82" s="307"/>
      <c r="D82" s="297">
        <v>0.03</v>
      </c>
      <c r="E82" s="301">
        <v>100.46467616174776</v>
      </c>
      <c r="F82" s="302">
        <v>80.457907955075285</v>
      </c>
      <c r="G82" s="302">
        <v>67.005399959918449</v>
      </c>
      <c r="H82" s="302">
        <v>57.390966149239937</v>
      </c>
      <c r="I82" s="302">
        <v>50.21043239947322</v>
      </c>
    </row>
    <row r="83" spans="3:9" x14ac:dyDescent="0.35">
      <c r="C83" s="307"/>
      <c r="D83" s="297">
        <v>0.04</v>
      </c>
      <c r="E83" s="301">
        <v>116.52979544817234</v>
      </c>
      <c r="F83" s="302">
        <v>88.922476009342262</v>
      </c>
      <c r="G83" s="302">
        <v>71.901857708149961</v>
      </c>
      <c r="H83" s="302">
        <v>60.408406627216024</v>
      </c>
      <c r="I83" s="302">
        <v>52.157349388940183</v>
      </c>
    </row>
    <row r="84" spans="3:9" x14ac:dyDescent="0.35">
      <c r="C84" s="307"/>
      <c r="D84" s="297">
        <v>0.05</v>
      </c>
      <c r="E84" s="301">
        <v>146.56458367931393</v>
      </c>
      <c r="F84" s="302">
        <v>102.51708530861953</v>
      </c>
      <c r="G84" s="302">
        <v>79.075737664861236</v>
      </c>
      <c r="H84" s="302">
        <v>64.564503889334048</v>
      </c>
      <c r="I84" s="302">
        <v>54.722335263952218</v>
      </c>
    </row>
    <row r="85" spans="3:9" x14ac:dyDescent="0.35">
      <c r="C85" s="307"/>
      <c r="D85" s="297">
        <v>0.06</v>
      </c>
      <c r="E85" s="301">
        <v>222.80673841990412</v>
      </c>
      <c r="F85" s="302">
        <v>127.93309399857269</v>
      </c>
      <c r="G85" s="302">
        <v>90.597423655942961</v>
      </c>
      <c r="H85" s="302">
        <v>70.653669645460468</v>
      </c>
      <c r="I85" s="302">
        <v>58.255240337082</v>
      </c>
    </row>
    <row r="86" spans="3:9" x14ac:dyDescent="0.35">
      <c r="D86" s="297">
        <v>7.0000000000000007E-2</v>
      </c>
      <c r="E86" s="301">
        <v>807.32992476443167</v>
      </c>
      <c r="F86" s="302">
        <v>192.45065451922304</v>
      </c>
      <c r="G86" s="302">
        <v>112.13796703057407</v>
      </c>
      <c r="H86" s="302">
        <v>80.433238890148331</v>
      </c>
      <c r="I86" s="302">
        <v>63.431357072132627</v>
      </c>
    </row>
  </sheetData>
  <mergeCells count="5">
    <mergeCell ref="E78:I78"/>
    <mergeCell ref="C80:C85"/>
    <mergeCell ref="D1:E1"/>
    <mergeCell ref="B64:D64"/>
    <mergeCell ref="F1:Y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Income Statement</vt:lpstr>
      <vt:lpstr>Balance Sheet</vt:lpstr>
      <vt:lpstr>Cash Flow</vt:lpstr>
      <vt:lpstr>Ratio Analysis</vt:lpstr>
      <vt:lpstr>Revenue Build Up</vt:lpstr>
      <vt:lpstr>Cost Sheet</vt:lpstr>
      <vt:lpstr>Working cap</vt:lpstr>
      <vt:lpstr>Depreciation Schedule</vt:lpstr>
      <vt:lpstr>Shareholders Equity</vt:lpstr>
      <vt:lpstr>Debt Schedule</vt:lpstr>
      <vt:lpstr>DCF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Kale</dc:creator>
  <cp:lastModifiedBy>Sukumar (X)</cp:lastModifiedBy>
  <dcterms:created xsi:type="dcterms:W3CDTF">2022-09-06T09:25:48Z</dcterms:created>
  <dcterms:modified xsi:type="dcterms:W3CDTF">2024-11-07T15:20:44Z</dcterms:modified>
</cp:coreProperties>
</file>