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ukumar\OneDrive - Rennes School of Business\Bureau\data\"/>
    </mc:Choice>
  </mc:AlternateContent>
  <xr:revisionPtr revIDLastSave="0" documentId="13_ncr:1_{616ADAC9-0566-4951-8BE6-9207B2CFAE8D}" xr6:coauthVersionLast="47" xr6:coauthVersionMax="47" xr10:uidLastSave="{00000000-0000-0000-0000-000000000000}"/>
  <bookViews>
    <workbookView xWindow="-110" yWindow="-110" windowWidth="19420" windowHeight="10300" tabRatio="825" firstSheet="6" activeTab="6" xr2:uid="{00000000-000D-0000-FFFF-FFFF00000000}"/>
  </bookViews>
  <sheets>
    <sheet name="Index" sheetId="13" r:id="rId1"/>
    <sheet name="Income Statement" sheetId="1" r:id="rId2"/>
    <sheet name="Balance Sheet" sheetId="2" r:id="rId3"/>
    <sheet name="Cash Flow" sheetId="3" r:id="rId4"/>
    <sheet name="Ratio Analysis" sheetId="5" r:id="rId5"/>
    <sheet name="Revenue Build Up" sheetId="6" r:id="rId6"/>
    <sheet name="Cost Sheet" sheetId="7" r:id="rId7"/>
    <sheet name="Working cap" sheetId="8" r:id="rId8"/>
    <sheet name="Depreciation Schedule" sheetId="9" r:id="rId9"/>
    <sheet name="Shareholders Equity" sheetId="4" r:id="rId10"/>
    <sheet name="Debt Schedule" sheetId="12" r:id="rId11"/>
    <sheet name="DCF Valuation" sheetId="11" r:id="rId1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1" i="11" l="1"/>
  <c r="C71" i="11"/>
  <c r="D70" i="11"/>
  <c r="C70" i="11"/>
  <c r="D67" i="11"/>
  <c r="C57" i="11"/>
  <c r="C67" i="11" s="1"/>
  <c r="Y14" i="11"/>
  <c r="Y61" i="11" s="1"/>
  <c r="C62" i="11" s="1"/>
  <c r="C68" i="11" s="1"/>
  <c r="G56" i="11"/>
  <c r="H56" i="11"/>
  <c r="I56" i="11"/>
  <c r="J56" i="11"/>
  <c r="K56" i="11"/>
  <c r="L56" i="11"/>
  <c r="M56" i="11"/>
  <c r="N56" i="11"/>
  <c r="O56" i="11"/>
  <c r="P56" i="11"/>
  <c r="Q56" i="11"/>
  <c r="R56" i="11"/>
  <c r="S56" i="11"/>
  <c r="T56" i="11"/>
  <c r="U56" i="11"/>
  <c r="V56" i="11"/>
  <c r="W56" i="11"/>
  <c r="X56" i="11"/>
  <c r="Y56" i="11"/>
  <c r="H55" i="11"/>
  <c r="I55" i="11" s="1"/>
  <c r="J55" i="11" s="1"/>
  <c r="K55" i="11" s="1"/>
  <c r="L55" i="11" s="1"/>
  <c r="M55" i="11" s="1"/>
  <c r="N55" i="11" s="1"/>
  <c r="O55" i="11" s="1"/>
  <c r="P55" i="11" s="1"/>
  <c r="Q55" i="11" s="1"/>
  <c r="R55" i="11" s="1"/>
  <c r="S55" i="11" s="1"/>
  <c r="T55" i="11" s="1"/>
  <c r="U55" i="11" s="1"/>
  <c r="V55" i="11" s="1"/>
  <c r="W55" i="11" s="1"/>
  <c r="X55" i="11" s="1"/>
  <c r="Y55" i="11" s="1"/>
  <c r="G55" i="11"/>
  <c r="F56" i="11"/>
  <c r="L12" i="11"/>
  <c r="M12" i="11"/>
  <c r="N12" i="11" s="1"/>
  <c r="O12" i="11" s="1"/>
  <c r="P12" i="11" s="1"/>
  <c r="Q12" i="11" s="1"/>
  <c r="R12" i="11" s="1"/>
  <c r="S12" i="11" s="1"/>
  <c r="T12" i="11" s="1"/>
  <c r="U12" i="11" s="1"/>
  <c r="V12" i="11" s="1"/>
  <c r="W12" i="11" s="1"/>
  <c r="X12" i="11" s="1"/>
  <c r="Y12" i="11" s="1"/>
  <c r="K12" i="11"/>
  <c r="H13" i="11"/>
  <c r="I13" i="11"/>
  <c r="J13" i="11"/>
  <c r="G13" i="11"/>
  <c r="G12" i="11"/>
  <c r="H12" i="11"/>
  <c r="I12" i="11"/>
  <c r="J12" i="11"/>
  <c r="F12" i="11"/>
  <c r="G11" i="11"/>
  <c r="H11" i="11"/>
  <c r="I11" i="11"/>
  <c r="J11" i="11"/>
  <c r="F11" i="11"/>
  <c r="G10" i="11"/>
  <c r="H10" i="11"/>
  <c r="I10" i="11"/>
  <c r="J10" i="11"/>
  <c r="F10" i="11"/>
  <c r="G8" i="11"/>
  <c r="H8" i="11"/>
  <c r="I8" i="11"/>
  <c r="J8" i="11"/>
  <c r="G9" i="11"/>
  <c r="H9" i="11"/>
  <c r="I9" i="11"/>
  <c r="J9" i="11"/>
  <c r="F9" i="11"/>
  <c r="F8" i="11"/>
  <c r="G7" i="11"/>
  <c r="H7" i="11"/>
  <c r="I7" i="11"/>
  <c r="J7" i="11"/>
  <c r="F7" i="11"/>
  <c r="G4" i="11"/>
  <c r="H4" i="11"/>
  <c r="I4" i="11"/>
  <c r="J4" i="11"/>
  <c r="F4" i="11"/>
  <c r="C51" i="11"/>
  <c r="C50" i="11"/>
  <c r="C49" i="11"/>
  <c r="C48" i="11"/>
  <c r="C47" i="11"/>
  <c r="C46" i="11"/>
  <c r="C45" i="11"/>
  <c r="C44" i="11"/>
  <c r="C41" i="11"/>
  <c r="C40" i="11"/>
  <c r="C39" i="11"/>
  <c r="C36" i="11"/>
  <c r="C35" i="11"/>
  <c r="C34" i="11"/>
  <c r="C31" i="11"/>
  <c r="C28" i="11"/>
  <c r="C23" i="11"/>
  <c r="F39" i="2"/>
  <c r="G39" i="2"/>
  <c r="H39" i="2"/>
  <c r="I39" i="2"/>
  <c r="J39" i="2"/>
  <c r="C45" i="1"/>
  <c r="G43" i="1"/>
  <c r="H43" i="1"/>
  <c r="I43" i="1"/>
  <c r="J43" i="1"/>
  <c r="F43" i="1"/>
  <c r="D39" i="2"/>
  <c r="E39" i="2"/>
  <c r="G29" i="2"/>
  <c r="G32" i="2" s="1"/>
  <c r="H29" i="2"/>
  <c r="I29" i="2"/>
  <c r="J29" i="2"/>
  <c r="F29" i="2"/>
  <c r="F32" i="2" s="1"/>
  <c r="G39" i="3"/>
  <c r="G42" i="3" s="1"/>
  <c r="H39" i="3"/>
  <c r="I39" i="3"/>
  <c r="J39" i="3"/>
  <c r="F39" i="3"/>
  <c r="F42" i="3" s="1"/>
  <c r="D24" i="12"/>
  <c r="E21" i="12"/>
  <c r="D21" i="12"/>
  <c r="D22" i="12"/>
  <c r="E22" i="12"/>
  <c r="E24" i="12" s="1"/>
  <c r="C22" i="12"/>
  <c r="C24" i="12" s="1"/>
  <c r="E20" i="12"/>
  <c r="D20" i="12"/>
  <c r="E17" i="12"/>
  <c r="D16" i="12"/>
  <c r="D17" i="12" s="1"/>
  <c r="E16" i="12"/>
  <c r="C16" i="12"/>
  <c r="F10" i="12"/>
  <c r="F13" i="12" s="1"/>
  <c r="E10" i="12"/>
  <c r="E13" i="12"/>
  <c r="D13" i="12"/>
  <c r="H42" i="3"/>
  <c r="I42" i="3"/>
  <c r="J42" i="3"/>
  <c r="G24" i="3"/>
  <c r="H24" i="3"/>
  <c r="I24" i="3"/>
  <c r="J24" i="3"/>
  <c r="F24" i="3"/>
  <c r="G8" i="4"/>
  <c r="H8" i="4"/>
  <c r="I8" i="4"/>
  <c r="J8" i="4"/>
  <c r="F8" i="4"/>
  <c r="G10" i="9"/>
  <c r="H10" i="9" s="1"/>
  <c r="F10" i="9"/>
  <c r="F7" i="9"/>
  <c r="E11" i="9"/>
  <c r="D4" i="9"/>
  <c r="E4" i="9"/>
  <c r="C4" i="9"/>
  <c r="C17" i="1"/>
  <c r="D13" i="8"/>
  <c r="E13" i="8"/>
  <c r="E30" i="8"/>
  <c r="D30" i="8"/>
  <c r="E25" i="8"/>
  <c r="D25" i="8"/>
  <c r="E11" i="8"/>
  <c r="E12" i="8"/>
  <c r="D12" i="8"/>
  <c r="D11" i="8"/>
  <c r="E6" i="8"/>
  <c r="E7" i="8"/>
  <c r="E8" i="8"/>
  <c r="D8" i="8"/>
  <c r="D7" i="8"/>
  <c r="D6" i="8"/>
  <c r="D9" i="8" s="1"/>
  <c r="H32" i="2"/>
  <c r="I32" i="2"/>
  <c r="J32" i="2"/>
  <c r="D9" i="2"/>
  <c r="E16" i="2"/>
  <c r="F34" i="1"/>
  <c r="G34" i="1" s="1"/>
  <c r="H34" i="1" s="1"/>
  <c r="I34" i="1" s="1"/>
  <c r="J34" i="1" s="1"/>
  <c r="F33" i="1"/>
  <c r="G33" i="1" s="1"/>
  <c r="H33" i="1" s="1"/>
  <c r="I33" i="1" s="1"/>
  <c r="J33" i="1" s="1"/>
  <c r="E11" i="1"/>
  <c r="E4" i="8" s="1"/>
  <c r="E21" i="8" s="1"/>
  <c r="D17" i="7"/>
  <c r="E17" i="7"/>
  <c r="C17" i="7"/>
  <c r="C14" i="7"/>
  <c r="D10" i="7"/>
  <c r="E10" i="7"/>
  <c r="C10" i="7"/>
  <c r="C11" i="1"/>
  <c r="C4" i="8" s="1"/>
  <c r="F5" i="1"/>
  <c r="G5" i="1"/>
  <c r="G6" i="7" s="1"/>
  <c r="H5" i="1"/>
  <c r="H6" i="7" s="1"/>
  <c r="I5" i="1"/>
  <c r="I6" i="7" s="1"/>
  <c r="J5" i="1"/>
  <c r="F4" i="1"/>
  <c r="F5" i="7" s="1"/>
  <c r="G4" i="1"/>
  <c r="G5" i="7" s="1"/>
  <c r="H4" i="1"/>
  <c r="I4" i="1"/>
  <c r="J4" i="1"/>
  <c r="J5" i="7" s="1"/>
  <c r="D5" i="1"/>
  <c r="D6" i="7" s="1"/>
  <c r="E5" i="1"/>
  <c r="E6" i="7" s="1"/>
  <c r="C5" i="1"/>
  <c r="C6" i="7" s="1"/>
  <c r="D4" i="1"/>
  <c r="D5" i="7" s="1"/>
  <c r="E4" i="1"/>
  <c r="E5" i="7" s="1"/>
  <c r="C4" i="1"/>
  <c r="C5" i="7" s="1"/>
  <c r="C7" i="7" s="1"/>
  <c r="F21" i="6"/>
  <c r="G21" i="6"/>
  <c r="H21" i="6"/>
  <c r="I21" i="6"/>
  <c r="J21" i="6"/>
  <c r="F19" i="6"/>
  <c r="G19" i="6" s="1"/>
  <c r="H19" i="6" s="1"/>
  <c r="I19" i="6" s="1"/>
  <c r="J19" i="6" s="1"/>
  <c r="F16" i="6"/>
  <c r="G16" i="6" s="1"/>
  <c r="H16" i="6" s="1"/>
  <c r="I16" i="6" s="1"/>
  <c r="J16" i="6" s="1"/>
  <c r="F13" i="6"/>
  <c r="G13" i="6" s="1"/>
  <c r="H13" i="6" s="1"/>
  <c r="I13" i="6" s="1"/>
  <c r="J13" i="6" s="1"/>
  <c r="G10" i="6"/>
  <c r="H10" i="6" s="1"/>
  <c r="I10" i="6" s="1"/>
  <c r="J10" i="6" s="1"/>
  <c r="F10" i="6"/>
  <c r="F7" i="6"/>
  <c r="G7" i="6" s="1"/>
  <c r="H7" i="6" s="1"/>
  <c r="I7" i="6" s="1"/>
  <c r="J7" i="6" s="1"/>
  <c r="G4" i="6"/>
  <c r="H4" i="6" s="1"/>
  <c r="I4" i="6" s="1"/>
  <c r="J4" i="6" s="1"/>
  <c r="F4" i="6"/>
  <c r="E20" i="6"/>
  <c r="D20" i="6"/>
  <c r="E17" i="6"/>
  <c r="D17" i="6"/>
  <c r="E14" i="6"/>
  <c r="D14" i="6"/>
  <c r="E11" i="6"/>
  <c r="D11" i="6"/>
  <c r="E8" i="6"/>
  <c r="D8" i="6"/>
  <c r="E5" i="6"/>
  <c r="D5" i="6"/>
  <c r="E21" i="6"/>
  <c r="D21" i="6"/>
  <c r="C21" i="6"/>
  <c r="C69" i="11" l="1"/>
  <c r="C72" i="11" s="1"/>
  <c r="C74" i="11" s="1"/>
  <c r="C75" i="11" s="1"/>
  <c r="D79" i="11" s="1"/>
  <c r="D68" i="11"/>
  <c r="D69" i="11" s="1"/>
  <c r="D72" i="11" s="1"/>
  <c r="D74" i="11" s="1"/>
  <c r="D75" i="11" s="1"/>
  <c r="G10" i="12"/>
  <c r="G13" i="12" s="1"/>
  <c r="F16" i="12"/>
  <c r="D7" i="7"/>
  <c r="D15" i="7" s="1"/>
  <c r="E7" i="7"/>
  <c r="E15" i="7" s="1"/>
  <c r="G7" i="7"/>
  <c r="G14" i="7" s="1"/>
  <c r="G15" i="1" s="1"/>
  <c r="E11" i="7"/>
  <c r="E18" i="7"/>
  <c r="C11" i="7"/>
  <c r="C18" i="7"/>
  <c r="C15" i="7"/>
  <c r="I10" i="9"/>
  <c r="J10" i="9" s="1"/>
  <c r="E28" i="8"/>
  <c r="E9" i="8"/>
  <c r="D15" i="8"/>
  <c r="D16" i="8" s="1"/>
  <c r="I6" i="1"/>
  <c r="J6" i="1"/>
  <c r="F6" i="1"/>
  <c r="H6" i="1"/>
  <c r="G6" i="1"/>
  <c r="F6" i="7"/>
  <c r="F7" i="7" s="1"/>
  <c r="J6" i="7"/>
  <c r="J7" i="7" s="1"/>
  <c r="I5" i="7"/>
  <c r="I7" i="7" s="1"/>
  <c r="H5" i="7"/>
  <c r="H7" i="7" s="1"/>
  <c r="A1" i="11"/>
  <c r="H10" i="12" l="1"/>
  <c r="H13" i="12" s="1"/>
  <c r="H16" i="12"/>
  <c r="G16" i="12"/>
  <c r="D18" i="7"/>
  <c r="D11" i="7"/>
  <c r="G17" i="7"/>
  <c r="G16" i="1" s="1"/>
  <c r="G17" i="1" s="1"/>
  <c r="G10" i="7"/>
  <c r="G9" i="1" s="1"/>
  <c r="G11" i="1" s="1"/>
  <c r="G4" i="8" s="1"/>
  <c r="J14" i="7"/>
  <c r="J15" i="1" s="1"/>
  <c r="J17" i="7"/>
  <c r="J16" i="1" s="1"/>
  <c r="J10" i="7"/>
  <c r="J9" i="1" s="1"/>
  <c r="J11" i="1" s="1"/>
  <c r="F3" i="8"/>
  <c r="F3" i="9"/>
  <c r="F4" i="9" s="1"/>
  <c r="F8" i="9" s="1"/>
  <c r="F23" i="3" s="1"/>
  <c r="F31" i="3" s="1"/>
  <c r="J3" i="9"/>
  <c r="J4" i="9" s="1"/>
  <c r="J8" i="9" s="1"/>
  <c r="J23" i="3" s="1"/>
  <c r="J31" i="3" s="1"/>
  <c r="J3" i="8"/>
  <c r="F10" i="7"/>
  <c r="F9" i="1" s="1"/>
  <c r="F11" i="1" s="1"/>
  <c r="F14" i="7"/>
  <c r="F15" i="1" s="1"/>
  <c r="F17" i="7"/>
  <c r="F16" i="1" s="1"/>
  <c r="I3" i="9"/>
  <c r="I4" i="9" s="1"/>
  <c r="I8" i="9" s="1"/>
  <c r="I23" i="3" s="1"/>
  <c r="I31" i="3" s="1"/>
  <c r="I3" i="8"/>
  <c r="G3" i="8"/>
  <c r="G3" i="9"/>
  <c r="G4" i="9" s="1"/>
  <c r="G8" i="9" s="1"/>
  <c r="G23" i="3" s="1"/>
  <c r="G31" i="3" s="1"/>
  <c r="H3" i="9"/>
  <c r="H4" i="9" s="1"/>
  <c r="H8" i="9" s="1"/>
  <c r="H23" i="3" s="1"/>
  <c r="H31" i="3" s="1"/>
  <c r="H3" i="8"/>
  <c r="H10" i="7"/>
  <c r="H9" i="1" s="1"/>
  <c r="H11" i="1" s="1"/>
  <c r="H14" i="7"/>
  <c r="H15" i="1" s="1"/>
  <c r="H17" i="7"/>
  <c r="H16" i="1" s="1"/>
  <c r="I14" i="7"/>
  <c r="I15" i="1" s="1"/>
  <c r="I17" i="7"/>
  <c r="I16" i="1" s="1"/>
  <c r="I10" i="7"/>
  <c r="I9" i="1" s="1"/>
  <c r="I11" i="1" s="1"/>
  <c r="E15" i="8"/>
  <c r="E16" i="8" s="1"/>
  <c r="C2" i="12"/>
  <c r="A1" i="12"/>
  <c r="I10" i="12" l="1"/>
  <c r="I13" i="12" s="1"/>
  <c r="I16" i="12"/>
  <c r="G12" i="1"/>
  <c r="G19" i="1"/>
  <c r="H17" i="1"/>
  <c r="J17" i="1"/>
  <c r="I17" i="1"/>
  <c r="J30" i="8"/>
  <c r="J12" i="8" s="1"/>
  <c r="J22" i="2" s="1"/>
  <c r="J25" i="8"/>
  <c r="J8" i="8" s="1"/>
  <c r="J8" i="2" s="1"/>
  <c r="J6" i="8"/>
  <c r="G7" i="8"/>
  <c r="G7" i="2" s="1"/>
  <c r="G11" i="8"/>
  <c r="I12" i="1"/>
  <c r="I4" i="8"/>
  <c r="G6" i="8"/>
  <c r="G6" i="2" s="1"/>
  <c r="G30" i="8"/>
  <c r="G12" i="8" s="1"/>
  <c r="G22" i="2" s="1"/>
  <c r="G25" i="8"/>
  <c r="G8" i="8" s="1"/>
  <c r="F12" i="1"/>
  <c r="F4" i="8"/>
  <c r="H12" i="1"/>
  <c r="H4" i="8"/>
  <c r="I6" i="8"/>
  <c r="I30" i="8"/>
  <c r="I12" i="8" s="1"/>
  <c r="I22" i="2" s="1"/>
  <c r="I25" i="8"/>
  <c r="I8" i="8" s="1"/>
  <c r="I8" i="2" s="1"/>
  <c r="F30" i="8"/>
  <c r="F12" i="8" s="1"/>
  <c r="F22" i="2" s="1"/>
  <c r="F18" i="3" s="1"/>
  <c r="F6" i="8"/>
  <c r="F25" i="8"/>
  <c r="F8" i="8" s="1"/>
  <c r="F8" i="2" s="1"/>
  <c r="H6" i="8"/>
  <c r="H6" i="2" s="1"/>
  <c r="H25" i="8"/>
  <c r="H8" i="8" s="1"/>
  <c r="H8" i="2" s="1"/>
  <c r="H30" i="8"/>
  <c r="H12" i="8" s="1"/>
  <c r="H22" i="2" s="1"/>
  <c r="J12" i="1"/>
  <c r="J19" i="1" s="1"/>
  <c r="J23" i="1" s="1"/>
  <c r="J4" i="8"/>
  <c r="F17" i="1"/>
  <c r="A1" i="4"/>
  <c r="D59" i="9"/>
  <c r="D46" i="9"/>
  <c r="D34" i="9"/>
  <c r="D56" i="9"/>
  <c r="D57" i="9"/>
  <c r="D58" i="9"/>
  <c r="D55" i="9"/>
  <c r="D43" i="9"/>
  <c r="D44" i="9"/>
  <c r="D45" i="9"/>
  <c r="D42" i="9"/>
  <c r="D31" i="9"/>
  <c r="D32" i="9"/>
  <c r="D33" i="9"/>
  <c r="D30" i="9"/>
  <c r="C51" i="9"/>
  <c r="C26" i="9"/>
  <c r="C6" i="1"/>
  <c r="G20" i="9"/>
  <c r="H20" i="9" s="1"/>
  <c r="I20" i="9" s="1"/>
  <c r="J20" i="9" s="1"/>
  <c r="D2" i="9"/>
  <c r="E2" i="9" s="1"/>
  <c r="F2" i="9" s="1"/>
  <c r="G2" i="9" s="1"/>
  <c r="H2" i="9" s="1"/>
  <c r="I2" i="9" s="1"/>
  <c r="J2" i="9" s="1"/>
  <c r="A1" i="9"/>
  <c r="J10" i="12" l="1"/>
  <c r="J13" i="12" s="1"/>
  <c r="J16" i="12"/>
  <c r="G23" i="1"/>
  <c r="G37" i="1" s="1"/>
  <c r="I19" i="1"/>
  <c r="J15" i="3"/>
  <c r="H19" i="1"/>
  <c r="H23" i="1" s="1"/>
  <c r="H24" i="1" s="1"/>
  <c r="H26" i="1" s="1"/>
  <c r="I18" i="3"/>
  <c r="F6" i="2"/>
  <c r="J6" i="2"/>
  <c r="G18" i="3"/>
  <c r="F19" i="1"/>
  <c r="J11" i="8"/>
  <c r="J7" i="8"/>
  <c r="J7" i="2" s="1"/>
  <c r="H13" i="3"/>
  <c r="H18" i="3"/>
  <c r="J37" i="1"/>
  <c r="J24" i="1"/>
  <c r="J26" i="1" s="1"/>
  <c r="I15" i="3"/>
  <c r="I6" i="2"/>
  <c r="I13" i="3" s="1"/>
  <c r="C3" i="9"/>
  <c r="C5" i="9" s="1"/>
  <c r="C3" i="8"/>
  <c r="H11" i="8"/>
  <c r="H7" i="8"/>
  <c r="G9" i="8"/>
  <c r="G8" i="2"/>
  <c r="H15" i="3" s="1"/>
  <c r="J18" i="3"/>
  <c r="I11" i="8"/>
  <c r="I7" i="8"/>
  <c r="I7" i="2" s="1"/>
  <c r="F15" i="3"/>
  <c r="F11" i="8"/>
  <c r="F7" i="8"/>
  <c r="F7" i="2" s="1"/>
  <c r="G21" i="2"/>
  <c r="G13" i="8"/>
  <c r="B55" i="9"/>
  <c r="B56" i="9" s="1"/>
  <c r="B57" i="9" s="1"/>
  <c r="B58" i="9" s="1"/>
  <c r="B59" i="9" s="1"/>
  <c r="B30" i="9"/>
  <c r="B31" i="9" s="1"/>
  <c r="B32" i="9" s="1"/>
  <c r="B33" i="9" s="1"/>
  <c r="B34" i="9" s="1"/>
  <c r="B42" i="9"/>
  <c r="B43" i="9" s="1"/>
  <c r="B44" i="9" s="1"/>
  <c r="B45" i="9" s="1"/>
  <c r="B46" i="9" s="1"/>
  <c r="A1" i="8"/>
  <c r="A1" i="7"/>
  <c r="A1" i="5"/>
  <c r="A1" i="6"/>
  <c r="A1" i="3"/>
  <c r="C39" i="2"/>
  <c r="D14" i="5" s="1"/>
  <c r="C32" i="2"/>
  <c r="C26" i="2"/>
  <c r="C16" i="2"/>
  <c r="C9" i="2"/>
  <c r="A1" i="2"/>
  <c r="G24" i="1" l="1"/>
  <c r="G26" i="1" s="1"/>
  <c r="H37" i="1"/>
  <c r="I23" i="1"/>
  <c r="I37" i="1" s="1"/>
  <c r="I24" i="1"/>
  <c r="I26" i="1" s="1"/>
  <c r="I29" i="1" s="1"/>
  <c r="I9" i="8"/>
  <c r="F9" i="8"/>
  <c r="J5" i="3"/>
  <c r="J30" i="1"/>
  <c r="J12" i="4"/>
  <c r="J29" i="1"/>
  <c r="J13" i="8"/>
  <c r="J21" i="2"/>
  <c r="H21" i="2"/>
  <c r="H13" i="8"/>
  <c r="G26" i="2"/>
  <c r="G33" i="2" s="1"/>
  <c r="J13" i="3"/>
  <c r="H12" i="4"/>
  <c r="H30" i="1"/>
  <c r="H29" i="1"/>
  <c r="H5" i="3"/>
  <c r="G14" i="3"/>
  <c r="F14" i="3"/>
  <c r="G15" i="8"/>
  <c r="F21" i="2"/>
  <c r="F13" i="8"/>
  <c r="J14" i="3"/>
  <c r="J9" i="8"/>
  <c r="G15" i="3"/>
  <c r="I13" i="8"/>
  <c r="I15" i="8" s="1"/>
  <c r="I21" i="2"/>
  <c r="H9" i="8"/>
  <c r="H7" i="2"/>
  <c r="G13" i="3"/>
  <c r="F13" i="3"/>
  <c r="C33" i="2"/>
  <c r="C41" i="2" s="1"/>
  <c r="C17" i="2"/>
  <c r="D13" i="5" s="1"/>
  <c r="F15" i="8" l="1"/>
  <c r="G12" i="4"/>
  <c r="G30" i="1"/>
  <c r="G29" i="1"/>
  <c r="G5" i="3"/>
  <c r="I30" i="1"/>
  <c r="I12" i="4"/>
  <c r="I5" i="3"/>
  <c r="J15" i="8"/>
  <c r="J16" i="8" s="1"/>
  <c r="I14" i="3"/>
  <c r="H14" i="3"/>
  <c r="F16" i="3"/>
  <c r="F26" i="2"/>
  <c r="F33" i="2" s="1"/>
  <c r="J16" i="3"/>
  <c r="J26" i="2"/>
  <c r="J33" i="2" s="1"/>
  <c r="H15" i="8"/>
  <c r="I16" i="8" s="1"/>
  <c r="G16" i="3"/>
  <c r="G16" i="8"/>
  <c r="F16" i="8"/>
  <c r="H16" i="3"/>
  <c r="H26" i="2"/>
  <c r="H33" i="2" s="1"/>
  <c r="I26" i="2"/>
  <c r="I33" i="2" s="1"/>
  <c r="I16" i="3"/>
  <c r="C43" i="2"/>
  <c r="H16" i="8" l="1"/>
  <c r="C2" i="2"/>
  <c r="A1" i="1" l="1"/>
  <c r="D2" i="6" l="1"/>
  <c r="E2" i="6" s="1"/>
  <c r="F2" i="6" s="1"/>
  <c r="G2" i="6" s="1"/>
  <c r="H2" i="6" s="1"/>
  <c r="I2" i="6" s="1"/>
  <c r="J2" i="6" s="1"/>
  <c r="D2" i="3"/>
  <c r="E2" i="3" s="1"/>
  <c r="F2" i="3" s="1"/>
  <c r="G2" i="3" s="1"/>
  <c r="H2" i="3" s="1"/>
  <c r="I2" i="3" s="1"/>
  <c r="J2" i="3" s="1"/>
  <c r="E2" i="11" l="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C2" i="4"/>
  <c r="C52" i="9"/>
  <c r="C39" i="9"/>
  <c r="C27" i="9"/>
  <c r="C17" i="9"/>
  <c r="D2" i="8"/>
  <c r="E2" i="8" s="1"/>
  <c r="F2" i="8" s="1"/>
  <c r="G2" i="8" s="1"/>
  <c r="H2" i="8" s="1"/>
  <c r="I2" i="8" s="1"/>
  <c r="J2" i="8" s="1"/>
  <c r="D2" i="7"/>
  <c r="E2" i="7" s="1"/>
  <c r="F2" i="7" s="1"/>
  <c r="G2" i="7" s="1"/>
  <c r="H2" i="7" s="1"/>
  <c r="I2" i="7" s="1"/>
  <c r="J2" i="7" s="1"/>
  <c r="D45" i="1"/>
  <c r="E45" i="1"/>
  <c r="D11" i="1"/>
  <c r="D4" i="8" s="1"/>
  <c r="D21" i="8" l="1"/>
  <c r="D28" i="8"/>
  <c r="I52" i="9"/>
  <c r="G52" i="9"/>
  <c r="J52" i="9"/>
  <c r="H52" i="9"/>
  <c r="F52" i="9"/>
  <c r="G27" i="9"/>
  <c r="J27" i="9"/>
  <c r="H27" i="9"/>
  <c r="F27" i="9"/>
  <c r="I27" i="9"/>
  <c r="E16" i="9"/>
  <c r="E14" i="9"/>
  <c r="E15" i="9"/>
  <c r="F39" i="9"/>
  <c r="G39" i="9"/>
  <c r="H39" i="9"/>
  <c r="I39" i="9"/>
  <c r="J39" i="9"/>
  <c r="D10" i="5"/>
  <c r="C55" i="9" l="1"/>
  <c r="C59" i="9"/>
  <c r="J59" i="9" s="1"/>
  <c r="C58" i="9"/>
  <c r="C57" i="9"/>
  <c r="C56" i="9"/>
  <c r="C33" i="9"/>
  <c r="C34" i="9"/>
  <c r="J34" i="9" s="1"/>
  <c r="F21" i="9"/>
  <c r="J21" i="9"/>
  <c r="H21" i="9"/>
  <c r="C31" i="9"/>
  <c r="C30" i="9"/>
  <c r="I21" i="9"/>
  <c r="G21" i="9"/>
  <c r="C32" i="9"/>
  <c r="H23" i="9"/>
  <c r="G23" i="9"/>
  <c r="I23" i="9"/>
  <c r="F23" i="9"/>
  <c r="J23" i="9"/>
  <c r="C45" i="9"/>
  <c r="J22" i="9"/>
  <c r="G22" i="9"/>
  <c r="H22" i="9"/>
  <c r="I22" i="9"/>
  <c r="C44" i="9"/>
  <c r="F22" i="9"/>
  <c r="C43" i="9"/>
  <c r="C42" i="9"/>
  <c r="C46" i="9"/>
  <c r="J46" i="9" s="1"/>
  <c r="D2" i="5"/>
  <c r="E2" i="5" s="1"/>
  <c r="F2" i="5" s="1"/>
  <c r="G2" i="5" s="1"/>
  <c r="H2" i="5" s="1"/>
  <c r="I2" i="5" s="1"/>
  <c r="C42" i="3"/>
  <c r="C31" i="3"/>
  <c r="D42" i="3"/>
  <c r="D31" i="3"/>
  <c r="E42" i="3"/>
  <c r="E31" i="3"/>
  <c r="D32" i="2"/>
  <c r="D26" i="2"/>
  <c r="D6" i="5" s="1"/>
  <c r="D16" i="2"/>
  <c r="E32" i="2"/>
  <c r="E26" i="2"/>
  <c r="E9" i="2"/>
  <c r="D2" i="1"/>
  <c r="D2" i="12" s="1"/>
  <c r="D6" i="1"/>
  <c r="E6" i="1"/>
  <c r="D3" i="9" l="1"/>
  <c r="D5" i="9" s="1"/>
  <c r="D3" i="8"/>
  <c r="E3" i="8"/>
  <c r="E3" i="9"/>
  <c r="E5" i="9" s="1"/>
  <c r="J45" i="9"/>
  <c r="I45" i="9"/>
  <c r="G43" i="9"/>
  <c r="J43" i="9"/>
  <c r="I43" i="9"/>
  <c r="H43" i="9"/>
  <c r="J55" i="9"/>
  <c r="F55" i="9"/>
  <c r="F60" i="9" s="1"/>
  <c r="I55" i="9"/>
  <c r="H55" i="9"/>
  <c r="G55" i="9"/>
  <c r="I56" i="9"/>
  <c r="J56" i="9"/>
  <c r="H56" i="9"/>
  <c r="G56" i="9"/>
  <c r="H44" i="9"/>
  <c r="J44" i="9"/>
  <c r="I44" i="9"/>
  <c r="J57" i="9"/>
  <c r="I57" i="9"/>
  <c r="H57" i="9"/>
  <c r="I58" i="9"/>
  <c r="J58" i="9"/>
  <c r="H42" i="9"/>
  <c r="I42" i="9"/>
  <c r="J42" i="9"/>
  <c r="G42" i="9"/>
  <c r="G47" i="9" s="1"/>
  <c r="F42" i="9"/>
  <c r="F47" i="9" s="1"/>
  <c r="H30" i="9"/>
  <c r="I30" i="9"/>
  <c r="J30" i="9"/>
  <c r="G30" i="9"/>
  <c r="F30" i="9"/>
  <c r="F35" i="9" s="1"/>
  <c r="G31" i="9"/>
  <c r="I31" i="9"/>
  <c r="H31" i="9"/>
  <c r="J31" i="9"/>
  <c r="J32" i="9"/>
  <c r="I32" i="9"/>
  <c r="H32" i="9"/>
  <c r="J33" i="9"/>
  <c r="I33" i="9"/>
  <c r="D9" i="5"/>
  <c r="D2" i="2"/>
  <c r="E2" i="2" s="1"/>
  <c r="F2" i="2" s="1"/>
  <c r="G2" i="2" s="1"/>
  <c r="H2" i="2" s="1"/>
  <c r="I2" i="2" s="1"/>
  <c r="J2" i="2" s="1"/>
  <c r="E17" i="2"/>
  <c r="D5" i="5"/>
  <c r="D8" i="5"/>
  <c r="E2" i="1"/>
  <c r="E2" i="12" s="1"/>
  <c r="D2" i="4"/>
  <c r="D17" i="2"/>
  <c r="E17" i="1"/>
  <c r="D17" i="1"/>
  <c r="E33" i="2"/>
  <c r="D33" i="2"/>
  <c r="C12" i="1"/>
  <c r="E12" i="1"/>
  <c r="D12" i="1"/>
  <c r="D17" i="5" s="1"/>
  <c r="H47" i="9" l="1"/>
  <c r="J60" i="9"/>
  <c r="E19" i="8"/>
  <c r="E31" i="8"/>
  <c r="E26" i="8"/>
  <c r="D19" i="8"/>
  <c r="D26" i="8"/>
  <c r="D31" i="8"/>
  <c r="H60" i="9"/>
  <c r="F62" i="9"/>
  <c r="F9" i="9" s="1"/>
  <c r="I60" i="9"/>
  <c r="I47" i="9"/>
  <c r="G35" i="9"/>
  <c r="G60" i="9"/>
  <c r="J35" i="9"/>
  <c r="I35" i="9"/>
  <c r="H35" i="9"/>
  <c r="J47" i="9"/>
  <c r="D26" i="5"/>
  <c r="F2" i="1"/>
  <c r="F2" i="12" s="1"/>
  <c r="E2" i="4"/>
  <c r="C19" i="1"/>
  <c r="C23" i="1" s="1"/>
  <c r="E19" i="1"/>
  <c r="E23" i="1" s="1"/>
  <c r="D19" i="1"/>
  <c r="D23" i="1" s="1"/>
  <c r="G62" i="9" l="1"/>
  <c r="G9" i="9" s="1"/>
  <c r="G38" i="1" s="1"/>
  <c r="G40" i="1" s="1"/>
  <c r="H62" i="9"/>
  <c r="H9" i="9" s="1"/>
  <c r="H38" i="1" s="1"/>
  <c r="H40" i="1" s="1"/>
  <c r="C25" i="1"/>
  <c r="C26" i="1"/>
  <c r="C12" i="4" s="1"/>
  <c r="F11" i="9"/>
  <c r="F38" i="1"/>
  <c r="I62" i="9"/>
  <c r="I9" i="9" s="1"/>
  <c r="J62" i="9"/>
  <c r="J9" i="9" s="1"/>
  <c r="J38" i="1" s="1"/>
  <c r="D18" i="5"/>
  <c r="G2" i="1"/>
  <c r="G2" i="12" s="1"/>
  <c r="F2" i="4"/>
  <c r="C17" i="4" l="1"/>
  <c r="D11" i="4" s="1"/>
  <c r="G7" i="3"/>
  <c r="G20" i="3" s="1"/>
  <c r="G3" i="12" s="1"/>
  <c r="H7" i="3"/>
  <c r="H20" i="3" s="1"/>
  <c r="F7" i="3"/>
  <c r="D26" i="1"/>
  <c r="D25" i="1"/>
  <c r="E37" i="1"/>
  <c r="E40" i="1" s="1"/>
  <c r="E25" i="1"/>
  <c r="J40" i="1"/>
  <c r="J7" i="3"/>
  <c r="J20" i="3" s="1"/>
  <c r="G7" i="9"/>
  <c r="G11" i="9" s="1"/>
  <c r="F13" i="2"/>
  <c r="F16" i="2" s="1"/>
  <c r="I38" i="1"/>
  <c r="C5" i="3"/>
  <c r="C20" i="3" s="1"/>
  <c r="C29" i="1"/>
  <c r="C30" i="1"/>
  <c r="E26" i="1"/>
  <c r="H2" i="1"/>
  <c r="H2" i="12" s="1"/>
  <c r="G2" i="4"/>
  <c r="G44" i="3" l="1"/>
  <c r="H3" i="12"/>
  <c r="H44" i="3"/>
  <c r="C44" i="3"/>
  <c r="C46" i="3" s="1"/>
  <c r="J3" i="12"/>
  <c r="J44" i="3"/>
  <c r="D19" i="5"/>
  <c r="D25" i="5" s="1"/>
  <c r="E12" i="4"/>
  <c r="E5" i="3"/>
  <c r="E20" i="3" s="1"/>
  <c r="E44" i="3" s="1"/>
  <c r="E46" i="3" s="1"/>
  <c r="F45" i="3" s="1"/>
  <c r="F5" i="12" s="1"/>
  <c r="E30" i="1"/>
  <c r="E29" i="1"/>
  <c r="I40" i="1"/>
  <c r="I7" i="3"/>
  <c r="I20" i="3" s="1"/>
  <c r="D30" i="1"/>
  <c r="D29" i="1"/>
  <c r="D5" i="3"/>
  <c r="D20" i="3" s="1"/>
  <c r="D12" i="4"/>
  <c r="D17" i="4" s="1"/>
  <c r="E11" i="4" s="1"/>
  <c r="H7" i="9"/>
  <c r="H11" i="9" s="1"/>
  <c r="G13" i="2"/>
  <c r="G16" i="2" s="1"/>
  <c r="I2" i="1"/>
  <c r="I2" i="12" s="1"/>
  <c r="H2" i="4"/>
  <c r="D44" i="3" l="1"/>
  <c r="D46" i="3" s="1"/>
  <c r="I3" i="12"/>
  <c r="I44" i="3"/>
  <c r="I7" i="9"/>
  <c r="I11" i="9" s="1"/>
  <c r="H13" i="2"/>
  <c r="H16" i="2" s="1"/>
  <c r="E17" i="4"/>
  <c r="J2" i="1"/>
  <c r="J2" i="12" s="1"/>
  <c r="I2" i="4"/>
  <c r="J7" i="9" l="1"/>
  <c r="J11" i="9" s="1"/>
  <c r="J13" i="2" s="1"/>
  <c r="J16" i="2" s="1"/>
  <c r="I13" i="2"/>
  <c r="I16" i="2" s="1"/>
  <c r="J2" i="4"/>
  <c r="F11" i="4" l="1"/>
  <c r="J41" i="2" l="1"/>
  <c r="I41" i="2"/>
  <c r="H41" i="2"/>
  <c r="G41" i="2"/>
  <c r="D27" i="5"/>
  <c r="D28" i="5" s="1"/>
  <c r="E41" i="2"/>
  <c r="E43" i="2" s="1"/>
  <c r="D22" i="5"/>
  <c r="D21" i="5"/>
  <c r="D41" i="2"/>
  <c r="D43" i="2" s="1"/>
  <c r="D31" i="5"/>
  <c r="F23" i="1"/>
  <c r="F37" i="1" s="1"/>
  <c r="F40" i="1" s="1"/>
  <c r="F24" i="1" l="1"/>
  <c r="F26" i="1" s="1"/>
  <c r="F29" i="1" s="1"/>
  <c r="F12" i="4"/>
  <c r="F17" i="4" s="1"/>
  <c r="G11" i="4" s="1"/>
  <c r="G17" i="4" s="1"/>
  <c r="H11" i="4" s="1"/>
  <c r="H17" i="4" s="1"/>
  <c r="I11" i="4" s="1"/>
  <c r="I17" i="4" s="1"/>
  <c r="J11" i="4" s="1"/>
  <c r="J17" i="4" s="1"/>
  <c r="F30" i="1"/>
  <c r="F5" i="3"/>
  <c r="F20" i="3" s="1"/>
  <c r="F3" i="12" l="1"/>
  <c r="F7" i="12" s="1"/>
  <c r="F44" i="3"/>
  <c r="F46" i="3" s="1"/>
  <c r="F5" i="2" l="1"/>
  <c r="G45" i="3"/>
  <c r="G5" i="12" l="1"/>
  <c r="G7" i="12" s="1"/>
  <c r="G46" i="3"/>
  <c r="F20" i="12"/>
  <c r="F22" i="12" s="1"/>
  <c r="F42" i="1" s="1"/>
  <c r="F9" i="2"/>
  <c r="F17" i="2" s="1"/>
  <c r="F24" i="12" l="1"/>
  <c r="F45" i="1"/>
  <c r="G5" i="2"/>
  <c r="H45" i="3"/>
  <c r="G9" i="2" l="1"/>
  <c r="G17" i="2" s="1"/>
  <c r="G43" i="2" s="1"/>
  <c r="G20" i="12"/>
  <c r="G22" i="12" s="1"/>
  <c r="G42" i="1" s="1"/>
  <c r="H46" i="3"/>
  <c r="H5" i="12"/>
  <c r="H7" i="12" s="1"/>
  <c r="I45" i="3" l="1"/>
  <c r="H5" i="2"/>
  <c r="G24" i="12"/>
  <c r="G45" i="1"/>
  <c r="H9" i="2" l="1"/>
  <c r="H17" i="2" s="1"/>
  <c r="H43" i="2" s="1"/>
  <c r="H20" i="12"/>
  <c r="H22" i="12" s="1"/>
  <c r="H42" i="1" s="1"/>
  <c r="I5" i="12"/>
  <c r="I7" i="12" s="1"/>
  <c r="I46" i="3"/>
  <c r="H24" i="12" l="1"/>
  <c r="H45" i="1"/>
  <c r="J45" i="3"/>
  <c r="I5" i="2"/>
  <c r="J46" i="3" l="1"/>
  <c r="J5" i="2" s="1"/>
  <c r="J9" i="2" s="1"/>
  <c r="J17" i="2" s="1"/>
  <c r="J43" i="2" s="1"/>
  <c r="J5" i="12"/>
  <c r="J7" i="12" s="1"/>
  <c r="I9" i="2"/>
  <c r="I17" i="2" s="1"/>
  <c r="I43" i="2" s="1"/>
  <c r="J20" i="12"/>
  <c r="J22" i="12" s="1"/>
  <c r="J42" i="1" s="1"/>
  <c r="I20" i="12"/>
  <c r="I22" i="12" s="1"/>
  <c r="I42" i="1" s="1"/>
  <c r="I24" i="12" l="1"/>
  <c r="J24" i="12"/>
  <c r="J45" i="1" l="1"/>
  <c r="I45" i="1"/>
  <c r="F41" i="2"/>
  <c r="F4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yatin rane</author>
  </authors>
  <commentList>
    <comment ref="B13" authorId="0" shapeId="0" xr:uid="{00000000-0006-0000-0B00-000001000000}">
      <text>
        <r>
          <rPr>
            <sz val="9"/>
            <color indexed="81"/>
            <rFont val="Tahoma"/>
            <family val="2"/>
          </rPr>
          <t xml:space="preserve">FCFF projected till the year 2040 by considering % y-o-y growth method.
</t>
        </r>
      </text>
    </comment>
    <comment ref="C20" authorId="0" shapeId="0" xr:uid="{00000000-0006-0000-0B00-000002000000}">
      <text>
        <r>
          <rPr>
            <sz val="9"/>
            <color indexed="81"/>
            <rFont val="Tahoma"/>
            <family val="2"/>
          </rPr>
          <t xml:space="preserve">US 10-YearTreasury Constant Maturity rate
</t>
        </r>
      </text>
    </comment>
    <comment ref="C22" authorId="0" shapeId="0" xr:uid="{00000000-0006-0000-0B00-000003000000}">
      <text>
        <r>
          <rPr>
            <sz val="9"/>
            <color indexed="81"/>
            <rFont val="Tahoma"/>
            <family val="2"/>
          </rPr>
          <t>http://pages.stern.nyu.edu/~adamodar/New_Home_Page/datafile/ctryprem.html</t>
        </r>
      </text>
    </comment>
  </commentList>
</comments>
</file>

<file path=xl/sharedStrings.xml><?xml version="1.0" encoding="utf-8"?>
<sst xmlns="http://schemas.openxmlformats.org/spreadsheetml/2006/main" count="377" uniqueCount="285">
  <si>
    <t>Products</t>
  </si>
  <si>
    <t>Total net sales</t>
  </si>
  <si>
    <t>Total 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</si>
  <si>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</si>
  <si>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</si>
  <si>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</si>
  <si>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</si>
  <si>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</si>
  <si>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</si>
  <si>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income/(expense), net</t>
  </si>
  <si>
    <t>Income before provision for income taxes</t>
  </si>
  <si>
    <t>Provision for income taxes</t>
  </si>
  <si>
    <t>Net income</t>
  </si>
  <si>
    <t>Earnings per share:</t>
  </si>
  <si>
    <t>Basic</t>
  </si>
  <si>
    <t>Diluted</t>
  </si>
  <si>
    <t>Shares used in computing earnings per share:</t>
  </si>
  <si>
    <t>Tax rate</t>
  </si>
  <si>
    <t>Historicals</t>
  </si>
  <si>
    <t>Cash and cash equivalents</t>
  </si>
  <si>
    <t>Accounts receivable, net</t>
  </si>
  <si>
    <t>Inventories</t>
  </si>
  <si>
    <t>Vendor non-trade receivables</t>
  </si>
  <si>
    <t>Other current assets</t>
  </si>
  <si>
    <t>Non-current assets:</t>
  </si>
  <si>
    <t>Property, plant and equipment, net</t>
  </si>
  <si>
    <t>Other non-current assets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</si>
  <si>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</si>
  <si>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</si>
  <si>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</si>
  <si>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</si>
  <si>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</si>
  <si>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</si>
  <si>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</si>
  <si>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</si>
  <si>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</si>
  <si>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</si>
  <si>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</si>
  <si>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Shareholders’ equity:</t>
  </si>
  <si>
    <t>Retained earnings</t>
  </si>
  <si>
    <t>Accumulated other comprehensive income/(loss)</t>
  </si>
  <si>
    <t>Total shareholders’ equity</t>
  </si>
  <si>
    <t>Total liabilities and shareholders’ equity</t>
  </si>
  <si>
    <t xml:space="preserve">Common stock </t>
  </si>
  <si>
    <t>Common stock and additional paid-in capital:</t>
  </si>
  <si>
    <t>Beginning balances</t>
  </si>
  <si>
    <t>Common stock issued</t>
  </si>
  <si>
    <t>Share-based compensation</t>
  </si>
  <si>
    <t>Ending balances</t>
  </si>
  <si>
    <t>Common stock withheld related to net share settlement of equity awards</t>
  </si>
  <si>
    <t>Retained earnings:</t>
  </si>
  <si>
    <t>Common stock repurchased</t>
  </si>
  <si>
    <t>Cumulative effects of changes in accounting principles</t>
  </si>
  <si>
    <t>Accumulated other comprehensive income/(loss):</t>
  </si>
  <si>
    <t>Other comprehensive income/(loss)</t>
  </si>
  <si>
    <t>Total shareholders’ equity, ending balances</t>
  </si>
  <si>
    <t>Dividends and dividend equivalents declared per share or RSU</t>
  </si>
  <si>
    <t>Cash, cash equivalents and restricted cash, beginning balances</t>
  </si>
  <si>
    <t>Depreciation and amortization</t>
  </si>
  <si>
    <t>Share-based compensation expense</t>
  </si>
  <si>
    <t>Deferred income tax benefit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</si>
  <si>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</si>
  <si>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</si>
  <si>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</si>
  <si>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</si>
  <si>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</si>
  <si>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Payments made in connection with business acquisitions, net</t>
  </si>
  <si>
    <t>Purchases of non-marketable securities</t>
  </si>
  <si>
    <t>Proceeds from non-marketable securities</t>
  </si>
  <si>
    <t>Cash generated by/(used in) investing activities</t>
  </si>
  <si>
    <t>Cash used in financing activities</t>
  </si>
  <si>
    <t>Increase/(Decrease) in cash, cash equivalents and restricted cash</t>
  </si>
  <si>
    <t>Cash, cash equivalents and restricted cash, ending balances</t>
  </si>
  <si>
    <t>Forecasts</t>
  </si>
  <si>
    <t>(All Data is in Millions $, Except Per Share Information)</t>
  </si>
  <si>
    <t>Ratio Analysis</t>
  </si>
  <si>
    <t>Solvency Ratios</t>
  </si>
  <si>
    <t>Current ratio</t>
  </si>
  <si>
    <t>Cash ratio</t>
  </si>
  <si>
    <t>Receivables turnover</t>
  </si>
  <si>
    <t>Payables turnover</t>
  </si>
  <si>
    <t>Operating Efficiency</t>
  </si>
  <si>
    <t>Total asset turnover</t>
  </si>
  <si>
    <t>Equity turnover</t>
  </si>
  <si>
    <t>Operating Profitability</t>
  </si>
  <si>
    <t>Gross Profit Margin</t>
  </si>
  <si>
    <t>Operating Profit Margin</t>
  </si>
  <si>
    <t>Net Profit Margin</t>
  </si>
  <si>
    <t>Return on total capital</t>
  </si>
  <si>
    <t>ROE (Net Income / Common Equity)</t>
  </si>
  <si>
    <t xml:space="preserve">ROE DuPont Analysis </t>
  </si>
  <si>
    <t>Profit Margin</t>
  </si>
  <si>
    <t>Asset Turnover</t>
  </si>
  <si>
    <t>Financial Leverage</t>
  </si>
  <si>
    <t>ROE</t>
  </si>
  <si>
    <t>Financial Risk Ratios</t>
  </si>
  <si>
    <t>Debt to equity ratio</t>
  </si>
  <si>
    <t>Net sales by category:</t>
  </si>
  <si>
    <t>% of sales</t>
  </si>
  <si>
    <t>Interest and dividend income</t>
  </si>
  <si>
    <t>Interest expense</t>
  </si>
  <si>
    <t>Total other income/(expense), net</t>
  </si>
  <si>
    <t>Revenue</t>
  </si>
  <si>
    <t>% Sales</t>
  </si>
  <si>
    <t>Net Sales</t>
  </si>
  <si>
    <t xml:space="preserve">Cost of Sales </t>
  </si>
  <si>
    <t>Accounts receivable, net of allowance</t>
  </si>
  <si>
    <t xml:space="preserve">Total Non Cash Current Assets </t>
  </si>
  <si>
    <t>Accounts payable and accrued expenses</t>
  </si>
  <si>
    <t>Total Current Liabilities</t>
  </si>
  <si>
    <t>Net Working Capital</t>
  </si>
  <si>
    <t>(Increase) / Decrease in Working Capital</t>
  </si>
  <si>
    <t>Ratios &amp; Assumptions</t>
  </si>
  <si>
    <t>% of Sales</t>
  </si>
  <si>
    <t>Machinery, equipment and internal-use software</t>
  </si>
  <si>
    <t>Leasehold improvements</t>
  </si>
  <si>
    <t>Capital Expenditures</t>
  </si>
  <si>
    <t>Capital Expenditures as % of Net Sales</t>
  </si>
  <si>
    <t>Beginning Net PP&amp;E</t>
  </si>
  <si>
    <t>(Depreciation Expense)</t>
  </si>
  <si>
    <t>(Asset Sales )</t>
  </si>
  <si>
    <t>Ending Net PP&amp;E</t>
  </si>
  <si>
    <t>Total</t>
  </si>
  <si>
    <t>Land Building</t>
  </si>
  <si>
    <t>Amount</t>
  </si>
  <si>
    <t>Useful Life</t>
  </si>
  <si>
    <t>Proportion of Assets</t>
  </si>
  <si>
    <t>Total Capex</t>
  </si>
  <si>
    <t>Breakup</t>
  </si>
  <si>
    <t>PPE (Break-up for 2021)</t>
  </si>
  <si>
    <t xml:space="preserve">Year </t>
  </si>
  <si>
    <t>Capex</t>
  </si>
  <si>
    <t>(a)</t>
  </si>
  <si>
    <t>Depreciation: Land And Building</t>
  </si>
  <si>
    <t>(b)</t>
  </si>
  <si>
    <t>Leasehold improvements  - Straight Line Method</t>
  </si>
  <si>
    <t>Depreciation Expense (existing)</t>
  </si>
  <si>
    <t>(c)</t>
  </si>
  <si>
    <t xml:space="preserve">Depreciation: Leasehold improvements </t>
  </si>
  <si>
    <t>EBITDA</t>
  </si>
  <si>
    <t>Income from Operations (EBIT)</t>
  </si>
  <si>
    <t>Add: Depreciation and Amortization</t>
  </si>
  <si>
    <t>Add: Stock-based compensation</t>
  </si>
  <si>
    <t>Adjusted EBITDA</t>
  </si>
  <si>
    <t>Total Revenue</t>
  </si>
  <si>
    <t>EBIT</t>
  </si>
  <si>
    <t>Free Cash Flow to Firm (FCFF)</t>
  </si>
  <si>
    <t>EBIT x (1-t)</t>
  </si>
  <si>
    <t>Add: Depreciation &amp; amortization</t>
  </si>
  <si>
    <t>Add: Stock Based Compensation</t>
  </si>
  <si>
    <t>Less: Capex</t>
  </si>
  <si>
    <t>Add: Change in working capital</t>
  </si>
  <si>
    <t>FCFF</t>
  </si>
  <si>
    <t>% yoy (FCFF)</t>
  </si>
  <si>
    <t>Terminal Value</t>
  </si>
  <si>
    <t>WACC Inputs</t>
  </si>
  <si>
    <t>Cost of Equity &amp; Cost of Debt</t>
  </si>
  <si>
    <t>Risk Free Rate</t>
  </si>
  <si>
    <t>Beta</t>
  </si>
  <si>
    <t>Equity Risk Premium</t>
  </si>
  <si>
    <t>Cost of equity</t>
  </si>
  <si>
    <t>Terminal Growth Rate</t>
  </si>
  <si>
    <t>Market Value of Equity</t>
  </si>
  <si>
    <t>Current Stock Price</t>
  </si>
  <si>
    <t>Current shares outstanding</t>
  </si>
  <si>
    <t>Options/Warrants Converts</t>
  </si>
  <si>
    <t>Fully converted shares</t>
  </si>
  <si>
    <t>Fully converted equity value</t>
  </si>
  <si>
    <t>Calculating Book value of Debt</t>
  </si>
  <si>
    <t>Short-Term Debt</t>
  </si>
  <si>
    <t>Straight Long-Term Debt</t>
  </si>
  <si>
    <t>Value of Debt</t>
  </si>
  <si>
    <t>Calculating Debt to Equity ratio</t>
  </si>
  <si>
    <t>Proporiton of Equity in the Capital Strucuture</t>
  </si>
  <si>
    <t>Proporiton of Debt in the Capital Strucuture</t>
  </si>
  <si>
    <t>WACC Calculations</t>
  </si>
  <si>
    <t>Risk Free rate</t>
  </si>
  <si>
    <t>Market risk premium</t>
  </si>
  <si>
    <t>Levered beta of company</t>
  </si>
  <si>
    <t>Pre-tax cost of debt</t>
  </si>
  <si>
    <t>After tax cost of debt</t>
  </si>
  <si>
    <t>WACC</t>
  </si>
  <si>
    <t>Free cash flow to firm of explicit period (2021E to 2040E)</t>
  </si>
  <si>
    <t>Cash Flows</t>
  </si>
  <si>
    <t>NPV of explicit period</t>
  </si>
  <si>
    <t>Terminal value @ perpetual growth</t>
  </si>
  <si>
    <t>Terminal value</t>
  </si>
  <si>
    <t>NPV of terminal value</t>
  </si>
  <si>
    <t>DCF Valuation Summary</t>
  </si>
  <si>
    <t>DCF calculation as of</t>
  </si>
  <si>
    <t xml:space="preserve">Valuation </t>
  </si>
  <si>
    <t>Target (Year end)</t>
  </si>
  <si>
    <t>Enterprise Value</t>
  </si>
  <si>
    <t>+ Cash</t>
  </si>
  <si>
    <t>- Debt</t>
  </si>
  <si>
    <t>Equity value</t>
  </si>
  <si>
    <t>+ Marketable securities, restricted cash</t>
  </si>
  <si>
    <t>Adjusted Equity Value</t>
  </si>
  <si>
    <t>Share Price</t>
  </si>
  <si>
    <t>Sensitivity Analysis</t>
  </si>
  <si>
    <t>Growth</t>
  </si>
  <si>
    <t>Cash Flow Available for Financing Activities</t>
  </si>
  <si>
    <t>Proceeds from/ (Repurchase of) Equity</t>
  </si>
  <si>
    <t>+ Beginning Cash Balance</t>
  </si>
  <si>
    <t>- Minimum Cash Balance</t>
  </si>
  <si>
    <t>Cash Available for Debt Repayment</t>
  </si>
  <si>
    <t>Long Term  (commited payments)</t>
  </si>
  <si>
    <t>Beginning Balance</t>
  </si>
  <si>
    <t>Issuance</t>
  </si>
  <si>
    <t>(Repayment/ Amortization)</t>
  </si>
  <si>
    <t>Ending Balance</t>
  </si>
  <si>
    <t>Interest Expense Calculation</t>
  </si>
  <si>
    <t>Average Interest rate</t>
  </si>
  <si>
    <t>Cash Balances</t>
  </si>
  <si>
    <t>Average Cash Balance</t>
  </si>
  <si>
    <t>Interest Rate</t>
  </si>
  <si>
    <t>Interest Earned</t>
  </si>
  <si>
    <t>Net Interest Expense</t>
  </si>
  <si>
    <t>Forcast</t>
  </si>
  <si>
    <t>Inventory Turnover</t>
  </si>
  <si>
    <t>Core Financial Statements</t>
  </si>
  <si>
    <t>Income Statement</t>
  </si>
  <si>
    <t>Balance Sheet</t>
  </si>
  <si>
    <t>Supporting Financial Modeling Schedules</t>
  </si>
  <si>
    <t>Revenue Built-up</t>
  </si>
  <si>
    <t>Cost Sheet</t>
  </si>
  <si>
    <t>Working Capital</t>
  </si>
  <si>
    <t>Depreciation Schedule</t>
  </si>
  <si>
    <t>Shareholder's Equity</t>
  </si>
  <si>
    <t>Debt Schedule</t>
  </si>
  <si>
    <t>Valuations</t>
  </si>
  <si>
    <t>DCF Valuation</t>
  </si>
  <si>
    <t xml:space="preserve">Note: </t>
  </si>
  <si>
    <t>This Excel model is intended solely for educational purposes and should not be used for any other purpose.</t>
  </si>
  <si>
    <t>Check</t>
  </si>
  <si>
    <t>Assets</t>
  </si>
  <si>
    <t>Current Assets</t>
  </si>
  <si>
    <t>Total Current Assets</t>
  </si>
  <si>
    <t>Total Assets</t>
  </si>
  <si>
    <t xml:space="preserve">Liabilities and Equity </t>
  </si>
  <si>
    <t>Total Non-current Assets</t>
  </si>
  <si>
    <t>Cash flows from operating activities</t>
  </si>
  <si>
    <t>Cash flows from investing activities</t>
  </si>
  <si>
    <t>Cash Flow available for Financing Activities</t>
  </si>
  <si>
    <t>Adjustments:</t>
  </si>
  <si>
    <t>Total Net Sales</t>
  </si>
  <si>
    <t>Cost of Sales:</t>
  </si>
  <si>
    <t>Operating Expense:</t>
  </si>
  <si>
    <t xml:space="preserve">Land and buildings </t>
  </si>
  <si>
    <t>Land and Building- Straight Line Method</t>
  </si>
  <si>
    <t>Machinery, equipment and internal-use software  - Straight Line Method</t>
  </si>
  <si>
    <t>Depreciation: Machinery, equipment and internal-use software</t>
  </si>
  <si>
    <t>Total Depreciation (a+b+c)</t>
  </si>
  <si>
    <t>Beauty</t>
  </si>
  <si>
    <t>Grooming</t>
  </si>
  <si>
    <t>Health Care</t>
  </si>
  <si>
    <t>Fabric &amp; Home Care</t>
  </si>
  <si>
    <t>Baby Feminine &amp; Family Care</t>
  </si>
  <si>
    <t>Corporate</t>
  </si>
  <si>
    <t>P&amp;G Financial Modeling</t>
  </si>
  <si>
    <t>Goodwill</t>
  </si>
  <si>
    <t>Deferred Income Tax</t>
  </si>
  <si>
    <t>-</t>
  </si>
  <si>
    <t>Accrued and other liabilities</t>
  </si>
  <si>
    <t>Consolidated Statement of Cash Flows:</t>
  </si>
  <si>
    <t>Loss/(gain) on sale of assets</t>
  </si>
  <si>
    <t>Indefinite-lived intangible asset impairment charge</t>
  </si>
  <si>
    <t>Capital expenditures</t>
  </si>
  <si>
    <t>Proceeds from asset sales</t>
  </si>
  <si>
    <t>Acquisitions, net of cash acquired</t>
  </si>
  <si>
    <t>Other investing activity</t>
  </si>
  <si>
    <t>Dividends to shareholders</t>
  </si>
  <si>
    <t xml:space="preserve"> Additions to short-term debt with original maturities of more than three months</t>
  </si>
  <si>
    <t>Reductions in short-term debt with original maturities of more than three months</t>
  </si>
  <si>
    <t>Additions to long-term debt</t>
  </si>
  <si>
    <t>Reductions in long-term debt</t>
  </si>
  <si>
    <t>Treasury stock purchases</t>
  </si>
  <si>
    <t>Change in other operating assets and liabilities</t>
  </si>
  <si>
    <t>Trademarks And other Intangible Assets, net</t>
  </si>
  <si>
    <t>Interest income</t>
  </si>
  <si>
    <t xml:space="preserve">EFFECT OF EXCHANGE RATE CHANGES ON CASH, CASH EQUIVALENTS AND RESTRICTED CASH </t>
  </si>
  <si>
    <t>Net additions/(reductions) to other short-term debt</t>
  </si>
  <si>
    <t>Impact of stock options and other</t>
  </si>
  <si>
    <t>Other Non Operating income/(expense), net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</si>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</sst>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8" formatCode="&quot;₹&quot;\ #,##0.00;[Red]&quot;₹&quot;\ \-#,##0.00"/>
    <numFmt numFmtId="43" formatCode="_ * #,##0.00_ ;_ * \-#,##0.00_ ;_ * &quot;-&quot;??_ ;_ @_ "/>
    <numFmt numFmtId="164" formatCode="&quot;$&quot;#,##0.00_);[Red]\(&quot;$&quot;#,##0.00\)"/>
    <numFmt numFmtId="165" formatCode="_(* #,##0.00_);_(* \(#,##0.00\);_(* &quot;-&quot;??_);_(@_)"/>
    <numFmt numFmtId="166" formatCode="&quot;FY&quot;\ 0"/>
    <numFmt numFmtId="167" formatCode="#,##0.0;\(#,##0.0\);\-"/>
    <numFmt numFmtId="168" formatCode="_(* #,##0_);_(* \(#,##0\);_(* &quot;-&quot;??_);_(@_)"/>
    <numFmt numFmtId="169" formatCode="0.0%"/>
    <numFmt numFmtId="170" formatCode="0.00_);\(0.00\)"/>
    <numFmt numFmtId="171" formatCode="_(* #,##0.0_);_(* \(#,##0.0\);_(* &quot;-&quot;??_);_(@_)"/>
    <numFmt numFmtId="172" formatCode="#,##0.00;\(#,##0.00\);\-"/>
    <numFmt numFmtId="173" formatCode="#,##0;\(#,##0\);\-"/>
    <numFmt numFmtId="174" formatCode="[$-409]mmm\-yy;@"/>
    <numFmt numFmtId="175" formatCode="0_);\(0\)"/>
    <numFmt numFmtId="176" formatCode="#,##0.0"/>
    <numFmt numFmtId="177" formatCode="0.0_);\(0.0\)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 val="singleAccounting"/>
      <sz val="11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rgb="FF00B0F0"/>
      <name val="Calibri"/>
      <family val="2"/>
      <scheme val="minor"/>
    </font>
    <font>
      <b/>
      <u val="singleAccounting"/>
      <sz val="11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rgb="FF0BA1A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ED1D24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Arial"/>
      <family val="2"/>
    </font>
    <font>
      <b/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5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rgb="FF9AC240"/>
      <name val="Calibri"/>
      <family val="2"/>
      <scheme val="minor"/>
    </font>
    <font>
      <u/>
      <sz val="11"/>
      <color theme="0"/>
      <name val="Calibri"/>
      <family val="2"/>
    </font>
    <font>
      <u/>
      <sz val="12.65"/>
      <color theme="0"/>
      <name val="Calibri"/>
      <family val="2"/>
      <scheme val="minor"/>
    </font>
    <font>
      <sz val="11"/>
      <color rgb="FFFF3B3B"/>
      <name val="Calibri"/>
      <family val="2"/>
      <scheme val="minor"/>
    </font>
    <font>
      <b/>
      <sz val="11"/>
      <color rgb="FF0F733D"/>
      <name val="Calibri"/>
      <family val="2"/>
      <scheme val="minor"/>
    </font>
    <font>
      <sz val="11"/>
      <color rgb="FF0F733D"/>
      <name val="Calibri"/>
      <family val="2"/>
      <scheme val="minor"/>
    </font>
    <font>
      <b/>
      <u val="singleAccounting"/>
      <sz val="11"/>
      <color rgb="FF0F733D"/>
      <name val="Calibri"/>
      <family val="2"/>
      <scheme val="minor"/>
    </font>
    <font>
      <b/>
      <u/>
      <sz val="11"/>
      <color rgb="FF0F733D"/>
      <name val="Calibri"/>
      <family val="2"/>
      <scheme val="minor"/>
    </font>
    <font>
      <sz val="10"/>
      <color rgb="FF00B0F0"/>
      <name val="Calibri"/>
      <family val="2"/>
      <scheme val="minor"/>
    </font>
    <font>
      <sz val="11"/>
      <color rgb="FF0E96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rgb="FF104C55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104C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F733D"/>
        <bgColor indexed="64"/>
      </patternFill>
    </fill>
    <fill>
      <patternFill patternType="solid">
        <fgColor rgb="FFDEED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1499984740745262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4659260841701"/>
      </top>
      <bottom style="medium">
        <color rgb="FF0E9693"/>
      </bottom>
      <diagonal/>
    </border>
    <border>
      <left/>
      <right/>
      <top style="thin">
        <color theme="0" tint="-0.24994659260841701"/>
      </top>
      <bottom style="medium">
        <color rgb="FF0F733D"/>
      </bottom>
      <diagonal/>
    </border>
    <border>
      <left/>
      <right/>
      <top style="thin">
        <color rgb="FF0F733D"/>
      </top>
      <bottom style="medium">
        <color rgb="FF0F733D"/>
      </bottom>
      <diagonal/>
    </border>
    <border>
      <left/>
      <right/>
      <top style="thin">
        <color rgb="FF0F733D"/>
      </top>
      <bottom style="double">
        <color rgb="FF0F733D"/>
      </bottom>
      <diagonal/>
    </border>
    <border>
      <left/>
      <right/>
      <top style="thin">
        <color theme="0" tint="-0.249977111117893"/>
      </top>
      <bottom style="medium">
        <color rgb="FF0F733D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rgb="FF0F733D"/>
      </bottom>
      <diagonal/>
    </border>
    <border>
      <left/>
      <right/>
      <top/>
      <bottom style="medium">
        <color rgb="FF0F733D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hair">
        <color indexed="64"/>
      </top>
      <bottom style="thick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5" fillId="0" borderId="1">
      <alignment vertical="center"/>
    </xf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335">
    <xf numFmtId="0" fontId="0" fillId="0" borderId="0" xfId="0"/>
    <xf numFmtId="3" fontId="0" fillId="0" borderId="0" xfId="0" applyNumberFormat="1"/>
    <xf numFmtId="0" fontId="2" fillId="0" borderId="0" xfId="0" applyFont="1"/>
    <xf numFmtId="168" fontId="0" fillId="0" borderId="0" xfId="1" applyNumberFormat="1" applyFont="1"/>
    <xf numFmtId="0" fontId="0" fillId="4" borderId="0" xfId="0" applyFill="1"/>
    <xf numFmtId="0" fontId="0" fillId="3" borderId="0" xfId="0" applyFill="1"/>
    <xf numFmtId="0" fontId="0" fillId="0" borderId="1" xfId="0" applyBorder="1" applyAlignment="1">
      <alignment vertical="center" wrapText="1"/>
    </xf>
    <xf numFmtId="165" fontId="0" fillId="3" borderId="0" xfId="4" applyNumberFormat="1" applyFont="1" applyFill="1" applyBorder="1"/>
    <xf numFmtId="165" fontId="0" fillId="4" borderId="0" xfId="4" applyNumberFormat="1" applyFont="1" applyFill="1" applyBorder="1"/>
    <xf numFmtId="0" fontId="0" fillId="0" borderId="1" xfId="0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indent="1"/>
    </xf>
    <xf numFmtId="166" fontId="3" fillId="2" borderId="0" xfId="0" applyNumberFormat="1" applyFont="1" applyFill="1" applyAlignment="1">
      <alignment horizontal="right" vertical="center"/>
    </xf>
    <xf numFmtId="0" fontId="0" fillId="0" borderId="1" xfId="0" applyBorder="1" applyAlignment="1">
      <alignment vertical="center"/>
    </xf>
    <xf numFmtId="167" fontId="5" fillId="0" borderId="1" xfId="0" applyNumberFormat="1" applyFont="1" applyBorder="1" applyAlignment="1">
      <alignment vertical="center"/>
    </xf>
    <xf numFmtId="172" fontId="0" fillId="0" borderId="1" xfId="0" applyNumberFormat="1" applyBorder="1" applyAlignment="1">
      <alignment vertical="center"/>
    </xf>
    <xf numFmtId="167" fontId="0" fillId="0" borderId="1" xfId="0" applyNumberFormat="1" applyBorder="1" applyAlignment="1">
      <alignment vertical="center"/>
    </xf>
    <xf numFmtId="173" fontId="6" fillId="0" borderId="1" xfId="0" applyNumberFormat="1" applyFon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6" fillId="0" borderId="1" xfId="0" applyFont="1" applyBorder="1" applyAlignment="1">
      <alignment vertical="center"/>
    </xf>
    <xf numFmtId="10" fontId="0" fillId="0" borderId="1" xfId="2" applyNumberFormat="1" applyFont="1" applyBorder="1" applyAlignment="1">
      <alignment vertical="center"/>
    </xf>
    <xf numFmtId="169" fontId="6" fillId="0" borderId="1" xfId="0" applyNumberFormat="1" applyFont="1" applyBorder="1" applyAlignment="1">
      <alignment vertical="center"/>
    </xf>
    <xf numFmtId="0" fontId="0" fillId="0" borderId="0" xfId="0" applyAlignment="1">
      <alignment horizontal="right"/>
    </xf>
    <xf numFmtId="9" fontId="0" fillId="0" borderId="1" xfId="0" applyNumberFormat="1" applyBorder="1" applyAlignment="1">
      <alignment vertical="center"/>
    </xf>
    <xf numFmtId="9" fontId="6" fillId="0" borderId="1" xfId="2" applyFont="1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10" fillId="4" borderId="4" xfId="0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 wrapText="1" indent="3"/>
    </xf>
    <xf numFmtId="0" fontId="2" fillId="0" borderId="0" xfId="0" applyFont="1" applyAlignment="1">
      <alignment horizontal="left" vertical="center" wrapText="1" indent="3"/>
    </xf>
    <xf numFmtId="9" fontId="6" fillId="0" borderId="0" xfId="2" applyFont="1" applyBorder="1" applyAlignment="1">
      <alignment horizontal="right"/>
    </xf>
    <xf numFmtId="10" fontId="0" fillId="0" borderId="6" xfId="2" applyNumberFormat="1" applyFont="1" applyBorder="1"/>
    <xf numFmtId="10" fontId="2" fillId="0" borderId="6" xfId="2" applyNumberFormat="1" applyFont="1" applyBorder="1"/>
    <xf numFmtId="169" fontId="11" fillId="0" borderId="6" xfId="2" applyNumberFormat="1" applyFont="1" applyBorder="1"/>
    <xf numFmtId="0" fontId="13" fillId="3" borderId="0" xfId="0" applyFont="1" applyFill="1" applyAlignment="1">
      <alignment vertical="center" wrapText="1"/>
    </xf>
    <xf numFmtId="174" fontId="0" fillId="0" borderId="0" xfId="0" applyNumberFormat="1"/>
    <xf numFmtId="168" fontId="0" fillId="0" borderId="0" xfId="0" applyNumberFormat="1"/>
    <xf numFmtId="164" fontId="0" fillId="0" borderId="0" xfId="0" applyNumberFormat="1"/>
    <xf numFmtId="2" fontId="0" fillId="3" borderId="0" xfId="2" applyNumberFormat="1" applyFont="1" applyFill="1"/>
    <xf numFmtId="169" fontId="0" fillId="3" borderId="0" xfId="2" applyNumberFormat="1" applyFont="1" applyFill="1"/>
    <xf numFmtId="168" fontId="0" fillId="3" borderId="0" xfId="1" applyNumberFormat="1" applyFont="1" applyFill="1"/>
    <xf numFmtId="0" fontId="0" fillId="0" borderId="0" xfId="0" quotePrefix="1"/>
    <xf numFmtId="3" fontId="14" fillId="0" borderId="0" xfId="0" applyNumberFormat="1" applyFont="1"/>
    <xf numFmtId="0" fontId="16" fillId="3" borderId="0" xfId="0" applyFont="1" applyFill="1"/>
    <xf numFmtId="0" fontId="16" fillId="4" borderId="0" xfId="0" applyFont="1" applyFill="1"/>
    <xf numFmtId="0" fontId="2" fillId="0" borderId="1" xfId="0" applyFont="1" applyBorder="1" applyAlignment="1">
      <alignment horizontal="left" vertical="center" wrapText="1" indent="2"/>
    </xf>
    <xf numFmtId="168" fontId="2" fillId="0" borderId="1" xfId="1" applyNumberFormat="1" applyFont="1" applyBorder="1" applyAlignment="1">
      <alignment horizontal="right" vertical="center"/>
    </xf>
    <xf numFmtId="9" fontId="11" fillId="0" borderId="1" xfId="2" applyFont="1" applyBorder="1" applyAlignment="1">
      <alignment horizontal="right" vertical="center"/>
    </xf>
    <xf numFmtId="168" fontId="0" fillId="0" borderId="0" xfId="1" applyNumberFormat="1" applyFont="1" applyBorder="1"/>
    <xf numFmtId="165" fontId="0" fillId="0" borderId="0" xfId="1" applyFont="1" applyBorder="1"/>
    <xf numFmtId="0" fontId="0" fillId="0" borderId="8" xfId="0" applyBorder="1"/>
    <xf numFmtId="0" fontId="2" fillId="0" borderId="8" xfId="0" applyFont="1" applyBorder="1"/>
    <xf numFmtId="165" fontId="0" fillId="0" borderId="1" xfId="1" applyFont="1" applyBorder="1"/>
    <xf numFmtId="0" fontId="2" fillId="0" borderId="1" xfId="0" applyFont="1" applyBorder="1"/>
    <xf numFmtId="0" fontId="0" fillId="0" borderId="1" xfId="0" applyBorder="1"/>
    <xf numFmtId="3" fontId="0" fillId="0" borderId="1" xfId="0" applyNumberFormat="1" applyBorder="1"/>
    <xf numFmtId="0" fontId="2" fillId="3" borderId="1" xfId="0" applyFont="1" applyFill="1" applyBorder="1" applyAlignment="1">
      <alignment horizontal="left" vertical="center" wrapText="1" indent="2"/>
    </xf>
    <xf numFmtId="175" fontId="0" fillId="0" borderId="1" xfId="0" applyNumberFormat="1" applyBorder="1"/>
    <xf numFmtId="175" fontId="6" fillId="0" borderId="1" xfId="0" applyNumberFormat="1" applyFont="1" applyBorder="1"/>
    <xf numFmtId="175" fontId="11" fillId="0" borderId="1" xfId="0" applyNumberFormat="1" applyFont="1" applyBorder="1"/>
    <xf numFmtId="175" fontId="2" fillId="0" borderId="1" xfId="0" applyNumberFormat="1" applyFont="1" applyBorder="1"/>
    <xf numFmtId="175" fontId="0" fillId="0" borderId="0" xfId="0" applyNumberFormat="1"/>
    <xf numFmtId="0" fontId="24" fillId="0" borderId="0" xfId="0" applyFont="1"/>
    <xf numFmtId="175" fontId="24" fillId="0" borderId="0" xfId="0" applyNumberFormat="1" applyFont="1"/>
    <xf numFmtId="175" fontId="0" fillId="0" borderId="3" xfId="0" applyNumberFormat="1" applyBorder="1"/>
    <xf numFmtId="175" fontId="2" fillId="3" borderId="2" xfId="0" applyNumberFormat="1" applyFont="1" applyFill="1" applyBorder="1"/>
    <xf numFmtId="168" fontId="0" fillId="0" borderId="1" xfId="1" applyNumberFormat="1" applyFont="1" applyBorder="1"/>
    <xf numFmtId="168" fontId="0" fillId="0" borderId="1" xfId="1" applyNumberFormat="1" applyFont="1" applyBorder="1" applyAlignment="1">
      <alignment horizontal="right"/>
    </xf>
    <xf numFmtId="168" fontId="2" fillId="0" borderId="1" xfId="1" applyNumberFormat="1" applyFont="1" applyBorder="1" applyAlignment="1">
      <alignment horizontal="right"/>
    </xf>
    <xf numFmtId="0" fontId="10" fillId="0" borderId="1" xfId="0" applyFont="1" applyBorder="1" applyAlignment="1">
      <alignment vertical="center"/>
    </xf>
    <xf numFmtId="166" fontId="0" fillId="0" borderId="1" xfId="0" applyNumberFormat="1" applyBorder="1" applyAlignment="1">
      <alignment vertical="center"/>
    </xf>
    <xf numFmtId="0" fontId="0" fillId="4" borderId="1" xfId="0" applyFill="1" applyBorder="1"/>
    <xf numFmtId="0" fontId="25" fillId="0" borderId="8" xfId="0" applyFont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25" fillId="0" borderId="1" xfId="0" applyFont="1" applyBorder="1" applyAlignment="1">
      <alignment horizontal="left" vertical="center" wrapText="1" indent="1"/>
    </xf>
    <xf numFmtId="0" fontId="25" fillId="0" borderId="0" xfId="0" applyFont="1" applyAlignment="1">
      <alignment vertical="center"/>
    </xf>
    <xf numFmtId="0" fontId="25" fillId="0" borderId="1" xfId="0" applyFont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left" vertical="center" wrapText="1" indent="2"/>
    </xf>
    <xf numFmtId="175" fontId="2" fillId="6" borderId="3" xfId="0" applyNumberFormat="1" applyFont="1" applyFill="1" applyBorder="1"/>
    <xf numFmtId="0" fontId="2" fillId="6" borderId="0" xfId="0" applyFont="1" applyFill="1" applyAlignment="1">
      <alignment vertical="center" wrapText="1"/>
    </xf>
    <xf numFmtId="175" fontId="2" fillId="6" borderId="1" xfId="0" applyNumberFormat="1" applyFont="1" applyFill="1" applyBorder="1"/>
    <xf numFmtId="0" fontId="2" fillId="6" borderId="1" xfId="0" applyFont="1" applyFill="1" applyBorder="1"/>
    <xf numFmtId="166" fontId="3" fillId="5" borderId="0" xfId="0" applyNumberFormat="1" applyFont="1" applyFill="1" applyAlignment="1">
      <alignment horizontal="right" vertical="center"/>
    </xf>
    <xf numFmtId="168" fontId="1" fillId="0" borderId="1" xfId="1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9" fontId="6" fillId="0" borderId="1" xfId="2" applyFont="1" applyBorder="1" applyAlignment="1">
      <alignment horizontal="right" vertical="center"/>
    </xf>
    <xf numFmtId="175" fontId="6" fillId="0" borderId="10" xfId="0" applyNumberFormat="1" applyFont="1" applyBorder="1"/>
    <xf numFmtId="175" fontId="11" fillId="0" borderId="10" xfId="0" applyNumberFormat="1" applyFont="1" applyBorder="1"/>
    <xf numFmtId="175" fontId="2" fillId="6" borderId="12" xfId="0" applyNumberFormat="1" applyFont="1" applyFill="1" applyBorder="1"/>
    <xf numFmtId="175" fontId="2" fillId="6" borderId="0" xfId="0" applyNumberFormat="1" applyFont="1" applyFill="1"/>
    <xf numFmtId="0" fontId="25" fillId="6" borderId="1" xfId="0" applyFont="1" applyFill="1" applyBorder="1" applyAlignment="1">
      <alignment vertical="center"/>
    </xf>
    <xf numFmtId="0" fontId="25" fillId="0" borderId="3" xfId="0" applyFont="1" applyBorder="1" applyAlignment="1">
      <alignment vertical="center"/>
    </xf>
    <xf numFmtId="1" fontId="0" fillId="0" borderId="1" xfId="0" applyNumberFormat="1" applyBorder="1" applyAlignment="1">
      <alignment vertical="center"/>
    </xf>
    <xf numFmtId="175" fontId="2" fillId="6" borderId="12" xfId="0" applyNumberFormat="1" applyFont="1" applyFill="1" applyBorder="1" applyAlignment="1">
      <alignment vertical="center"/>
    </xf>
    <xf numFmtId="167" fontId="6" fillId="0" borderId="1" xfId="0" applyNumberFormat="1" applyFont="1" applyBorder="1" applyAlignment="1">
      <alignment vertical="center"/>
    </xf>
    <xf numFmtId="0" fontId="25" fillId="4" borderId="1" xfId="0" applyFont="1" applyFill="1" applyBorder="1" applyAlignment="1">
      <alignment horizontal="left" vertical="center" wrapText="1" indent="2"/>
    </xf>
    <xf numFmtId="0" fontId="25" fillId="0" borderId="0" xfId="0" applyFont="1" applyAlignment="1">
      <alignment horizontal="center" vertical="center"/>
    </xf>
    <xf numFmtId="3" fontId="0" fillId="0" borderId="1" xfId="0" applyNumberFormat="1" applyBorder="1" applyAlignment="1">
      <alignment horizontal="right" vertical="center"/>
    </xf>
    <xf numFmtId="169" fontId="0" fillId="0" borderId="1" xfId="0" applyNumberForma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0" fontId="25" fillId="6" borderId="1" xfId="0" applyFont="1" applyFill="1" applyBorder="1" applyAlignment="1">
      <alignment horizontal="left" vertical="center" wrapText="1" indent="2"/>
    </xf>
    <xf numFmtId="168" fontId="2" fillId="6" borderId="1" xfId="1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right" vertical="center" wrapText="1" indent="2"/>
    </xf>
    <xf numFmtId="0" fontId="25" fillId="4" borderId="1" xfId="0" applyFont="1" applyFill="1" applyBorder="1" applyAlignment="1">
      <alignment vertical="center"/>
    </xf>
    <xf numFmtId="9" fontId="0" fillId="0" borderId="1" xfId="0" applyNumberFormat="1" applyBorder="1" applyAlignment="1">
      <alignment horizontal="center"/>
    </xf>
    <xf numFmtId="1" fontId="0" fillId="0" borderId="1" xfId="0" applyNumberFormat="1" applyBorder="1"/>
    <xf numFmtId="168" fontId="25" fillId="6" borderId="1" xfId="1" applyNumberFormat="1" applyFont="1" applyFill="1" applyBorder="1" applyAlignment="1">
      <alignment horizontal="left" vertical="center" wrapText="1" indent="2"/>
    </xf>
    <xf numFmtId="3" fontId="6" fillId="0" borderId="1" xfId="0" applyNumberFormat="1" applyFont="1" applyBorder="1" applyAlignment="1">
      <alignment horizontal="center" vertical="center"/>
    </xf>
    <xf numFmtId="0" fontId="25" fillId="4" borderId="1" xfId="0" applyFont="1" applyFill="1" applyBorder="1" applyAlignment="1">
      <alignment horizontal="left" vertical="center" indent="2"/>
    </xf>
    <xf numFmtId="168" fontId="2" fillId="3" borderId="1" xfId="1" applyNumberFormat="1" applyFont="1" applyFill="1" applyBorder="1" applyAlignment="1">
      <alignment horizontal="left" vertical="center" wrapText="1" indent="2"/>
    </xf>
    <xf numFmtId="0" fontId="10" fillId="3" borderId="1" xfId="0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right" vertical="center" wrapText="1" indent="2"/>
    </xf>
    <xf numFmtId="0" fontId="0" fillId="0" borderId="14" xfId="0" applyBorder="1"/>
    <xf numFmtId="0" fontId="0" fillId="0" borderId="14" xfId="0" applyBorder="1" applyAlignment="1">
      <alignment horizontal="left" vertical="center" wrapText="1" indent="2"/>
    </xf>
    <xf numFmtId="0" fontId="25" fillId="0" borderId="14" xfId="0" applyFont="1" applyBorder="1" applyAlignment="1">
      <alignment vertical="center" wrapText="1"/>
    </xf>
    <xf numFmtId="0" fontId="26" fillId="6" borderId="14" xfId="0" applyFont="1" applyFill="1" applyBorder="1" applyAlignment="1">
      <alignment horizontal="left" vertical="center" wrapText="1" indent="1"/>
    </xf>
    <xf numFmtId="0" fontId="0" fillId="3" borderId="1" xfId="0" applyFill="1" applyBorder="1" applyAlignment="1">
      <alignment horizontal="left" vertical="center" wrapText="1" indent="2"/>
    </xf>
    <xf numFmtId="0" fontId="25" fillId="6" borderId="14" xfId="0" applyFont="1" applyFill="1" applyBorder="1" applyAlignment="1">
      <alignment horizontal="left" vertical="center" wrapText="1" indent="2"/>
    </xf>
    <xf numFmtId="0" fontId="25" fillId="6" borderId="0" xfId="0" applyFont="1" applyFill="1" applyAlignment="1">
      <alignment vertical="center" wrapText="1"/>
    </xf>
    <xf numFmtId="0" fontId="25" fillId="6" borderId="0" xfId="0" applyFont="1" applyFill="1" applyAlignment="1">
      <alignment vertical="center"/>
    </xf>
    <xf numFmtId="0" fontId="25" fillId="6" borderId="0" xfId="0" applyFont="1" applyFill="1" applyAlignment="1">
      <alignment horizontal="right" vertical="center"/>
    </xf>
    <xf numFmtId="2" fontId="25" fillId="6" borderId="0" xfId="0" applyNumberFormat="1" applyFont="1" applyFill="1" applyAlignment="1">
      <alignment vertical="center"/>
    </xf>
    <xf numFmtId="167" fontId="25" fillId="6" borderId="12" xfId="0" applyNumberFormat="1" applyFont="1" applyFill="1" applyBorder="1" applyAlignment="1">
      <alignment vertical="center" wrapText="1"/>
    </xf>
    <xf numFmtId="167" fontId="2" fillId="6" borderId="12" xfId="0" applyNumberFormat="1" applyFont="1" applyFill="1" applyBorder="1" applyAlignment="1">
      <alignment vertical="center" wrapText="1"/>
    </xf>
    <xf numFmtId="167" fontId="2" fillId="6" borderId="12" xfId="0" applyNumberFormat="1" applyFont="1" applyFill="1" applyBorder="1" applyAlignment="1">
      <alignment horizontal="right" vertical="center" wrapText="1"/>
    </xf>
    <xf numFmtId="168" fontId="0" fillId="0" borderId="0" xfId="1" applyNumberFormat="1" applyFont="1" applyBorder="1" applyAlignment="1">
      <alignment horizontal="right"/>
    </xf>
    <xf numFmtId="169" fontId="0" fillId="0" borderId="0" xfId="2" applyNumberFormat="1" applyFont="1" applyBorder="1" applyAlignment="1">
      <alignment horizontal="right"/>
    </xf>
    <xf numFmtId="172" fontId="25" fillId="6" borderId="12" xfId="0" applyNumberFormat="1" applyFont="1" applyFill="1" applyBorder="1" applyAlignment="1">
      <alignment horizontal="left" vertical="center"/>
    </xf>
    <xf numFmtId="172" fontId="2" fillId="6" borderId="12" xfId="0" applyNumberFormat="1" applyFont="1" applyFill="1" applyBorder="1" applyAlignment="1">
      <alignment horizontal="right" vertical="center"/>
    </xf>
    <xf numFmtId="0" fontId="25" fillId="3" borderId="0" xfId="0" applyFont="1" applyFill="1"/>
    <xf numFmtId="168" fontId="2" fillId="6" borderId="12" xfId="0" applyNumberFormat="1" applyFont="1" applyFill="1" applyBorder="1" applyAlignment="1">
      <alignment horizontal="right" vertical="center" wrapText="1"/>
    </xf>
    <xf numFmtId="1" fontId="6" fillId="0" borderId="1" xfId="0" applyNumberFormat="1" applyFont="1" applyBorder="1"/>
    <xf numFmtId="1" fontId="6" fillId="3" borderId="13" xfId="3" applyNumberFormat="1" applyFont="1" applyFill="1" applyBorder="1" applyAlignment="1">
      <alignment horizontal="right" vertical="center"/>
    </xf>
    <xf numFmtId="1" fontId="2" fillId="0" borderId="8" xfId="1" applyNumberFormat="1" applyFont="1" applyBorder="1" applyAlignment="1">
      <alignment horizontal="right" vertical="center"/>
    </xf>
    <xf numFmtId="1" fontId="0" fillId="0" borderId="8" xfId="1" applyNumberFormat="1" applyFont="1" applyBorder="1" applyAlignment="1">
      <alignment horizontal="right" vertical="center"/>
    </xf>
    <xf numFmtId="1" fontId="6" fillId="3" borderId="8" xfId="1" applyNumberFormat="1" applyFont="1" applyFill="1" applyBorder="1" applyAlignment="1">
      <alignment horizontal="right" vertical="center"/>
    </xf>
    <xf numFmtId="1" fontId="11" fillId="3" borderId="8" xfId="1" applyNumberFormat="1" applyFont="1" applyFill="1" applyBorder="1" applyAlignment="1">
      <alignment horizontal="right" vertical="center"/>
    </xf>
    <xf numFmtId="1" fontId="2" fillId="0" borderId="13" xfId="1" applyNumberFormat="1" applyFont="1" applyBorder="1" applyAlignment="1">
      <alignment horizontal="right" vertical="center"/>
    </xf>
    <xf numFmtId="1" fontId="0" fillId="0" borderId="8" xfId="0" applyNumberFormat="1" applyBorder="1" applyAlignment="1">
      <alignment horizontal="right" vertical="center"/>
    </xf>
    <xf numFmtId="1" fontId="0" fillId="0" borderId="8" xfId="0" applyNumberFormat="1" applyBorder="1" applyAlignment="1">
      <alignment horizontal="right" vertical="center" wrapText="1"/>
    </xf>
    <xf numFmtId="1" fontId="11" fillId="0" borderId="8" xfId="1" applyNumberFormat="1" applyFont="1" applyBorder="1" applyAlignment="1">
      <alignment horizontal="right" vertical="center"/>
    </xf>
    <xf numFmtId="1" fontId="2" fillId="6" borderId="8" xfId="0" applyNumberFormat="1" applyFont="1" applyFill="1" applyBorder="1" applyAlignment="1">
      <alignment horizontal="right" vertical="center" wrapText="1"/>
    </xf>
    <xf numFmtId="1" fontId="2" fillId="6" borderId="8" xfId="1" applyNumberFormat="1" applyFont="1" applyFill="1" applyBorder="1" applyAlignment="1">
      <alignment horizontal="right" vertical="center" wrapText="1"/>
    </xf>
    <xf numFmtId="1" fontId="0" fillId="0" borderId="0" xfId="0" applyNumberFormat="1" applyAlignment="1">
      <alignment horizontal="right" vertical="center"/>
    </xf>
    <xf numFmtId="1" fontId="0" fillId="0" borderId="1" xfId="1" applyNumberFormat="1" applyFont="1" applyBorder="1" applyAlignment="1">
      <alignment horizontal="right"/>
    </xf>
    <xf numFmtId="175" fontId="6" fillId="0" borderId="1" xfId="0" applyNumberFormat="1" applyFont="1" applyBorder="1" applyAlignment="1">
      <alignment vertical="center" wrapText="1"/>
    </xf>
    <xf numFmtId="175" fontId="11" fillId="0" borderId="1" xfId="0" applyNumberFormat="1" applyFont="1" applyBorder="1" applyAlignment="1">
      <alignment vertical="center" wrapText="1"/>
    </xf>
    <xf numFmtId="175" fontId="11" fillId="0" borderId="10" xfId="0" applyNumberFormat="1" applyFont="1" applyBorder="1" applyAlignment="1">
      <alignment vertical="center" wrapText="1"/>
    </xf>
    <xf numFmtId="175" fontId="2" fillId="0" borderId="1" xfId="1" applyNumberFormat="1" applyFont="1" applyBorder="1" applyAlignment="1">
      <alignment horizontal="right"/>
    </xf>
    <xf numFmtId="175" fontId="0" fillId="0" borderId="1" xfId="1" applyNumberFormat="1" applyFont="1" applyBorder="1" applyAlignment="1">
      <alignment horizontal="right"/>
    </xf>
    <xf numFmtId="175" fontId="6" fillId="0" borderId="10" xfId="1" applyNumberFormat="1" applyFont="1" applyBorder="1" applyAlignment="1">
      <alignment horizontal="right" vertical="center"/>
    </xf>
    <xf numFmtId="175" fontId="2" fillId="0" borderId="2" xfId="1" applyNumberFormat="1" applyFont="1" applyBorder="1" applyAlignment="1">
      <alignment horizontal="right"/>
    </xf>
    <xf numFmtId="175" fontId="11" fillId="0" borderId="0" xfId="1" applyNumberFormat="1" applyFont="1" applyBorder="1" applyAlignment="1">
      <alignment horizontal="right" vertical="center"/>
    </xf>
    <xf numFmtId="2" fontId="0" fillId="0" borderId="1" xfId="1" applyNumberFormat="1" applyFont="1" applyBorder="1"/>
    <xf numFmtId="2" fontId="0" fillId="0" borderId="1" xfId="2" applyNumberFormat="1" applyFont="1" applyBorder="1"/>
    <xf numFmtId="2" fontId="6" fillId="0" borderId="1" xfId="0" applyNumberFormat="1" applyFont="1" applyBorder="1"/>
    <xf numFmtId="2" fontId="0" fillId="0" borderId="9" xfId="1" applyNumberFormat="1" applyFont="1" applyBorder="1"/>
    <xf numFmtId="1" fontId="6" fillId="0" borderId="1" xfId="1" applyNumberFormat="1" applyFont="1" applyBorder="1" applyAlignment="1">
      <alignment horizontal="right" vertical="center"/>
    </xf>
    <xf numFmtId="1" fontId="1" fillId="0" borderId="1" xfId="1" applyNumberFormat="1" applyFont="1" applyBorder="1" applyAlignment="1">
      <alignment horizontal="right" vertical="center"/>
    </xf>
    <xf numFmtId="9" fontId="0" fillId="0" borderId="1" xfId="2" applyFont="1" applyBorder="1"/>
    <xf numFmtId="9" fontId="6" fillId="0" borderId="1" xfId="2" applyFont="1" applyBorder="1"/>
    <xf numFmtId="1" fontId="11" fillId="0" borderId="1" xfId="1" applyNumberFormat="1" applyFont="1" applyBorder="1" applyAlignment="1">
      <alignment horizontal="right" vertical="center"/>
    </xf>
    <xf numFmtId="1" fontId="6" fillId="0" borderId="1" xfId="0" applyNumberFormat="1" applyFont="1" applyBorder="1" applyAlignment="1">
      <alignment horizontal="right" vertical="center"/>
    </xf>
    <xf numFmtId="169" fontId="11" fillId="0" borderId="1" xfId="0" applyNumberFormat="1" applyFont="1" applyBorder="1" applyAlignment="1">
      <alignment horizontal="right"/>
    </xf>
    <xf numFmtId="168" fontId="2" fillId="6" borderId="1" xfId="1" applyNumberFormat="1" applyFont="1" applyFill="1" applyBorder="1" applyAlignment="1">
      <alignment horizontal="right" vertical="center" wrapText="1"/>
    </xf>
    <xf numFmtId="168" fontId="2" fillId="3" borderId="1" xfId="1" applyNumberFormat="1" applyFont="1" applyFill="1" applyBorder="1" applyAlignment="1">
      <alignment horizontal="right" vertical="center" wrapText="1"/>
    </xf>
    <xf numFmtId="168" fontId="0" fillId="6" borderId="1" xfId="1" applyNumberFormat="1" applyFont="1" applyFill="1" applyBorder="1" applyAlignment="1">
      <alignment horizontal="right" vertical="center" wrapText="1"/>
    </xf>
    <xf numFmtId="168" fontId="0" fillId="3" borderId="1" xfId="1" applyNumberFormat="1" applyFont="1" applyFill="1" applyBorder="1" applyAlignment="1">
      <alignment horizontal="right" vertical="center" wrapText="1"/>
    </xf>
    <xf numFmtId="168" fontId="0" fillId="0" borderId="1" xfId="1" applyNumberFormat="1" applyFont="1" applyBorder="1" applyAlignment="1">
      <alignment horizontal="right" vertical="center" wrapText="1"/>
    </xf>
    <xf numFmtId="175" fontId="6" fillId="0" borderId="1" xfId="1" applyNumberFormat="1" applyFont="1" applyBorder="1"/>
    <xf numFmtId="175" fontId="0" fillId="0" borderId="1" xfId="1" applyNumberFormat="1" applyFont="1" applyBorder="1"/>
    <xf numFmtId="175" fontId="17" fillId="4" borderId="1" xfId="1" applyNumberFormat="1" applyFont="1" applyFill="1" applyBorder="1" applyAlignment="1">
      <alignment horizontal="right" vertical="center"/>
    </xf>
    <xf numFmtId="170" fontId="6" fillId="0" borderId="1" xfId="1" applyNumberFormat="1" applyFont="1" applyBorder="1"/>
    <xf numFmtId="175" fontId="0" fillId="0" borderId="14" xfId="0" applyNumberFormat="1" applyBorder="1"/>
    <xf numFmtId="175" fontId="11" fillId="0" borderId="14" xfId="1" applyNumberFormat="1" applyFont="1" applyBorder="1" applyAlignment="1">
      <alignment vertical="center"/>
    </xf>
    <xf numFmtId="175" fontId="6" fillId="0" borderId="14" xfId="1" applyNumberFormat="1" applyFont="1" applyBorder="1" applyAlignment="1">
      <alignment vertical="center" wrapText="1"/>
    </xf>
    <xf numFmtId="175" fontId="0" fillId="0" borderId="14" xfId="1" applyNumberFormat="1" applyFont="1" applyBorder="1"/>
    <xf numFmtId="0" fontId="25" fillId="6" borderId="1" xfId="0" applyFont="1" applyFill="1" applyBorder="1" applyAlignment="1">
      <alignment horizontal="left" vertical="center" wrapText="1" indent="3"/>
    </xf>
    <xf numFmtId="171" fontId="11" fillId="0" borderId="1" xfId="1" applyNumberFormat="1" applyFont="1" applyBorder="1"/>
    <xf numFmtId="171" fontId="11" fillId="0" borderId="1" xfId="1" applyNumberFormat="1" applyFont="1" applyBorder="1" applyAlignment="1">
      <alignment horizontal="right"/>
    </xf>
    <xf numFmtId="168" fontId="11" fillId="0" borderId="1" xfId="1" applyNumberFormat="1" applyFont="1" applyBorder="1" applyAlignment="1">
      <alignment horizontal="right"/>
    </xf>
    <xf numFmtId="168" fontId="0" fillId="0" borderId="1" xfId="0" applyNumberFormat="1" applyBorder="1"/>
    <xf numFmtId="168" fontId="0" fillId="3" borderId="1" xfId="0" applyNumberFormat="1" applyFill="1" applyBorder="1"/>
    <xf numFmtId="0" fontId="0" fillId="0" borderId="1" xfId="0" applyBorder="1" applyAlignment="1">
      <alignment horizontal="left" vertical="center" wrapText="1" indent="3"/>
    </xf>
    <xf numFmtId="0" fontId="2" fillId="0" borderId="1" xfId="0" applyFont="1" applyBorder="1" applyAlignment="1">
      <alignment horizontal="left" vertical="center" wrapText="1" indent="3"/>
    </xf>
    <xf numFmtId="0" fontId="0" fillId="3" borderId="1" xfId="0" applyFill="1" applyBorder="1" applyAlignment="1">
      <alignment horizontal="left" vertical="center" wrapText="1" indent="3"/>
    </xf>
    <xf numFmtId="168" fontId="11" fillId="3" borderId="1" xfId="1" applyNumberFormat="1" applyFont="1" applyFill="1" applyBorder="1" applyAlignment="1">
      <alignment horizontal="right"/>
    </xf>
    <xf numFmtId="0" fontId="0" fillId="0" borderId="15" xfId="0" applyBorder="1" applyAlignment="1">
      <alignment horizontal="left" vertical="center" wrapText="1" indent="3"/>
    </xf>
    <xf numFmtId="168" fontId="0" fillId="0" borderId="15" xfId="1" applyNumberFormat="1" applyFont="1" applyBorder="1"/>
    <xf numFmtId="171" fontId="11" fillId="0" borderId="15" xfId="1" applyNumberFormat="1" applyFont="1" applyBorder="1" applyAlignment="1">
      <alignment horizontal="right"/>
    </xf>
    <xf numFmtId="168" fontId="11" fillId="0" borderId="15" xfId="1" applyNumberFormat="1" applyFont="1" applyBorder="1" applyAlignment="1">
      <alignment horizontal="right"/>
    </xf>
    <xf numFmtId="168" fontId="0" fillId="0" borderId="15" xfId="0" applyNumberFormat="1" applyBorder="1"/>
    <xf numFmtId="168" fontId="0" fillId="3" borderId="15" xfId="0" applyNumberFormat="1" applyFill="1" applyBorder="1"/>
    <xf numFmtId="0" fontId="25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5" fillId="3" borderId="1" xfId="0" applyFont="1" applyFill="1" applyBorder="1" applyAlignment="1">
      <alignment horizontal="left" vertical="center" wrapText="1" indent="1"/>
    </xf>
    <xf numFmtId="170" fontId="0" fillId="3" borderId="1" xfId="0" applyNumberFormat="1" applyFill="1" applyBorder="1" applyAlignment="1">
      <alignment horizontal="right" vertical="center" wrapText="1"/>
    </xf>
    <xf numFmtId="170" fontId="11" fillId="3" borderId="1" xfId="0" applyNumberFormat="1" applyFont="1" applyFill="1" applyBorder="1" applyAlignment="1">
      <alignment horizontal="right" vertical="center" wrapText="1"/>
    </xf>
    <xf numFmtId="169" fontId="11" fillId="3" borderId="1" xfId="2" applyNumberFormat="1" applyFont="1" applyFill="1" applyBorder="1" applyAlignment="1">
      <alignment horizontal="right" vertical="center" wrapText="1"/>
    </xf>
    <xf numFmtId="2" fontId="11" fillId="3" borderId="1" xfId="2" applyNumberFormat="1" applyFont="1" applyFill="1" applyBorder="1" applyAlignment="1">
      <alignment horizontal="right" vertical="center" wrapText="1"/>
    </xf>
    <xf numFmtId="2" fontId="11" fillId="3" borderId="1" xfId="0" applyNumberFormat="1" applyFont="1" applyFill="1" applyBorder="1" applyAlignment="1">
      <alignment horizontal="right" vertical="center" wrapText="1"/>
    </xf>
    <xf numFmtId="4" fontId="2" fillId="4" borderId="3" xfId="1" applyNumberFormat="1" applyFont="1" applyFill="1" applyBorder="1" applyAlignment="1">
      <alignment horizontal="center" vertical="center"/>
    </xf>
    <xf numFmtId="4" fontId="2" fillId="4" borderId="3" xfId="1" applyNumberFormat="1" applyFont="1" applyFill="1" applyBorder="1" applyAlignment="1">
      <alignment horizontal="right" vertical="center"/>
    </xf>
    <xf numFmtId="10" fontId="29" fillId="0" borderId="1" xfId="2" applyNumberFormat="1" applyFont="1" applyBorder="1"/>
    <xf numFmtId="2" fontId="29" fillId="0" borderId="1" xfId="1" applyNumberFormat="1" applyFont="1" applyBorder="1"/>
    <xf numFmtId="10" fontId="29" fillId="0" borderId="9" xfId="2" applyNumberFormat="1" applyFont="1" applyBorder="1"/>
    <xf numFmtId="3" fontId="1" fillId="0" borderId="1" xfId="1" applyNumberFormat="1" applyFont="1" applyBorder="1" applyAlignment="1">
      <alignment horizontal="right" vertical="center"/>
    </xf>
    <xf numFmtId="4" fontId="2" fillId="6" borderId="3" xfId="0" applyNumberFormat="1" applyFont="1" applyFill="1" applyBorder="1" applyAlignment="1">
      <alignment horizontal="right" vertical="center" wrapText="1"/>
    </xf>
    <xf numFmtId="1" fontId="30" fillId="0" borderId="1" xfId="0" applyNumberFormat="1" applyFont="1" applyBorder="1"/>
    <xf numFmtId="1" fontId="30" fillId="3" borderId="13" xfId="3" applyNumberFormat="1" applyFont="1" applyFill="1" applyBorder="1" applyAlignment="1">
      <alignment horizontal="right" vertical="center"/>
    </xf>
    <xf numFmtId="168" fontId="31" fillId="0" borderId="1" xfId="1" applyNumberFormat="1" applyFont="1" applyBorder="1" applyAlignment="1">
      <alignment horizontal="right" vertical="center"/>
    </xf>
    <xf numFmtId="4" fontId="2" fillId="6" borderId="1" xfId="1" applyNumberFormat="1" applyFont="1" applyFill="1" applyBorder="1" applyAlignment="1">
      <alignment horizontal="right" vertical="center"/>
    </xf>
    <xf numFmtId="169" fontId="6" fillId="0" borderId="1" xfId="2" applyNumberFormat="1" applyFont="1" applyBorder="1" applyAlignment="1">
      <alignment horizontal="right" vertical="center"/>
    </xf>
    <xf numFmtId="10" fontId="0" fillId="0" borderId="13" xfId="2" applyNumberFormat="1" applyFont="1" applyBorder="1" applyAlignment="1">
      <alignment horizontal="right" vertical="center"/>
    </xf>
    <xf numFmtId="4" fontId="0" fillId="0" borderId="0" xfId="0" applyNumberFormat="1"/>
    <xf numFmtId="4" fontId="0" fillId="0" borderId="8" xfId="0" applyNumberFormat="1" applyBorder="1" applyAlignment="1">
      <alignment horizontal="right" vertical="center"/>
    </xf>
    <xf numFmtId="2" fontId="6" fillId="0" borderId="8" xfId="0" applyNumberFormat="1" applyFont="1" applyBorder="1" applyAlignment="1">
      <alignment horizontal="right" vertical="center"/>
    </xf>
    <xf numFmtId="4" fontId="2" fillId="6" borderId="8" xfId="0" applyNumberFormat="1" applyFont="1" applyFill="1" applyBorder="1" applyAlignment="1">
      <alignment horizontal="right" vertical="center" wrapText="1"/>
    </xf>
    <xf numFmtId="175" fontId="6" fillId="0" borderId="2" xfId="0" applyNumberFormat="1" applyFont="1" applyBorder="1"/>
    <xf numFmtId="176" fontId="30" fillId="0" borderId="3" xfId="0" applyNumberFormat="1" applyFont="1" applyBorder="1" applyAlignment="1">
      <alignment vertical="center"/>
    </xf>
    <xf numFmtId="176" fontId="0" fillId="0" borderId="3" xfId="0" applyNumberFormat="1" applyBorder="1" applyAlignment="1">
      <alignment vertical="center"/>
    </xf>
    <xf numFmtId="176" fontId="30" fillId="0" borderId="1" xfId="0" applyNumberFormat="1" applyFont="1" applyBorder="1" applyAlignment="1">
      <alignment vertical="center"/>
    </xf>
    <xf numFmtId="176" fontId="0" fillId="0" borderId="1" xfId="0" applyNumberForma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176" fontId="11" fillId="0" borderId="1" xfId="0" applyNumberFormat="1" applyFont="1" applyBorder="1" applyAlignment="1">
      <alignment vertical="center"/>
    </xf>
    <xf numFmtId="176" fontId="0" fillId="0" borderId="10" xfId="0" applyNumberFormat="1" applyBorder="1" applyAlignment="1">
      <alignment vertical="center"/>
    </xf>
    <xf numFmtId="176" fontId="2" fillId="0" borderId="3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176" fontId="11" fillId="0" borderId="2" xfId="0" applyNumberFormat="1" applyFont="1" applyBorder="1" applyAlignment="1">
      <alignment vertical="center"/>
    </xf>
    <xf numFmtId="171" fontId="2" fillId="0" borderId="2" xfId="0" applyNumberFormat="1" applyFont="1" applyBorder="1" applyAlignment="1">
      <alignment vertical="center"/>
    </xf>
    <xf numFmtId="176" fontId="6" fillId="0" borderId="1" xfId="0" applyNumberFormat="1" applyFont="1" applyBorder="1" applyAlignment="1">
      <alignment vertical="center"/>
    </xf>
    <xf numFmtId="176" fontId="6" fillId="0" borderId="10" xfId="0" applyNumberFormat="1" applyFont="1" applyBorder="1" applyAlignment="1">
      <alignment vertical="center"/>
    </xf>
    <xf numFmtId="172" fontId="6" fillId="0" borderId="1" xfId="0" applyNumberFormat="1" applyFont="1" applyBorder="1" applyAlignment="1">
      <alignment vertical="center"/>
    </xf>
    <xf numFmtId="4" fontId="6" fillId="0" borderId="1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vertical="center"/>
    </xf>
    <xf numFmtId="10" fontId="6" fillId="0" borderId="1" xfId="0" applyNumberFormat="1" applyFont="1" applyBorder="1" applyAlignment="1">
      <alignment vertical="center"/>
    </xf>
    <xf numFmtId="2" fontId="6" fillId="0" borderId="1" xfId="0" applyNumberFormat="1" applyFont="1" applyBorder="1" applyAlignment="1">
      <alignment vertical="center"/>
    </xf>
    <xf numFmtId="10" fontId="6" fillId="0" borderId="1" xfId="2" applyNumberFormat="1" applyFont="1" applyBorder="1" applyAlignment="1">
      <alignment vertical="center"/>
    </xf>
    <xf numFmtId="176" fontId="6" fillId="0" borderId="3" xfId="0" applyNumberFormat="1" applyFont="1" applyBorder="1" applyAlignment="1">
      <alignment vertical="center"/>
    </xf>
    <xf numFmtId="175" fontId="6" fillId="0" borderId="1" xfId="0" applyNumberFormat="1" applyFont="1" applyBorder="1" applyAlignment="1">
      <alignment horizontal="center"/>
    </xf>
    <xf numFmtId="177" fontId="2" fillId="6" borderId="0" xfId="0" applyNumberFormat="1" applyFont="1" applyFill="1" applyAlignment="1">
      <alignment horizontal="right" vertical="center" wrapText="1"/>
    </xf>
    <xf numFmtId="176" fontId="2" fillId="6" borderId="0" xfId="0" applyNumberFormat="1" applyFont="1" applyFill="1" applyAlignment="1">
      <alignment horizontal="right" vertical="center" wrapText="1"/>
    </xf>
    <xf numFmtId="177" fontId="2" fillId="6" borderId="11" xfId="1" applyNumberFormat="1" applyFont="1" applyFill="1" applyBorder="1" applyAlignment="1">
      <alignment horizontal="right"/>
    </xf>
    <xf numFmtId="177" fontId="2" fillId="6" borderId="12" xfId="1" applyNumberFormat="1" applyFont="1" applyFill="1" applyBorder="1" applyAlignment="1">
      <alignment horizontal="right"/>
    </xf>
    <xf numFmtId="177" fontId="6" fillId="0" borderId="1" xfId="0" applyNumberFormat="1" applyFont="1" applyBorder="1"/>
    <xf numFmtId="177" fontId="6" fillId="0" borderId="10" xfId="0" applyNumberFormat="1" applyFont="1" applyBorder="1"/>
    <xf numFmtId="177" fontId="2" fillId="6" borderId="3" xfId="0" applyNumberFormat="1" applyFont="1" applyFill="1" applyBorder="1"/>
    <xf numFmtId="177" fontId="2" fillId="6" borderId="0" xfId="0" applyNumberFormat="1" applyFont="1" applyFill="1"/>
    <xf numFmtId="177" fontId="2" fillId="6" borderId="12" xfId="0" applyNumberFormat="1" applyFont="1" applyFill="1" applyBorder="1"/>
    <xf numFmtId="177" fontId="2" fillId="6" borderId="1" xfId="0" applyNumberFormat="1" applyFont="1" applyFill="1" applyBorder="1"/>
    <xf numFmtId="177" fontId="2" fillId="3" borderId="2" xfId="0" applyNumberFormat="1" applyFont="1" applyFill="1" applyBorder="1"/>
    <xf numFmtId="177" fontId="0" fillId="0" borderId="0" xfId="0" applyNumberFormat="1"/>
    <xf numFmtId="177" fontId="24" fillId="0" borderId="0" xfId="0" applyNumberFormat="1" applyFont="1"/>
    <xf numFmtId="176" fontId="6" fillId="0" borderId="1" xfId="0" applyNumberFormat="1" applyFont="1" applyBorder="1" applyAlignment="1">
      <alignment vertical="center" wrapText="1"/>
    </xf>
    <xf numFmtId="176" fontId="11" fillId="0" borderId="1" xfId="0" applyNumberFormat="1" applyFont="1" applyBorder="1" applyAlignment="1">
      <alignment vertical="center" wrapText="1"/>
    </xf>
    <xf numFmtId="176" fontId="11" fillId="0" borderId="16" xfId="0" applyNumberFormat="1" applyFont="1" applyBorder="1" applyAlignment="1">
      <alignment vertical="center" wrapText="1"/>
    </xf>
    <xf numFmtId="177" fontId="6" fillId="0" borderId="1" xfId="0" applyNumberFormat="1" applyFont="1" applyBorder="1" applyAlignment="1">
      <alignment vertical="center" wrapText="1"/>
    </xf>
    <xf numFmtId="177" fontId="11" fillId="0" borderId="1" xfId="0" applyNumberFormat="1" applyFont="1" applyBorder="1" applyAlignment="1">
      <alignment vertical="center" wrapText="1"/>
    </xf>
    <xf numFmtId="177" fontId="6" fillId="0" borderId="10" xfId="1" applyNumberFormat="1" applyFont="1" applyBorder="1" applyAlignment="1">
      <alignment horizontal="right" vertical="center"/>
    </xf>
    <xf numFmtId="176" fontId="26" fillId="0" borderId="1" xfId="0" applyNumberFormat="1" applyFont="1" applyBorder="1" applyAlignment="1">
      <alignment horizontal="right" vertical="center"/>
    </xf>
    <xf numFmtId="176" fontId="2" fillId="6" borderId="1" xfId="0" applyNumberFormat="1" applyFont="1" applyFill="1" applyBorder="1" applyAlignment="1">
      <alignment horizontal="right" vertical="center"/>
    </xf>
    <xf numFmtId="171" fontId="0" fillId="6" borderId="1" xfId="1" applyNumberFormat="1" applyFont="1" applyFill="1" applyBorder="1" applyAlignment="1">
      <alignment horizontal="right" vertical="center" wrapText="1"/>
    </xf>
    <xf numFmtId="0" fontId="25" fillId="7" borderId="1" xfId="0" applyFont="1" applyFill="1" applyBorder="1" applyAlignment="1">
      <alignment horizontal="left" vertical="center" wrapText="1" indent="2"/>
    </xf>
    <xf numFmtId="168" fontId="2" fillId="7" borderId="1" xfId="1" applyNumberFormat="1" applyFont="1" applyFill="1" applyBorder="1" applyAlignment="1">
      <alignment horizontal="left" vertical="center" wrapText="1" indent="2"/>
    </xf>
    <xf numFmtId="0" fontId="2" fillId="7" borderId="1" xfId="0" applyFont="1" applyFill="1" applyBorder="1"/>
    <xf numFmtId="168" fontId="2" fillId="7" borderId="1" xfId="1" applyNumberFormat="1" applyFont="1" applyFill="1" applyBorder="1" applyAlignment="1">
      <alignment horizontal="right"/>
    </xf>
    <xf numFmtId="0" fontId="25" fillId="7" borderId="1" xfId="0" applyFont="1" applyFill="1" applyBorder="1" applyAlignment="1">
      <alignment horizontal="left" vertical="center" indent="2"/>
    </xf>
    <xf numFmtId="3" fontId="26" fillId="0" borderId="1" xfId="0" applyNumberFormat="1" applyFont="1" applyBorder="1" applyAlignment="1">
      <alignment horizontal="right" vertical="center"/>
    </xf>
    <xf numFmtId="175" fontId="33" fillId="0" borderId="1" xfId="1" applyNumberFormat="1" applyFont="1" applyBorder="1"/>
    <xf numFmtId="0" fontId="0" fillId="8" borderId="1" xfId="0" applyFill="1" applyBorder="1"/>
    <xf numFmtId="175" fontId="0" fillId="8" borderId="1" xfId="1" applyNumberFormat="1" applyFont="1" applyFill="1" applyBorder="1"/>
    <xf numFmtId="175" fontId="6" fillId="8" borderId="1" xfId="1" applyNumberFormat="1" applyFont="1" applyFill="1" applyBorder="1"/>
    <xf numFmtId="3" fontId="2" fillId="4" borderId="1" xfId="1" applyNumberFormat="1" applyFont="1" applyFill="1" applyBorder="1" applyAlignment="1">
      <alignment horizontal="right" vertical="center"/>
    </xf>
    <xf numFmtId="177" fontId="32" fillId="0" borderId="1" xfId="0" applyNumberFormat="1" applyFont="1" applyBorder="1" applyAlignment="1">
      <alignment vertical="center" wrapText="1"/>
    </xf>
    <xf numFmtId="175" fontId="32" fillId="0" borderId="14" xfId="1" applyNumberFormat="1" applyFont="1" applyBorder="1" applyAlignment="1">
      <alignment vertical="center"/>
    </xf>
    <xf numFmtId="10" fontId="0" fillId="0" borderId="14" xfId="2" applyNumberFormat="1" applyFont="1" applyBorder="1" applyAlignment="1">
      <alignment horizontal="left" vertical="center" wrapText="1" indent="2"/>
    </xf>
    <xf numFmtId="10" fontId="6" fillId="0" borderId="14" xfId="2" applyNumberFormat="1" applyFont="1" applyBorder="1" applyAlignment="1">
      <alignment horizontal="left" vertical="center" wrapText="1" indent="2"/>
    </xf>
    <xf numFmtId="1" fontId="25" fillId="6" borderId="14" xfId="0" applyNumberFormat="1" applyFont="1" applyFill="1" applyBorder="1" applyAlignment="1">
      <alignment horizontal="left" vertical="center" wrapText="1" indent="2"/>
    </xf>
    <xf numFmtId="1" fontId="0" fillId="0" borderId="14" xfId="0" applyNumberFormat="1" applyBorder="1" applyAlignment="1">
      <alignment horizontal="left" vertical="center" wrapText="1" indent="2"/>
    </xf>
    <xf numFmtId="2" fontId="25" fillId="6" borderId="14" xfId="0" applyNumberFormat="1" applyFont="1" applyFill="1" applyBorder="1" applyAlignment="1">
      <alignment horizontal="left" vertical="center" wrapText="1" indent="2"/>
    </xf>
    <xf numFmtId="177" fontId="0" fillId="9" borderId="1" xfId="0" applyNumberFormat="1" applyFill="1" applyBorder="1"/>
    <xf numFmtId="2" fontId="0" fillId="0" borderId="6" xfId="2" applyNumberFormat="1" applyFont="1" applyBorder="1"/>
    <xf numFmtId="2" fontId="11" fillId="0" borderId="6" xfId="2" applyNumberFormat="1" applyFont="1" applyBorder="1"/>
    <xf numFmtId="2" fontId="2" fillId="0" borderId="6" xfId="2" applyNumberFormat="1" applyFont="1" applyBorder="1"/>
    <xf numFmtId="172" fontId="0" fillId="0" borderId="0" xfId="0" applyNumberFormat="1"/>
    <xf numFmtId="8" fontId="0" fillId="0" borderId="6" xfId="2" applyNumberFormat="1" applyFont="1" applyBorder="1"/>
    <xf numFmtId="8" fontId="2" fillId="0" borderId="6" xfId="2" applyNumberFormat="1" applyFont="1" applyBorder="1"/>
    <xf numFmtId="0" fontId="28" fillId="3" borderId="0" xfId="0" applyFont="1" applyFill="1"/>
    <xf numFmtId="165" fontId="3" fillId="3" borderId="0" xfId="0" applyNumberFormat="1" applyFont="1" applyFill="1"/>
    <xf numFmtId="169" fontId="2" fillId="3" borderId="20" xfId="0" applyNumberFormat="1" applyFont="1" applyFill="1" applyBorder="1"/>
    <xf numFmtId="169" fontId="2" fillId="3" borderId="0" xfId="0" applyNumberFormat="1" applyFont="1" applyFill="1"/>
    <xf numFmtId="169" fontId="2" fillId="3" borderId="0" xfId="2" applyNumberFormat="1" applyFont="1" applyFill="1"/>
    <xf numFmtId="4" fontId="0" fillId="3" borderId="0" xfId="0" applyNumberFormat="1" applyFill="1"/>
    <xf numFmtId="0" fontId="0" fillId="10" borderId="0" xfId="0" applyFill="1"/>
    <xf numFmtId="0" fontId="21" fillId="10" borderId="0" xfId="5" applyFont="1" applyFill="1" applyBorder="1" applyAlignment="1" applyProtection="1"/>
    <xf numFmtId="0" fontId="18" fillId="10" borderId="0" xfId="5" applyFill="1" applyBorder="1" applyAlignment="1" applyProtection="1"/>
    <xf numFmtId="0" fontId="12" fillId="11" borderId="0" xfId="0" applyFont="1" applyFill="1" applyAlignment="1">
      <alignment horizontal="left"/>
    </xf>
    <xf numFmtId="0" fontId="9" fillId="11" borderId="0" xfId="0" applyFont="1" applyFill="1"/>
    <xf numFmtId="0" fontId="22" fillId="11" borderId="0" xfId="5" applyFont="1" applyFill="1" applyAlignment="1" applyProtection="1"/>
    <xf numFmtId="0" fontId="0" fillId="11" borderId="0" xfId="0" applyFill="1"/>
    <xf numFmtId="0" fontId="3" fillId="11" borderId="0" xfId="0" applyFont="1" applyFill="1"/>
    <xf numFmtId="0" fontId="12" fillId="11" borderId="0" xfId="0" applyFont="1" applyFill="1"/>
    <xf numFmtId="0" fontId="23" fillId="11" borderId="0" xfId="5" applyFont="1" applyFill="1" applyAlignment="1" applyProtection="1"/>
    <xf numFmtId="0" fontId="19" fillId="11" borderId="0" xfId="0" applyFont="1" applyFill="1"/>
    <xf numFmtId="0" fontId="20" fillId="11" borderId="0" xfId="5" applyFont="1" applyFill="1" applyAlignment="1" applyProtection="1"/>
    <xf numFmtId="0" fontId="18" fillId="3" borderId="0" xfId="5" applyFill="1" applyBorder="1" applyAlignment="1" applyProtection="1"/>
    <xf numFmtId="0" fontId="13" fillId="3" borderId="0" xfId="0" applyFont="1" applyFill="1"/>
    <xf numFmtId="0" fontId="34" fillId="10" borderId="0" xfId="0" applyFont="1" applyFill="1"/>
    <xf numFmtId="166" fontId="8" fillId="11" borderId="0" xfId="0" applyNumberFormat="1" applyFont="1" applyFill="1" applyAlignment="1">
      <alignment vertical="center"/>
    </xf>
    <xf numFmtId="0" fontId="9" fillId="11" borderId="0" xfId="0" applyFont="1" applyFill="1" applyAlignment="1">
      <alignment vertical="center"/>
    </xf>
    <xf numFmtId="166" fontId="3" fillId="11" borderId="0" xfId="0" applyNumberFormat="1" applyFont="1" applyFill="1" applyAlignment="1">
      <alignment vertical="center"/>
    </xf>
    <xf numFmtId="0" fontId="3" fillId="11" borderId="0" xfId="0" applyFont="1" applyFill="1" applyAlignment="1">
      <alignment vertical="center" wrapText="1"/>
    </xf>
    <xf numFmtId="0" fontId="3" fillId="11" borderId="0" xfId="0" applyFont="1" applyFill="1" applyAlignment="1">
      <alignment vertical="center"/>
    </xf>
    <xf numFmtId="166" fontId="3" fillId="11" borderId="0" xfId="0" applyNumberFormat="1" applyFont="1" applyFill="1" applyAlignment="1">
      <alignment horizontal="right" vertical="center"/>
    </xf>
    <xf numFmtId="166" fontId="3" fillId="11" borderId="5" xfId="0" applyNumberFormat="1" applyFont="1" applyFill="1" applyBorder="1" applyAlignment="1">
      <alignment vertical="center"/>
    </xf>
    <xf numFmtId="0" fontId="3" fillId="11" borderId="5" xfId="0" applyFont="1" applyFill="1" applyBorder="1" applyAlignment="1">
      <alignment vertical="center" wrapText="1"/>
    </xf>
    <xf numFmtId="4" fontId="0" fillId="12" borderId="18" xfId="1" applyNumberFormat="1" applyFont="1" applyFill="1" applyBorder="1"/>
    <xf numFmtId="4" fontId="0" fillId="12" borderId="19" xfId="1" applyNumberFormat="1" applyFont="1" applyFill="1" applyBorder="1"/>
    <xf numFmtId="4" fontId="0" fillId="12" borderId="17" xfId="0" applyNumberFormat="1" applyFill="1" applyBorder="1"/>
    <xf numFmtId="4" fontId="0" fillId="12" borderId="0" xfId="0" applyNumberFormat="1" applyFill="1"/>
    <xf numFmtId="4" fontId="35" fillId="12" borderId="19" xfId="1" applyNumberFormat="1" applyFont="1" applyFill="1" applyBorder="1"/>
    <xf numFmtId="0" fontId="4" fillId="11" borderId="0" xfId="0" applyFont="1" applyFill="1" applyAlignment="1">
      <alignment horizontal="center"/>
    </xf>
    <xf numFmtId="0" fontId="4" fillId="11" borderId="7" xfId="0" applyFont="1" applyFill="1" applyBorder="1" applyAlignment="1">
      <alignment horizontal="center"/>
    </xf>
    <xf numFmtId="0" fontId="27" fillId="3" borderId="0" xfId="0" applyFont="1" applyFill="1" applyAlignment="1">
      <alignment horizontal="center"/>
    </xf>
    <xf numFmtId="0" fontId="25" fillId="3" borderId="0" xfId="0" applyFont="1" applyFill="1" applyAlignment="1">
      <alignment vertical="center" textRotation="90"/>
    </xf>
    <xf numFmtId="0" fontId="7" fillId="11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6">
    <cellStyle name="Comma" xfId="1" builtinId="3"/>
    <cellStyle name="Comma 5" xfId="4" xr:uid="{00000000-0005-0000-0000-000001000000}"/>
    <cellStyle name="GivenData" xfId="3" xr:uid="{00000000-0005-0000-0000-000003000000}"/>
    <cellStyle name="Hyperlink" xfId="5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104C55"/>
      <color rgb="FF0E9693"/>
      <color rgb="FFDEEDD3"/>
      <color rgb="FF0F733D"/>
      <color rgb="FFD4E8C6"/>
      <color rgb="FF86F2B2"/>
      <color rgb="FFE4FCEE"/>
      <color rgb="FFEDFDF4"/>
      <color rgb="FFDAFAE8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776112</xdr:colOff>
      <xdr:row>0</xdr:row>
      <xdr:rowOff>0</xdr:rowOff>
    </xdr:from>
    <xdr:to>
      <xdr:col>8</xdr:col>
      <xdr:colOff>0</xdr:colOff>
      <xdr:row>2</xdr:row>
      <xdr:rowOff>183444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DB3376-2189-D310-2069-EF4593EC5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9056" y="0"/>
          <a:ext cx="1072444" cy="973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showGridLines="0" zoomScale="90" zoomScaleNormal="90" workbookViewId="0">
      <pane ySplit="3" topLeftCell="A4" activePane="bottomLeft" state="frozen"/>
      <selection pane="bottomLeft" activeCell="C16" sqref="C16"/>
    </sheetView>
  </sheetViews>
  <sheetFormatPr defaultColWidth="0" defaultRowHeight="14.5" zeroHeight="1" x14ac:dyDescent="0.35"/>
  <cols>
    <col min="1" max="1" width="10.7265625" style="307" customWidth="1"/>
    <col min="2" max="2" width="1.6328125" style="307" customWidth="1"/>
    <col min="3" max="3" width="4.453125" style="307" customWidth="1"/>
    <col min="4" max="5" width="9.1796875" style="307" customWidth="1"/>
    <col min="6" max="6" width="26.1796875" style="307" customWidth="1"/>
    <col min="7" max="7" width="11.26953125" style="307" customWidth="1"/>
    <col min="8" max="8" width="26.453125" style="307" customWidth="1"/>
    <col min="9" max="16384" width="9.1796875" style="4" hidden="1"/>
  </cols>
  <sheetData>
    <row r="1" spans="1:8" ht="48" customHeight="1" x14ac:dyDescent="0.7">
      <c r="A1" s="311" t="s">
        <v>259</v>
      </c>
    </row>
    <row r="2" spans="1:8" x14ac:dyDescent="0.35">
      <c r="A2" s="309"/>
      <c r="B2" s="312"/>
    </row>
    <row r="3" spans="1:8" x14ac:dyDescent="0.35">
      <c r="A3" s="309"/>
      <c r="B3" s="312"/>
    </row>
    <row r="4" spans="1:8" ht="15.5" x14ac:dyDescent="0.35">
      <c r="A4" s="301"/>
      <c r="B4" s="315" t="s">
        <v>220</v>
      </c>
      <c r="C4" s="302"/>
      <c r="D4" s="301"/>
      <c r="E4" s="301"/>
      <c r="F4" s="301"/>
      <c r="G4" s="301"/>
      <c r="H4" s="301"/>
    </row>
    <row r="5" spans="1:8" x14ac:dyDescent="0.35">
      <c r="A5" s="5"/>
      <c r="B5" s="5"/>
      <c r="C5" s="313" t="s">
        <v>221</v>
      </c>
      <c r="D5" s="5"/>
      <c r="E5" s="5"/>
      <c r="F5" s="5"/>
      <c r="G5" s="5"/>
      <c r="H5" s="5"/>
    </row>
    <row r="6" spans="1:8" x14ac:dyDescent="0.35">
      <c r="A6" s="5"/>
      <c r="B6" s="5"/>
      <c r="C6" s="313" t="s">
        <v>222</v>
      </c>
      <c r="D6" s="5"/>
      <c r="E6" s="5"/>
      <c r="F6" s="5"/>
      <c r="G6" s="5"/>
      <c r="H6" s="5"/>
    </row>
    <row r="7" spans="1:8" x14ac:dyDescent="0.35">
      <c r="A7" s="5"/>
      <c r="B7" s="5"/>
      <c r="C7" s="313" t="s">
        <v>183</v>
      </c>
      <c r="D7" s="5"/>
      <c r="E7" s="5"/>
      <c r="F7" s="5"/>
      <c r="G7" s="5"/>
      <c r="H7" s="5"/>
    </row>
    <row r="8" spans="1:8" x14ac:dyDescent="0.35">
      <c r="A8" s="5"/>
      <c r="B8" s="5"/>
      <c r="C8" s="313"/>
      <c r="D8" s="5"/>
      <c r="E8" s="5"/>
      <c r="F8" s="5"/>
      <c r="G8" s="5"/>
      <c r="H8" s="5"/>
    </row>
    <row r="9" spans="1:8" ht="15.5" x14ac:dyDescent="0.35">
      <c r="A9" s="301"/>
      <c r="B9" s="315" t="s">
        <v>223</v>
      </c>
      <c r="C9" s="303"/>
      <c r="D9" s="301"/>
      <c r="E9" s="301"/>
      <c r="F9" s="301"/>
      <c r="G9" s="301"/>
      <c r="H9" s="301"/>
    </row>
    <row r="10" spans="1:8" x14ac:dyDescent="0.35">
      <c r="A10" s="5"/>
      <c r="B10" s="314"/>
      <c r="C10" s="313" t="s">
        <v>75</v>
      </c>
      <c r="D10" s="5"/>
      <c r="E10" s="5"/>
      <c r="F10" s="5"/>
      <c r="G10" s="5"/>
      <c r="H10" s="5"/>
    </row>
    <row r="11" spans="1:8" x14ac:dyDescent="0.35">
      <c r="A11" s="5"/>
      <c r="B11" s="314"/>
      <c r="C11" s="313" t="s">
        <v>224</v>
      </c>
      <c r="D11" s="5"/>
      <c r="E11" s="5"/>
      <c r="F11" s="5"/>
      <c r="G11" s="5"/>
      <c r="H11" s="5"/>
    </row>
    <row r="12" spans="1:8" x14ac:dyDescent="0.35">
      <c r="A12" s="5"/>
      <c r="B12" s="314"/>
      <c r="C12" s="313" t="s">
        <v>225</v>
      </c>
      <c r="D12" s="5"/>
      <c r="E12" s="5"/>
      <c r="F12" s="5"/>
      <c r="G12" s="5"/>
      <c r="H12" s="5"/>
    </row>
    <row r="13" spans="1:8" x14ac:dyDescent="0.35">
      <c r="A13" s="5"/>
      <c r="B13" s="5"/>
      <c r="C13" s="313" t="s">
        <v>226</v>
      </c>
      <c r="D13" s="5"/>
      <c r="E13" s="5"/>
      <c r="F13" s="5"/>
      <c r="G13" s="5"/>
      <c r="H13" s="5"/>
    </row>
    <row r="14" spans="1:8" x14ac:dyDescent="0.35">
      <c r="A14" s="5"/>
      <c r="B14" s="5"/>
      <c r="C14" s="313" t="s">
        <v>227</v>
      </c>
      <c r="D14" s="5"/>
      <c r="E14" s="5"/>
      <c r="F14" s="5"/>
      <c r="G14" s="5"/>
      <c r="H14" s="5"/>
    </row>
    <row r="15" spans="1:8" x14ac:dyDescent="0.35">
      <c r="A15" s="5"/>
      <c r="B15" s="5"/>
      <c r="C15" s="313" t="s">
        <v>228</v>
      </c>
      <c r="D15" s="5"/>
      <c r="E15" s="5"/>
      <c r="F15" s="5"/>
      <c r="G15" s="5"/>
      <c r="H15" s="5"/>
    </row>
    <row r="16" spans="1:8" x14ac:dyDescent="0.35">
      <c r="A16" s="5"/>
      <c r="B16" s="5"/>
      <c r="C16" s="313" t="s">
        <v>229</v>
      </c>
      <c r="D16" s="5"/>
      <c r="E16" s="5"/>
      <c r="F16" s="5"/>
      <c r="G16" s="5"/>
      <c r="H16" s="5"/>
    </row>
    <row r="17" spans="1:8" hidden="1" x14ac:dyDescent="0.35">
      <c r="A17" s="4"/>
      <c r="B17" s="4"/>
      <c r="C17" s="4"/>
      <c r="D17" s="4"/>
      <c r="E17" s="4"/>
      <c r="F17" s="4"/>
      <c r="G17" s="4"/>
      <c r="H17" s="4"/>
    </row>
    <row r="18" spans="1:8" ht="15.5" x14ac:dyDescent="0.35">
      <c r="A18" s="301"/>
      <c r="B18" s="315" t="s">
        <v>230</v>
      </c>
      <c r="C18" s="301"/>
      <c r="D18" s="301"/>
      <c r="E18" s="301"/>
      <c r="F18" s="301"/>
      <c r="G18" s="301"/>
      <c r="H18" s="301"/>
    </row>
    <row r="19" spans="1:8" x14ac:dyDescent="0.35">
      <c r="A19" s="5"/>
      <c r="B19" s="5"/>
      <c r="C19" s="313" t="s">
        <v>231</v>
      </c>
      <c r="D19" s="5"/>
      <c r="E19" s="5"/>
      <c r="F19" s="5"/>
      <c r="G19" s="5"/>
      <c r="H19" s="5"/>
    </row>
    <row r="20" spans="1:8" x14ac:dyDescent="0.35">
      <c r="A20" s="5"/>
      <c r="B20" s="5"/>
      <c r="C20" s="313"/>
      <c r="D20" s="5"/>
      <c r="E20" s="5"/>
      <c r="F20" s="5"/>
      <c r="G20" s="5"/>
      <c r="H20" s="5"/>
    </row>
    <row r="21" spans="1:8" x14ac:dyDescent="0.35">
      <c r="A21" s="304" t="s">
        <v>232</v>
      </c>
      <c r="B21" s="305" t="s">
        <v>233</v>
      </c>
      <c r="C21" s="306"/>
    </row>
    <row r="22" spans="1:8" x14ac:dyDescent="0.35">
      <c r="A22" s="308"/>
      <c r="B22" s="305"/>
      <c r="C22" s="306"/>
    </row>
    <row r="23" spans="1:8" x14ac:dyDescent="0.35">
      <c r="A23" s="308"/>
      <c r="B23" s="305"/>
      <c r="C23" s="306"/>
    </row>
    <row r="24" spans="1:8" x14ac:dyDescent="0.35">
      <c r="A24" s="308"/>
      <c r="B24" s="305"/>
      <c r="C24" s="306"/>
    </row>
    <row r="25" spans="1:8" x14ac:dyDescent="0.35">
      <c r="A25" s="308"/>
      <c r="B25" s="305"/>
      <c r="C25" s="306"/>
    </row>
    <row r="26" spans="1:8" x14ac:dyDescent="0.35">
      <c r="A26" s="309"/>
      <c r="B26" s="305"/>
      <c r="C26" s="306"/>
    </row>
    <row r="27" spans="1:8" ht="16.5" x14ac:dyDescent="0.4">
      <c r="A27" s="310"/>
      <c r="B27" s="305"/>
    </row>
  </sheetData>
  <hyperlinks>
    <hyperlink ref="B18" location="Index!A1" display="Valuations" xr:uid="{00000000-0004-0000-0000-000000000000}"/>
    <hyperlink ref="C5" location="'P&amp;L'!A1" display="Income Statement" xr:uid="{00000000-0004-0000-0000-000001000000}"/>
    <hyperlink ref="C7" location="'Cash Flow'!A1" display="Cash Flows" xr:uid="{00000000-0004-0000-0000-000002000000}"/>
    <hyperlink ref="C10" location="'Ratio Analysis'!A1" display="Ratio Analysis" xr:uid="{00000000-0004-0000-0000-000003000000}"/>
    <hyperlink ref="C11" location="'Revenue Breakup'!A1" display="Revenue Built-up" xr:uid="{00000000-0004-0000-0000-000004000000}"/>
    <hyperlink ref="C12" location="'Cost Sheet'!A1" display="Cost Sheet" xr:uid="{00000000-0004-0000-0000-000005000000}"/>
    <hyperlink ref="C13" location="'Working cap'!A1" display="Working Capital" xr:uid="{00000000-0004-0000-0000-000006000000}"/>
    <hyperlink ref="C14" location="'Dep Capex'!A1" display="Depreciation Schedule" xr:uid="{00000000-0004-0000-0000-000007000000}"/>
    <hyperlink ref="C15" location="Shareholders!A1" display="Shareholder's Equity" xr:uid="{00000000-0004-0000-0000-000008000000}"/>
    <hyperlink ref="C16" location="Debt!A1" display="Debt Schedule" xr:uid="{00000000-0004-0000-0000-000009000000}"/>
    <hyperlink ref="C19" location="Valuation!A1" display="DCF Valuation" xr:uid="{00000000-0004-0000-0000-00000A000000}"/>
    <hyperlink ref="C6" location="'Balance Sheet'!A1" display="Balance Sheet" xr:uid="{00000000-0004-0000-0000-00000B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showGridLines="0" zoomScale="85" zoomScaleNormal="85" workbookViewId="0">
      <pane ySplit="2" topLeftCell="A3" activePane="bottomLeft" state="frozen"/>
      <selection pane="bottomLeft" activeCell="B21" sqref="B21"/>
    </sheetView>
  </sheetViews>
  <sheetFormatPr defaultColWidth="0" defaultRowHeight="14.5" zeroHeight="1" x14ac:dyDescent="0.35"/>
  <cols>
    <col min="1" max="1" width="6.453125" customWidth="1"/>
    <col min="2" max="2" width="54.54296875" customWidth="1"/>
    <col min="3" max="10" width="12.54296875" customWidth="1"/>
    <col min="11" max="11" width="9.1796875" customWidth="1"/>
    <col min="12" max="16" width="0" hidden="1" customWidth="1"/>
    <col min="17" max="16384" width="9.1796875" hidden="1"/>
  </cols>
  <sheetData>
    <row r="1" spans="1:10" ht="31.5" customHeight="1" x14ac:dyDescent="0.6">
      <c r="A1" s="316" t="str">
        <f>Index!A1</f>
        <v>P&amp;G Financial Modeling</v>
      </c>
      <c r="B1" s="316"/>
      <c r="C1" s="329" t="s">
        <v>18</v>
      </c>
      <c r="D1" s="329"/>
      <c r="E1" s="329"/>
      <c r="F1" s="329" t="s">
        <v>73</v>
      </c>
      <c r="G1" s="329"/>
      <c r="H1" s="329"/>
      <c r="I1" s="329"/>
      <c r="J1" s="329"/>
    </row>
    <row r="2" spans="1:10" ht="15" customHeight="1" x14ac:dyDescent="0.35">
      <c r="A2" s="317" t="s">
        <v>74</v>
      </c>
      <c r="B2" s="317"/>
      <c r="C2" s="318">
        <v>2022</v>
      </c>
      <c r="D2" s="318">
        <f t="shared" ref="D2:F2" si="0">C2+1</f>
        <v>2023</v>
      </c>
      <c r="E2" s="318">
        <f t="shared" si="0"/>
        <v>2024</v>
      </c>
      <c r="F2" s="318">
        <f t="shared" si="0"/>
        <v>2025</v>
      </c>
      <c r="G2" s="318">
        <f t="shared" ref="G2" si="1">F2+1</f>
        <v>2026</v>
      </c>
      <c r="H2" s="318">
        <f t="shared" ref="H2" si="2">G2+1</f>
        <v>2027</v>
      </c>
      <c r="I2" s="318">
        <f t="shared" ref="I2:J2" si="3">H2+1</f>
        <v>2028</v>
      </c>
      <c r="J2" s="318">
        <f t="shared" si="3"/>
        <v>2029</v>
      </c>
    </row>
    <row r="3" spans="1:10" x14ac:dyDescent="0.35">
      <c r="A3">
        <v>1.1000000000000001</v>
      </c>
      <c r="B3" s="73" t="s">
        <v>102</v>
      </c>
      <c r="C3" s="51"/>
      <c r="D3" s="51"/>
      <c r="E3" s="51"/>
      <c r="F3" s="51"/>
      <c r="G3" s="51"/>
      <c r="H3" s="51"/>
      <c r="I3" s="51"/>
      <c r="J3" s="51"/>
    </row>
    <row r="4" spans="1:10" x14ac:dyDescent="0.35">
      <c r="B4" s="9" t="s">
        <v>0</v>
      </c>
      <c r="C4" s="139">
        <f>'Revenue Build Up'!C4+'Revenue Build Up'!C7+'Revenue Build Up'!C10+'Revenue Build Up'!C13+'Revenue Build Up'!C16</f>
        <v>79443</v>
      </c>
      <c r="D4" s="139">
        <f>'Revenue Build Up'!D4+'Revenue Build Up'!D7+'Revenue Build Up'!D10+'Revenue Build Up'!D13+'Revenue Build Up'!D16</f>
        <v>81241</v>
      </c>
      <c r="E4" s="139">
        <f>'Revenue Build Up'!E4+'Revenue Build Up'!E7+'Revenue Build Up'!E10+'Revenue Build Up'!E13+'Revenue Build Up'!E16</f>
        <v>83439</v>
      </c>
      <c r="F4" s="216">
        <f>'Revenue Build Up'!F4+'Revenue Build Up'!F7+'Revenue Build Up'!F10+'Revenue Build Up'!F13+'Revenue Build Up'!F16</f>
        <v>85389.73</v>
      </c>
      <c r="G4" s="216">
        <f>'Revenue Build Up'!G4+'Revenue Build Up'!G7+'Revenue Build Up'!G10+'Revenue Build Up'!G13+'Revenue Build Up'!G16</f>
        <v>87391.075099999987</v>
      </c>
      <c r="H4" s="216">
        <f>'Revenue Build Up'!H4+'Revenue Build Up'!H7+'Revenue Build Up'!H10+'Revenue Build Up'!H13+'Revenue Build Up'!H16</f>
        <v>89444.494338249991</v>
      </c>
      <c r="I4" s="216">
        <f>'Revenue Build Up'!I4+'Revenue Build Up'!I7+'Revenue Build Up'!I10+'Revenue Build Up'!I13+'Revenue Build Up'!I16</f>
        <v>91551.49299092748</v>
      </c>
      <c r="J4" s="216">
        <f>'Revenue Build Up'!J4+'Revenue Build Up'!J7+'Revenue Build Up'!J10+'Revenue Build Up'!J13+'Revenue Build Up'!J16</f>
        <v>93713.624153172423</v>
      </c>
    </row>
    <row r="5" spans="1:10" ht="15" thickBot="1" x14ac:dyDescent="0.4">
      <c r="B5" s="9" t="s">
        <v>258</v>
      </c>
      <c r="C5" s="140">
        <f>'Revenue Build Up'!C19</f>
        <v>744</v>
      </c>
      <c r="D5" s="140">
        <f>'Revenue Build Up'!D19</f>
        <v>765</v>
      </c>
      <c r="E5" s="140">
        <f>'Revenue Build Up'!E19</f>
        <v>601</v>
      </c>
      <c r="F5" s="217">
        <f>'Revenue Build Up'!F19</f>
        <v>661.1</v>
      </c>
      <c r="G5" s="217">
        <f>'Revenue Build Up'!G19</f>
        <v>727.21</v>
      </c>
      <c r="H5" s="217">
        <f>'Revenue Build Up'!H19</f>
        <v>799.93100000000015</v>
      </c>
      <c r="I5" s="217">
        <f>'Revenue Build Up'!I19</f>
        <v>879.92410000000029</v>
      </c>
      <c r="J5" s="217">
        <f>'Revenue Build Up'!J19</f>
        <v>967.91651000000036</v>
      </c>
    </row>
    <row r="6" spans="1:10" s="2" customFormat="1" x14ac:dyDescent="0.35">
      <c r="B6" s="78" t="s">
        <v>1</v>
      </c>
      <c r="C6" s="215">
        <f>SUM(C4:C5)</f>
        <v>80187</v>
      </c>
      <c r="D6" s="215">
        <f>SUM(D4:D5)</f>
        <v>82006</v>
      </c>
      <c r="E6" s="215">
        <f>SUM(E4:E5)</f>
        <v>84040</v>
      </c>
      <c r="F6" s="215">
        <f t="shared" ref="F6:J6" si="4">SUM(F4:F5)</f>
        <v>86050.83</v>
      </c>
      <c r="G6" s="215">
        <f t="shared" si="4"/>
        <v>88118.285099999994</v>
      </c>
      <c r="H6" s="215">
        <f t="shared" si="4"/>
        <v>90244.425338249988</v>
      </c>
      <c r="I6" s="215">
        <f t="shared" si="4"/>
        <v>92431.417090927484</v>
      </c>
      <c r="J6" s="215">
        <f t="shared" si="4"/>
        <v>94681.540663172418</v>
      </c>
    </row>
    <row r="7" spans="1:10" s="2" customFormat="1" x14ac:dyDescent="0.35">
      <c r="B7" s="52"/>
      <c r="C7" s="141"/>
      <c r="D7" s="141"/>
      <c r="E7" s="141"/>
      <c r="F7" s="141"/>
      <c r="G7" s="141"/>
      <c r="H7" s="141"/>
      <c r="I7" s="141"/>
      <c r="J7" s="141"/>
    </row>
    <row r="8" spans="1:10" x14ac:dyDescent="0.35">
      <c r="B8" s="74" t="s">
        <v>246</v>
      </c>
      <c r="C8" s="142"/>
      <c r="D8" s="142"/>
      <c r="E8" s="142"/>
      <c r="F8" s="142"/>
      <c r="G8" s="142"/>
      <c r="H8" s="142"/>
      <c r="I8" s="142"/>
      <c r="J8" s="142"/>
    </row>
    <row r="9" spans="1:10" x14ac:dyDescent="0.35">
      <c r="B9" s="9" t="s">
        <v>0</v>
      </c>
      <c r="C9" s="1">
        <v>42157</v>
      </c>
      <c r="D9" s="1">
        <v>42760</v>
      </c>
      <c r="E9" s="1">
        <v>40848</v>
      </c>
      <c r="F9" s="144">
        <f>'Cost Sheet'!F10</f>
        <v>38722.873500000002</v>
      </c>
      <c r="G9" s="144">
        <f>'Cost Sheet'!G10</f>
        <v>39653.228295000001</v>
      </c>
      <c r="H9" s="144">
        <f>'Cost Sheet'!H10</f>
        <v>40609.991402212494</v>
      </c>
      <c r="I9" s="144">
        <f>'Cost Sheet'!I10</f>
        <v>41594.13769091737</v>
      </c>
      <c r="J9" s="144">
        <f>'Cost Sheet'!J10</f>
        <v>42606.693298427592</v>
      </c>
    </row>
    <row r="10" spans="1:10" hidden="1" x14ac:dyDescent="0.35">
      <c r="B10" s="9"/>
      <c r="C10" s="143"/>
      <c r="D10" s="143"/>
      <c r="E10" s="143"/>
      <c r="F10" s="144"/>
      <c r="G10" s="144"/>
      <c r="H10" s="144"/>
      <c r="I10" s="144"/>
      <c r="J10" s="144"/>
    </row>
    <row r="11" spans="1:10" s="2" customFormat="1" ht="15" thickBot="1" x14ac:dyDescent="0.4">
      <c r="B11" s="52" t="s">
        <v>2</v>
      </c>
      <c r="C11" s="145">
        <f>C9+C10</f>
        <v>42157</v>
      </c>
      <c r="D11" s="145">
        <f>D9+D10</f>
        <v>42760</v>
      </c>
      <c r="E11" s="145">
        <f>E9+E10</f>
        <v>40848</v>
      </c>
      <c r="F11" s="145">
        <f>F9+F10</f>
        <v>38722.873500000002</v>
      </c>
      <c r="G11" s="145">
        <f t="shared" ref="G11:J11" si="5">G9+G10</f>
        <v>39653.228295000001</v>
      </c>
      <c r="H11" s="145">
        <f t="shared" si="5"/>
        <v>40609.991402212494</v>
      </c>
      <c r="I11" s="145">
        <f t="shared" si="5"/>
        <v>41594.13769091737</v>
      </c>
      <c r="J11" s="145">
        <f t="shared" si="5"/>
        <v>42606.693298427592</v>
      </c>
    </row>
    <row r="12" spans="1:10" s="2" customFormat="1" x14ac:dyDescent="0.35">
      <c r="B12" s="78" t="s">
        <v>3</v>
      </c>
      <c r="C12" s="215">
        <f>C6-C11</f>
        <v>38030</v>
      </c>
      <c r="D12" s="215">
        <f>D6-D11</f>
        <v>39246</v>
      </c>
      <c r="E12" s="215">
        <f>E6-E11</f>
        <v>43192</v>
      </c>
      <c r="F12" s="215">
        <f>F6-F11</f>
        <v>47327.9565</v>
      </c>
      <c r="G12" s="215">
        <f t="shared" ref="G12:J12" si="6">G6-G11</f>
        <v>48465.056804999993</v>
      </c>
      <c r="H12" s="215">
        <f t="shared" si="6"/>
        <v>49634.433936037494</v>
      </c>
      <c r="I12" s="215">
        <f t="shared" si="6"/>
        <v>50837.279400010113</v>
      </c>
      <c r="J12" s="215">
        <f t="shared" si="6"/>
        <v>52074.847364744826</v>
      </c>
    </row>
    <row r="13" spans="1:10" s="2" customFormat="1" x14ac:dyDescent="0.35">
      <c r="B13" s="52"/>
      <c r="C13" s="141"/>
      <c r="D13" s="141"/>
      <c r="E13" s="141"/>
      <c r="F13" s="141"/>
      <c r="G13" s="141"/>
      <c r="H13" s="141"/>
      <c r="I13" s="141"/>
      <c r="J13" s="141"/>
    </row>
    <row r="14" spans="1:10" x14ac:dyDescent="0.35">
      <c r="A14">
        <v>1.2</v>
      </c>
      <c r="B14" s="74" t="s">
        <v>4</v>
      </c>
      <c r="C14" s="142"/>
      <c r="D14" s="142"/>
      <c r="E14" s="142"/>
      <c r="F14" s="142"/>
      <c r="G14" s="142"/>
      <c r="H14" s="142"/>
      <c r="I14" s="142"/>
      <c r="J14" s="142"/>
    </row>
    <row r="15" spans="1:10" x14ac:dyDescent="0.35">
      <c r="B15" s="9" t="s">
        <v>5</v>
      </c>
      <c r="C15" s="143"/>
      <c r="D15" s="143"/>
      <c r="E15" s="143">
        <v>1341</v>
      </c>
      <c r="F15" s="144">
        <f>'Cost Sheet'!F14</f>
        <v>1721.0166000000002</v>
      </c>
      <c r="G15" s="144">
        <f>'Cost Sheet'!G14</f>
        <v>1762.3657019999998</v>
      </c>
      <c r="H15" s="144">
        <f>'Cost Sheet'!H14</f>
        <v>1804.8885067649999</v>
      </c>
      <c r="I15" s="144">
        <f>'Cost Sheet'!I14</f>
        <v>1848.6283418185496</v>
      </c>
      <c r="J15" s="144">
        <f>'Cost Sheet'!J14</f>
        <v>1893.6308132634483</v>
      </c>
    </row>
    <row r="16" spans="1:10" x14ac:dyDescent="0.35">
      <c r="B16" s="9" t="s">
        <v>6</v>
      </c>
      <c r="C16" s="143">
        <v>20217</v>
      </c>
      <c r="D16" s="143">
        <v>21112</v>
      </c>
      <c r="E16" s="143">
        <v>23305</v>
      </c>
      <c r="F16" s="144">
        <f>'Cost Sheet'!F17</f>
        <v>22373.215800000002</v>
      </c>
      <c r="G16" s="144">
        <f>'Cost Sheet'!G17</f>
        <v>22910.754126</v>
      </c>
      <c r="H16" s="144">
        <f>'Cost Sheet'!H17</f>
        <v>23463.550587944999</v>
      </c>
      <c r="I16" s="144">
        <f>'Cost Sheet'!I17</f>
        <v>24032.168443641145</v>
      </c>
      <c r="J16" s="144">
        <f>'Cost Sheet'!J17</f>
        <v>24617.20057242483</v>
      </c>
    </row>
    <row r="17" spans="2:10" s="2" customFormat="1" x14ac:dyDescent="0.35">
      <c r="B17" s="78" t="s">
        <v>7</v>
      </c>
      <c r="C17" s="215">
        <f t="shared" ref="C17:J17" si="7">SUM(C15:C16)</f>
        <v>20217</v>
      </c>
      <c r="D17" s="215">
        <f t="shared" si="7"/>
        <v>21112</v>
      </c>
      <c r="E17" s="215">
        <f t="shared" si="7"/>
        <v>24646</v>
      </c>
      <c r="F17" s="215">
        <f t="shared" si="7"/>
        <v>24094.232400000001</v>
      </c>
      <c r="G17" s="215">
        <f t="shared" si="7"/>
        <v>24673.119827999999</v>
      </c>
      <c r="H17" s="215">
        <f t="shared" si="7"/>
        <v>25268.43909471</v>
      </c>
      <c r="I17" s="215">
        <f t="shared" si="7"/>
        <v>25880.796785459694</v>
      </c>
      <c r="J17" s="215">
        <f t="shared" si="7"/>
        <v>26510.831385688278</v>
      </c>
    </row>
    <row r="18" spans="2:10" s="2" customFormat="1" x14ac:dyDescent="0.35">
      <c r="B18" s="52"/>
      <c r="C18" s="141"/>
      <c r="D18" s="141"/>
      <c r="E18" s="141"/>
      <c r="F18" s="141"/>
      <c r="G18" s="141"/>
      <c r="H18" s="141"/>
      <c r="I18" s="141"/>
      <c r="J18" s="141"/>
    </row>
    <row r="19" spans="2:10" s="2" customFormat="1" x14ac:dyDescent="0.35">
      <c r="B19" s="78" t="s">
        <v>8</v>
      </c>
      <c r="C19" s="215">
        <f t="shared" ref="C19:J19" si="8">C12-C17</f>
        <v>17813</v>
      </c>
      <c r="D19" s="215">
        <f t="shared" si="8"/>
        <v>18134</v>
      </c>
      <c r="E19" s="215">
        <f t="shared" si="8"/>
        <v>18546</v>
      </c>
      <c r="F19" s="215">
        <f t="shared" si="8"/>
        <v>23233.724099999999</v>
      </c>
      <c r="G19" s="215">
        <f t="shared" si="8"/>
        <v>23791.936976999994</v>
      </c>
      <c r="H19" s="215">
        <f t="shared" si="8"/>
        <v>24365.994841327494</v>
      </c>
      <c r="I19" s="215">
        <f t="shared" si="8"/>
        <v>24956.482614550419</v>
      </c>
      <c r="J19" s="215">
        <f t="shared" si="8"/>
        <v>25564.015979056549</v>
      </c>
    </row>
    <row r="20" spans="2:10" x14ac:dyDescent="0.35">
      <c r="B20" s="9" t="s">
        <v>100</v>
      </c>
      <c r="C20" s="139">
        <v>-439</v>
      </c>
      <c r="D20" s="139">
        <v>-756</v>
      </c>
      <c r="E20" s="139">
        <v>-925</v>
      </c>
      <c r="F20" s="216"/>
      <c r="G20" s="216"/>
      <c r="H20" s="216"/>
      <c r="I20" s="216"/>
      <c r="J20" s="216"/>
    </row>
    <row r="21" spans="2:10" x14ac:dyDescent="0.35">
      <c r="B21" s="9" t="s">
        <v>279</v>
      </c>
      <c r="C21" s="139">
        <v>51</v>
      </c>
      <c r="D21" s="139">
        <v>307</v>
      </c>
      <c r="E21" s="139">
        <v>473</v>
      </c>
      <c r="F21" s="216"/>
      <c r="G21" s="216"/>
      <c r="H21" s="216"/>
      <c r="I21" s="216"/>
      <c r="J21" s="216"/>
    </row>
    <row r="22" spans="2:10" x14ac:dyDescent="0.35">
      <c r="B22" s="9" t="s">
        <v>283</v>
      </c>
      <c r="C22" s="139">
        <v>570</v>
      </c>
      <c r="D22" s="139">
        <v>668</v>
      </c>
      <c r="E22" s="139">
        <v>668</v>
      </c>
      <c r="F22" s="216"/>
      <c r="G22" s="216"/>
      <c r="H22" s="216"/>
      <c r="I22" s="216"/>
      <c r="J22" s="216"/>
    </row>
    <row r="23" spans="2:10" s="2" customFormat="1" x14ac:dyDescent="0.35">
      <c r="B23" s="78" t="s">
        <v>10</v>
      </c>
      <c r="C23" s="215">
        <f>C19+C22+C20+C21</f>
        <v>17995</v>
      </c>
      <c r="D23" s="215">
        <f t="shared" ref="D23:J23" si="9">D19+D22+D20+D21</f>
        <v>18353</v>
      </c>
      <c r="E23" s="215">
        <f t="shared" si="9"/>
        <v>18762</v>
      </c>
      <c r="F23" s="215">
        <f t="shared" si="9"/>
        <v>23233.724099999999</v>
      </c>
      <c r="G23" s="215">
        <f t="shared" si="9"/>
        <v>23791.936976999994</v>
      </c>
      <c r="H23" s="215">
        <f t="shared" si="9"/>
        <v>24365.994841327494</v>
      </c>
      <c r="I23" s="215">
        <f t="shared" si="9"/>
        <v>24956.482614550419</v>
      </c>
      <c r="J23" s="215">
        <f t="shared" si="9"/>
        <v>25564.015979056549</v>
      </c>
    </row>
    <row r="24" spans="2:10" x14ac:dyDescent="0.35">
      <c r="B24" s="9" t="s">
        <v>11</v>
      </c>
      <c r="C24" s="1">
        <v>3202</v>
      </c>
      <c r="D24" s="1">
        <v>3615</v>
      </c>
      <c r="E24" s="1">
        <v>3787</v>
      </c>
      <c r="F24" s="144">
        <f>F25*F23</f>
        <v>4414.4075789999997</v>
      </c>
      <c r="G24" s="144">
        <f t="shared" ref="G24:J24" si="10">G25*G23</f>
        <v>4520.4680256299989</v>
      </c>
      <c r="H24" s="144">
        <f t="shared" si="10"/>
        <v>4629.5390198522236</v>
      </c>
      <c r="I24" s="144">
        <f t="shared" si="10"/>
        <v>4741.7316967645802</v>
      </c>
      <c r="J24" s="144">
        <f t="shared" si="10"/>
        <v>4857.1630360207446</v>
      </c>
    </row>
    <row r="25" spans="2:10" ht="15" thickBot="1" x14ac:dyDescent="0.4">
      <c r="B25" s="74" t="s">
        <v>17</v>
      </c>
      <c r="C25" s="221">
        <f>C24/C23</f>
        <v>0.17793831619894415</v>
      </c>
      <c r="D25" s="221">
        <f t="shared" ref="D25:E25" si="11">D24/D23</f>
        <v>0.1969705225303765</v>
      </c>
      <c r="E25" s="221">
        <f t="shared" si="11"/>
        <v>0.2018441530753651</v>
      </c>
      <c r="F25" s="221">
        <v>0.19</v>
      </c>
      <c r="G25" s="221">
        <v>0.19</v>
      </c>
      <c r="H25" s="221">
        <v>0.19</v>
      </c>
      <c r="I25" s="221">
        <v>0.19</v>
      </c>
      <c r="J25" s="221">
        <v>0.19</v>
      </c>
    </row>
    <row r="26" spans="2:10" x14ac:dyDescent="0.35">
      <c r="B26" s="78" t="s">
        <v>12</v>
      </c>
      <c r="C26" s="215">
        <f>C23-C24</f>
        <v>14793</v>
      </c>
      <c r="D26" s="215">
        <f>D23-D24</f>
        <v>14738</v>
      </c>
      <c r="E26" s="215">
        <f>E23-E24</f>
        <v>14975</v>
      </c>
      <c r="F26" s="215">
        <f t="shared" ref="F26:J26" si="12">F23-F24</f>
        <v>18819.316521000001</v>
      </c>
      <c r="G26" s="215">
        <f t="shared" si="12"/>
        <v>19271.468951369996</v>
      </c>
      <c r="H26" s="215">
        <f t="shared" si="12"/>
        <v>19736.455821475269</v>
      </c>
      <c r="I26" s="215">
        <f t="shared" si="12"/>
        <v>20214.750917785837</v>
      </c>
      <c r="J26" s="215">
        <f t="shared" si="12"/>
        <v>20706.852943035803</v>
      </c>
    </row>
    <row r="27" spans="2:10" x14ac:dyDescent="0.35">
      <c r="B27" s="52"/>
      <c r="C27" s="141"/>
      <c r="D27" s="141"/>
      <c r="E27" s="141"/>
      <c r="F27" s="141"/>
      <c r="G27" s="141"/>
      <c r="H27" s="141"/>
      <c r="I27" s="141"/>
      <c r="J27" s="141"/>
    </row>
    <row r="28" spans="2:10" x14ac:dyDescent="0.35">
      <c r="B28" s="9" t="s">
        <v>13</v>
      </c>
      <c r="C28" s="146"/>
      <c r="D28" s="146"/>
      <c r="E28" s="146"/>
      <c r="F28" s="146"/>
      <c r="G28" s="146"/>
      <c r="H28" s="146"/>
      <c r="I28" s="146"/>
      <c r="J28" s="146"/>
    </row>
    <row r="29" spans="2:10" x14ac:dyDescent="0.35">
      <c r="B29" s="9" t="s">
        <v>14</v>
      </c>
      <c r="C29" s="224">
        <f>(C26/C33)</f>
        <v>6.1374102808778987</v>
      </c>
      <c r="D29" s="224">
        <f t="shared" ref="D29:E29" si="13">(D26/D33)</f>
        <v>6.2232919516932697</v>
      </c>
      <c r="E29" s="224">
        <f t="shared" si="13"/>
        <v>6.3450701241472824</v>
      </c>
      <c r="F29" s="224">
        <f t="shared" ref="F29:J29" si="14">(F26/F33)</f>
        <v>7.9739487822549897</v>
      </c>
      <c r="G29" s="224">
        <f t="shared" si="14"/>
        <v>8.1655306772467249</v>
      </c>
      <c r="H29" s="224">
        <f t="shared" si="14"/>
        <v>8.3625506637325824</v>
      </c>
      <c r="I29" s="224">
        <f t="shared" si="14"/>
        <v>8.5652094901850937</v>
      </c>
      <c r="J29" s="224">
        <f t="shared" si="14"/>
        <v>8.7737184623684605</v>
      </c>
    </row>
    <row r="30" spans="2:10" x14ac:dyDescent="0.35">
      <c r="B30" s="9" t="s">
        <v>15</v>
      </c>
      <c r="C30" s="224">
        <f>C26/C34</f>
        <v>5.8260801071245716</v>
      </c>
      <c r="D30" s="224">
        <f t="shared" ref="D30:E30" si="15">D26/D34</f>
        <v>5.9334111679214141</v>
      </c>
      <c r="E30" s="224">
        <f t="shared" si="15"/>
        <v>6.0580929649257653</v>
      </c>
      <c r="F30" s="224">
        <f t="shared" ref="F30:J30" si="16">F26/F34</f>
        <v>7.6133001015413244</v>
      </c>
      <c r="G30" s="224">
        <f t="shared" si="16"/>
        <v>7.7962170603058354</v>
      </c>
      <c r="H30" s="224">
        <f t="shared" si="16"/>
        <v>7.9843261545674453</v>
      </c>
      <c r="I30" s="224">
        <f t="shared" si="16"/>
        <v>8.1778190532731241</v>
      </c>
      <c r="J30" s="224">
        <f t="shared" si="16"/>
        <v>8.3768975051724599</v>
      </c>
    </row>
    <row r="31" spans="2:10" x14ac:dyDescent="0.35">
      <c r="B31" s="51"/>
      <c r="C31" s="146"/>
      <c r="D31" s="146"/>
      <c r="E31" s="146"/>
      <c r="F31" s="146"/>
      <c r="G31" s="146"/>
      <c r="H31" s="146"/>
      <c r="I31" s="146"/>
      <c r="J31" s="146"/>
    </row>
    <row r="32" spans="2:10" x14ac:dyDescent="0.35">
      <c r="B32" s="9" t="s">
        <v>16</v>
      </c>
      <c r="C32" s="146"/>
      <c r="D32" s="146"/>
      <c r="E32" s="146"/>
      <c r="F32" s="146"/>
      <c r="G32" s="146"/>
      <c r="H32" s="146"/>
      <c r="I32" s="146"/>
      <c r="J32" s="146"/>
    </row>
    <row r="33" spans="1:10" x14ac:dyDescent="0.35">
      <c r="B33" s="9" t="s">
        <v>14</v>
      </c>
      <c r="C33" s="223">
        <v>2410.3000000000002</v>
      </c>
      <c r="D33" s="223">
        <v>2368.1999999999998</v>
      </c>
      <c r="E33" s="223">
        <v>2360.1</v>
      </c>
      <c r="F33" s="143">
        <f>E33</f>
        <v>2360.1</v>
      </c>
      <c r="G33" s="143">
        <f t="shared" ref="G33:J33" si="17">F33</f>
        <v>2360.1</v>
      </c>
      <c r="H33" s="143">
        <f t="shared" si="17"/>
        <v>2360.1</v>
      </c>
      <c r="I33" s="143">
        <f t="shared" si="17"/>
        <v>2360.1</v>
      </c>
      <c r="J33" s="143">
        <f t="shared" si="17"/>
        <v>2360.1</v>
      </c>
    </row>
    <row r="34" spans="1:10" x14ac:dyDescent="0.35">
      <c r="B34" s="9" t="s">
        <v>15</v>
      </c>
      <c r="C34" s="222">
        <v>2539.1</v>
      </c>
      <c r="D34" s="222">
        <v>2483.9</v>
      </c>
      <c r="E34" s="222">
        <v>2471.9</v>
      </c>
      <c r="F34" s="143">
        <f>E34</f>
        <v>2471.9</v>
      </c>
      <c r="G34" s="143">
        <f t="shared" ref="G34:J34" si="18">F34</f>
        <v>2471.9</v>
      </c>
      <c r="H34" s="143">
        <f t="shared" si="18"/>
        <v>2471.9</v>
      </c>
      <c r="I34" s="143">
        <f t="shared" si="18"/>
        <v>2471.9</v>
      </c>
      <c r="J34" s="143">
        <f t="shared" si="18"/>
        <v>2471.9</v>
      </c>
    </row>
    <row r="36" spans="1:10" x14ac:dyDescent="0.35">
      <c r="A36">
        <v>1.3</v>
      </c>
      <c r="B36" s="73" t="s">
        <v>139</v>
      </c>
      <c r="C36" s="147"/>
      <c r="D36" s="146"/>
      <c r="E36" s="146"/>
      <c r="F36" s="146"/>
      <c r="G36" s="146"/>
      <c r="H36" s="146"/>
      <c r="I36" s="146"/>
      <c r="J36" s="146"/>
    </row>
    <row r="37" spans="1:10" x14ac:dyDescent="0.35">
      <c r="B37" s="9" t="s">
        <v>140</v>
      </c>
      <c r="C37" s="147"/>
      <c r="D37" s="146"/>
      <c r="E37" s="146">
        <f>E23</f>
        <v>18762</v>
      </c>
      <c r="F37" s="146">
        <f t="shared" ref="F37:J37" si="19">F23</f>
        <v>23233.724099999999</v>
      </c>
      <c r="G37" s="146">
        <f t="shared" si="19"/>
        <v>23791.936976999994</v>
      </c>
      <c r="H37" s="146">
        <f t="shared" si="19"/>
        <v>24365.994841327494</v>
      </c>
      <c r="I37" s="146">
        <f t="shared" si="19"/>
        <v>24956.482614550419</v>
      </c>
      <c r="J37" s="146">
        <f t="shared" si="19"/>
        <v>25564.015979056549</v>
      </c>
    </row>
    <row r="38" spans="1:10" x14ac:dyDescent="0.35">
      <c r="B38" s="9" t="s">
        <v>141</v>
      </c>
      <c r="C38" s="147"/>
      <c r="D38" s="146"/>
      <c r="E38" s="146"/>
      <c r="F38" s="148">
        <f>'Depreciation Schedule'!F9</f>
        <v>6357.8306543866056</v>
      </c>
      <c r="G38" s="148">
        <f>'Depreciation Schedule'!G9</f>
        <v>7064.5018535657528</v>
      </c>
      <c r="H38" s="148">
        <f>'Depreciation Schedule'!H9</f>
        <v>7788.188084628433</v>
      </c>
      <c r="I38" s="148">
        <f>'Depreciation Schedule'!I9</f>
        <v>8529.3743538264443</v>
      </c>
      <c r="J38" s="148">
        <f>'Depreciation Schedule'!J9</f>
        <v>9288.5637093107835</v>
      </c>
    </row>
    <row r="39" spans="1:10" x14ac:dyDescent="0.35">
      <c r="B39" s="9" t="s">
        <v>142</v>
      </c>
      <c r="C39" s="147"/>
      <c r="D39" s="146"/>
      <c r="E39" s="146">
        <v>0</v>
      </c>
      <c r="F39" s="146">
        <v>0</v>
      </c>
      <c r="G39" s="146">
        <v>0</v>
      </c>
      <c r="H39" s="146">
        <v>0</v>
      </c>
      <c r="I39" s="146">
        <v>0</v>
      </c>
      <c r="J39" s="146">
        <v>0</v>
      </c>
    </row>
    <row r="40" spans="1:10" s="2" customFormat="1" x14ac:dyDescent="0.35">
      <c r="B40" s="79" t="s">
        <v>143</v>
      </c>
      <c r="C40" s="149"/>
      <c r="D40" s="149"/>
      <c r="E40" s="225">
        <f>SUM(E37:E39)</f>
        <v>18762</v>
      </c>
      <c r="F40" s="225">
        <f t="shared" ref="F40:J40" si="20">SUM(F37:F39)</f>
        <v>29591.554754386605</v>
      </c>
      <c r="G40" s="225">
        <f t="shared" si="20"/>
        <v>30856.438830565749</v>
      </c>
      <c r="H40" s="225">
        <f t="shared" si="20"/>
        <v>32154.182925955927</v>
      </c>
      <c r="I40" s="225">
        <f t="shared" si="20"/>
        <v>33485.856968376866</v>
      </c>
      <c r="J40" s="225">
        <f t="shared" si="20"/>
        <v>34852.579688367332</v>
      </c>
    </row>
    <row r="41" spans="1:10" x14ac:dyDescent="0.35">
      <c r="C41" s="151"/>
      <c r="D41" s="151"/>
      <c r="E41" s="151"/>
      <c r="F41" s="151"/>
      <c r="G41" s="151"/>
      <c r="H41" s="151"/>
      <c r="I41" s="151"/>
      <c r="J41" s="151"/>
    </row>
    <row r="42" spans="1:10" x14ac:dyDescent="0.35">
      <c r="B42" s="9" t="s">
        <v>99</v>
      </c>
      <c r="C42" s="146">
        <v>51</v>
      </c>
      <c r="D42" s="146">
        <v>307</v>
      </c>
      <c r="E42" s="146">
        <v>473</v>
      </c>
      <c r="F42" s="146">
        <f>'Debt Schedule'!F22</f>
        <v>461.05266377674275</v>
      </c>
      <c r="G42" s="146">
        <f>'Debt Schedule'!G22</f>
        <v>762.54299647860637</v>
      </c>
      <c r="H42" s="146">
        <f>'Debt Schedule'!H22</f>
        <v>1127.039038389627</v>
      </c>
      <c r="I42" s="146">
        <f>'Debt Schedule'!I22</f>
        <v>1530.3099056336557</v>
      </c>
      <c r="J42" s="146">
        <f>'Debt Schedule'!J22</f>
        <v>1972.6981187399601</v>
      </c>
    </row>
    <row r="43" spans="1:10" x14ac:dyDescent="0.35">
      <c r="B43" s="9" t="s">
        <v>100</v>
      </c>
      <c r="C43" s="146">
        <v>-439</v>
      </c>
      <c r="D43" s="146">
        <v>-756</v>
      </c>
      <c r="E43" s="146">
        <v>-925</v>
      </c>
      <c r="F43" s="146">
        <f>-'Debt Schedule'!F16</f>
        <v>-946.76</v>
      </c>
      <c r="G43" s="146">
        <f>-'Debt Schedule'!G16</f>
        <v>-818.76</v>
      </c>
      <c r="H43" s="146">
        <f>-'Debt Schedule'!H16</f>
        <v>-690.76</v>
      </c>
      <c r="I43" s="146">
        <f>-'Debt Schedule'!I16</f>
        <v>-562.76</v>
      </c>
      <c r="J43" s="146">
        <f>-'Debt Schedule'!J16</f>
        <v>-434.76</v>
      </c>
    </row>
    <row r="44" spans="1:10" x14ac:dyDescent="0.35">
      <c r="B44" s="9" t="s">
        <v>9</v>
      </c>
      <c r="C44" s="146">
        <v>570</v>
      </c>
      <c r="D44" s="146">
        <v>668</v>
      </c>
      <c r="E44" s="146">
        <v>668</v>
      </c>
    </row>
    <row r="45" spans="1:10" s="2" customFormat="1" x14ac:dyDescent="0.35">
      <c r="B45" s="79" t="s">
        <v>101</v>
      </c>
      <c r="C45" s="150">
        <f>SUM(C42:C44)</f>
        <v>182</v>
      </c>
      <c r="D45" s="150">
        <f>SUM(D42:D44)</f>
        <v>219</v>
      </c>
      <c r="E45" s="150">
        <f>SUM(E42:E44)</f>
        <v>216</v>
      </c>
      <c r="F45" s="150">
        <f>SUM(F42:F43)</f>
        <v>-485.70733622325724</v>
      </c>
      <c r="G45" s="150">
        <f>SUM(G42:G43)</f>
        <v>-56.217003521393622</v>
      </c>
      <c r="H45" s="150">
        <f>SUM(H42:H43)</f>
        <v>436.27903838962698</v>
      </c>
      <c r="I45" s="150">
        <f>SUM(I42:I43)</f>
        <v>967.54990563365573</v>
      </c>
      <c r="J45" s="150">
        <f>SUM(J42:J43)</f>
        <v>1537.9381187399601</v>
      </c>
    </row>
    <row r="46" spans="1:10" x14ac:dyDescent="0.35"/>
    <row r="47" spans="1:10" x14ac:dyDescent="0.35"/>
    <row r="48" spans="1:10" x14ac:dyDescent="0.35"/>
    <row r="49" customFormat="1" x14ac:dyDescent="0.35"/>
    <row r="50" customFormat="1" x14ac:dyDescent="0.35"/>
  </sheetData>
  <mergeCells count="2">
    <mergeCell ref="C1:E1"/>
    <mergeCell ref="F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3"/>
  <sheetViews>
    <sheetView showGridLines="0" zoomScale="85" zoomScaleNormal="85" workbookViewId="0">
      <pane ySplit="2" topLeftCell="A20" activePane="bottomLeft" state="frozen"/>
      <selection pane="bottomLeft" activeCell="G27" sqref="G27"/>
    </sheetView>
  </sheetViews>
  <sheetFormatPr defaultColWidth="0" defaultRowHeight="14.5" zeroHeight="1" x14ac:dyDescent="0.35"/>
  <cols>
    <col min="1" max="1" width="5.7265625" customWidth="1"/>
    <col min="2" max="2" width="54.54296875" customWidth="1"/>
    <col min="3" max="3" width="0.453125" customWidth="1"/>
    <col min="4" max="10" width="12.54296875" style="259" customWidth="1"/>
    <col min="11" max="11" width="9.1796875" customWidth="1"/>
    <col min="12" max="16384" width="9.1796875" hidden="1"/>
  </cols>
  <sheetData>
    <row r="1" spans="1:10" ht="31.5" customHeight="1" x14ac:dyDescent="0.6">
      <c r="A1" s="316" t="str">
        <f>Index!A1</f>
        <v>P&amp;G Financial Modeling</v>
      </c>
      <c r="B1" s="316"/>
      <c r="C1" s="329" t="s">
        <v>18</v>
      </c>
      <c r="D1" s="329"/>
      <c r="E1" s="329"/>
      <c r="F1" s="329" t="s">
        <v>73</v>
      </c>
      <c r="G1" s="329"/>
      <c r="H1" s="329"/>
      <c r="I1" s="329"/>
      <c r="J1" s="329"/>
    </row>
    <row r="2" spans="1:10" x14ac:dyDescent="0.35">
      <c r="A2" s="317" t="s">
        <v>74</v>
      </c>
      <c r="B2" s="317"/>
      <c r="C2" s="318">
        <f>'Income Statement'!C2</f>
        <v>2022</v>
      </c>
      <c r="D2" s="318">
        <f>'Income Statement'!D2</f>
        <v>2023</v>
      </c>
      <c r="E2" s="318">
        <f t="shared" ref="E2:J2" si="0">D2+1</f>
        <v>2024</v>
      </c>
      <c r="F2" s="318">
        <f t="shared" si="0"/>
        <v>2025</v>
      </c>
      <c r="G2" s="318">
        <f t="shared" si="0"/>
        <v>2026</v>
      </c>
      <c r="H2" s="318">
        <f t="shared" si="0"/>
        <v>2027</v>
      </c>
      <c r="I2" s="318">
        <f t="shared" si="0"/>
        <v>2028</v>
      </c>
      <c r="J2" s="318">
        <f t="shared" si="0"/>
        <v>2029</v>
      </c>
    </row>
    <row r="3" spans="1:10" x14ac:dyDescent="0.35">
      <c r="A3">
        <v>2.1</v>
      </c>
      <c r="B3" s="74" t="s">
        <v>235</v>
      </c>
      <c r="C3" s="50"/>
      <c r="D3" s="50"/>
      <c r="E3" s="50"/>
      <c r="F3" s="50"/>
      <c r="G3" s="50"/>
      <c r="H3" s="50"/>
      <c r="I3" s="50"/>
      <c r="J3" s="50"/>
    </row>
    <row r="4" spans="1:10" x14ac:dyDescent="0.35">
      <c r="B4" s="75" t="s">
        <v>236</v>
      </c>
      <c r="C4" s="53"/>
      <c r="D4" s="53"/>
      <c r="E4" s="53"/>
      <c r="F4" s="53"/>
      <c r="G4" s="53"/>
      <c r="H4" s="53"/>
      <c r="I4" s="53"/>
      <c r="J4" s="53"/>
    </row>
    <row r="5" spans="1:10" x14ac:dyDescent="0.35">
      <c r="B5" s="9" t="s">
        <v>19</v>
      </c>
      <c r="C5" s="59"/>
      <c r="D5" s="59">
        <v>8246</v>
      </c>
      <c r="E5" s="59">
        <v>9482</v>
      </c>
      <c r="F5" s="60">
        <f>'Cash Flow'!F46</f>
        <v>16863.866501528155</v>
      </c>
      <c r="G5" s="60">
        <f>'Cash Flow'!G46</f>
        <v>26710.019011535063</v>
      </c>
      <c r="H5" s="60">
        <f>'Cash Flow'!H46</f>
        <v>37692.211753586467</v>
      </c>
      <c r="I5" s="60">
        <f>'Cash Flow'!I46</f>
        <v>49754.068568336705</v>
      </c>
      <c r="J5" s="60">
        <f>'Cash Flow'!J46</f>
        <v>62971.538216803863</v>
      </c>
    </row>
    <row r="6" spans="1:10" x14ac:dyDescent="0.35">
      <c r="B6" s="9" t="s">
        <v>20</v>
      </c>
      <c r="C6" s="59"/>
      <c r="D6" s="59">
        <v>5471</v>
      </c>
      <c r="E6" s="59">
        <v>6118</v>
      </c>
      <c r="F6" s="60">
        <f>'Working cap'!F6</f>
        <v>5658.1367671232874</v>
      </c>
      <c r="G6" s="60">
        <f>'Working cap'!G6</f>
        <v>5794.0790202739727</v>
      </c>
      <c r="H6" s="60">
        <f>'Working cap'!H6</f>
        <v>5933.8800222410946</v>
      </c>
      <c r="I6" s="60">
        <f>'Working cap'!I6</f>
        <v>6077.6822196774237</v>
      </c>
      <c r="J6" s="60">
        <f>'Working cap'!J6</f>
        <v>6225.6355504551721</v>
      </c>
    </row>
    <row r="7" spans="1:10" x14ac:dyDescent="0.35">
      <c r="B7" s="9" t="s">
        <v>21</v>
      </c>
      <c r="C7" s="59"/>
      <c r="D7" s="59">
        <v>7073</v>
      </c>
      <c r="E7" s="59">
        <v>7016</v>
      </c>
      <c r="F7" s="60">
        <f>'Working cap'!F7</f>
        <v>6365.4038630136993</v>
      </c>
      <c r="G7" s="60">
        <f>'Working cap'!G7</f>
        <v>6518.3388978082185</v>
      </c>
      <c r="H7" s="60">
        <f>'Working cap'!H7</f>
        <v>6675.6150250212313</v>
      </c>
      <c r="I7" s="60">
        <f>'Working cap'!I7</f>
        <v>6837.3924971371025</v>
      </c>
      <c r="J7" s="60">
        <f>'Working cap'!J7</f>
        <v>7003.8399942620699</v>
      </c>
    </row>
    <row r="8" spans="1:10" ht="15" thickBot="1" x14ac:dyDescent="0.4">
      <c r="B8" s="9" t="s">
        <v>23</v>
      </c>
      <c r="C8" s="89"/>
      <c r="D8" s="89">
        <v>1858</v>
      </c>
      <c r="E8" s="89">
        <v>2095</v>
      </c>
      <c r="F8" s="90">
        <f>'Working cap'!F8</f>
        <v>2581.5248999999999</v>
      </c>
      <c r="G8" s="90">
        <f>'Working cap'!G8</f>
        <v>2643.5485529999996</v>
      </c>
      <c r="H8" s="90">
        <f>'Working cap'!H8</f>
        <v>2707.3327601474994</v>
      </c>
      <c r="I8" s="90">
        <f>'Working cap'!I8</f>
        <v>2772.9425127278246</v>
      </c>
      <c r="J8" s="90">
        <f>'Working cap'!J8</f>
        <v>2840.4462198951724</v>
      </c>
    </row>
    <row r="9" spans="1:10" s="2" customFormat="1" x14ac:dyDescent="0.35">
      <c r="B9" s="80" t="s">
        <v>237</v>
      </c>
      <c r="C9" s="81">
        <f t="shared" ref="C9:J9" si="1">SUM(C5:C8)</f>
        <v>0</v>
      </c>
      <c r="D9" s="254">
        <f t="shared" si="1"/>
        <v>22648</v>
      </c>
      <c r="E9" s="254">
        <f t="shared" si="1"/>
        <v>24711</v>
      </c>
      <c r="F9" s="254">
        <f t="shared" si="1"/>
        <v>31468.932031665143</v>
      </c>
      <c r="G9" s="254">
        <f t="shared" si="1"/>
        <v>41665.985482617252</v>
      </c>
      <c r="H9" s="254">
        <f t="shared" si="1"/>
        <v>53009.039560996287</v>
      </c>
      <c r="I9" s="254">
        <f t="shared" si="1"/>
        <v>65442.085797879052</v>
      </c>
      <c r="J9" s="254">
        <f t="shared" si="1"/>
        <v>79041.459981416279</v>
      </c>
    </row>
    <row r="10" spans="1:10" s="2" customFormat="1" x14ac:dyDescent="0.35">
      <c r="B10" s="54"/>
      <c r="C10" s="61"/>
      <c r="D10" s="61"/>
      <c r="E10" s="61"/>
      <c r="F10" s="61"/>
      <c r="G10" s="61"/>
      <c r="H10" s="61"/>
      <c r="I10" s="61"/>
      <c r="J10" s="61"/>
    </row>
    <row r="11" spans="1:10" x14ac:dyDescent="0.35">
      <c r="B11" s="75" t="s">
        <v>24</v>
      </c>
      <c r="C11" s="58"/>
      <c r="D11" s="58"/>
      <c r="E11" s="58"/>
      <c r="F11" s="58"/>
      <c r="G11" s="58"/>
      <c r="H11" s="58"/>
      <c r="I11" s="58"/>
      <c r="J11" s="58"/>
    </row>
    <row r="12" spans="1:10" x14ac:dyDescent="0.35">
      <c r="B12" s="9" t="s">
        <v>260</v>
      </c>
      <c r="C12" s="59"/>
      <c r="D12" s="59">
        <v>40659</v>
      </c>
      <c r="E12" s="59">
        <v>40303</v>
      </c>
      <c r="F12" s="59">
        <v>40303</v>
      </c>
      <c r="G12" s="59">
        <v>40303</v>
      </c>
      <c r="H12" s="59">
        <v>40303</v>
      </c>
      <c r="I12" s="59">
        <v>40303</v>
      </c>
      <c r="J12" s="59">
        <v>40303</v>
      </c>
    </row>
    <row r="13" spans="1:10" x14ac:dyDescent="0.35">
      <c r="B13" s="9" t="s">
        <v>25</v>
      </c>
      <c r="C13" s="59"/>
      <c r="D13" s="59">
        <v>21909</v>
      </c>
      <c r="E13" s="59">
        <v>22152</v>
      </c>
      <c r="F13" s="60">
        <f>'Depreciation Schedule'!F11</f>
        <v>19929.377512280062</v>
      </c>
      <c r="G13" s="60">
        <f>'Depreciation Schedule'!G11</f>
        <v>17084.345469269865</v>
      </c>
      <c r="H13" s="60">
        <f>'Depreciation Schedule'!H11</f>
        <v>13575.119392294673</v>
      </c>
      <c r="I13" s="60">
        <f>'Depreciation Schedule'!I11</f>
        <v>9471.6368806689243</v>
      </c>
      <c r="J13" s="60">
        <f>'Depreciation Schedule'!J11</f>
        <v>4712.0226325003005</v>
      </c>
    </row>
    <row r="14" spans="1:10" x14ac:dyDescent="0.35">
      <c r="B14" s="9" t="s">
        <v>278</v>
      </c>
      <c r="C14" s="226"/>
      <c r="D14" s="59">
        <v>23783</v>
      </c>
      <c r="E14" s="59">
        <v>22047</v>
      </c>
      <c r="F14" s="59">
        <v>22047</v>
      </c>
      <c r="G14" s="59">
        <v>22047</v>
      </c>
      <c r="H14" s="59">
        <v>22047</v>
      </c>
      <c r="I14" s="59">
        <v>22047</v>
      </c>
      <c r="J14" s="59">
        <v>22047</v>
      </c>
    </row>
    <row r="15" spans="1:10" ht="15" thickBot="1" x14ac:dyDescent="0.4">
      <c r="B15" s="9" t="s">
        <v>26</v>
      </c>
      <c r="C15" s="89"/>
      <c r="D15" s="89">
        <v>11830</v>
      </c>
      <c r="E15" s="89">
        <v>13158</v>
      </c>
      <c r="F15" s="89">
        <v>13158</v>
      </c>
      <c r="G15" s="89">
        <v>13158</v>
      </c>
      <c r="H15" s="89">
        <v>13158</v>
      </c>
      <c r="I15" s="89">
        <v>13158</v>
      </c>
      <c r="J15" s="89">
        <v>13158</v>
      </c>
    </row>
    <row r="16" spans="1:10" s="2" customFormat="1" x14ac:dyDescent="0.35">
      <c r="B16" s="80" t="s">
        <v>240</v>
      </c>
      <c r="C16" s="92">
        <f>SUM(C12:C15)</f>
        <v>0</v>
      </c>
      <c r="D16" s="255">
        <f>SUM(D12:D15)</f>
        <v>98181</v>
      </c>
      <c r="E16" s="255">
        <f>SUM(E12:E15)</f>
        <v>97660</v>
      </c>
      <c r="F16" s="255">
        <f t="shared" ref="F16:J16" si="2">SUM(F12:F15)</f>
        <v>95437.377512280058</v>
      </c>
      <c r="G16" s="255">
        <f t="shared" si="2"/>
        <v>92592.345469269872</v>
      </c>
      <c r="H16" s="255">
        <f t="shared" si="2"/>
        <v>89083.11939229467</v>
      </c>
      <c r="I16" s="255">
        <f t="shared" si="2"/>
        <v>84979.636880668928</v>
      </c>
      <c r="J16" s="255">
        <f t="shared" si="2"/>
        <v>80220.022632500302</v>
      </c>
    </row>
    <row r="17" spans="1:10" s="2" customFormat="1" ht="15" thickBot="1" x14ac:dyDescent="0.4">
      <c r="B17" s="82" t="s">
        <v>238</v>
      </c>
      <c r="C17" s="91">
        <f t="shared" ref="C17:J17" si="3">C16+C9</f>
        <v>0</v>
      </c>
      <c r="D17" s="256">
        <f t="shared" si="3"/>
        <v>120829</v>
      </c>
      <c r="E17" s="256">
        <f t="shared" si="3"/>
        <v>122371</v>
      </c>
      <c r="F17" s="256">
        <f>F16+F9</f>
        <v>126906.3095439452</v>
      </c>
      <c r="G17" s="256">
        <f t="shared" si="3"/>
        <v>134258.33095188712</v>
      </c>
      <c r="H17" s="256">
        <f t="shared" si="3"/>
        <v>142092.15895329096</v>
      </c>
      <c r="I17" s="256">
        <f t="shared" si="3"/>
        <v>150421.72267854799</v>
      </c>
      <c r="J17" s="256">
        <f t="shared" si="3"/>
        <v>159261.48261391657</v>
      </c>
    </row>
    <row r="18" spans="1:10" ht="15" thickTop="1" x14ac:dyDescent="0.35">
      <c r="B18" s="55"/>
      <c r="C18" s="65"/>
      <c r="D18" s="65"/>
      <c r="E18" s="65"/>
      <c r="F18" s="65"/>
      <c r="G18" s="65"/>
      <c r="H18" s="65"/>
      <c r="I18" s="65"/>
      <c r="J18" s="65"/>
    </row>
    <row r="19" spans="1:10" x14ac:dyDescent="0.35">
      <c r="A19">
        <v>2.2000000000000002</v>
      </c>
      <c r="B19" s="74" t="s">
        <v>239</v>
      </c>
      <c r="C19" s="58"/>
      <c r="D19" s="58"/>
      <c r="E19" s="58"/>
      <c r="F19" s="58"/>
      <c r="G19" s="58"/>
      <c r="H19" s="58"/>
      <c r="I19" s="58"/>
      <c r="J19" s="58"/>
    </row>
    <row r="20" spans="1:10" x14ac:dyDescent="0.35">
      <c r="B20" s="75" t="s">
        <v>27</v>
      </c>
      <c r="C20" s="58"/>
      <c r="D20" s="58"/>
      <c r="E20" s="58"/>
      <c r="F20" s="58"/>
      <c r="G20" s="58"/>
      <c r="H20" s="58"/>
      <c r="I20" s="58"/>
      <c r="J20" s="58"/>
    </row>
    <row r="21" spans="1:10" x14ac:dyDescent="0.35">
      <c r="B21" s="9" t="s">
        <v>28</v>
      </c>
      <c r="C21" s="59"/>
      <c r="D21" s="59">
        <v>14598</v>
      </c>
      <c r="E21" s="59">
        <v>15364</v>
      </c>
      <c r="F21" s="60">
        <f>'Working cap'!F11</f>
        <v>13261.258047945206</v>
      </c>
      <c r="G21" s="60">
        <f>'Working cap'!G11</f>
        <v>13579.872703767123</v>
      </c>
      <c r="H21" s="60">
        <f>'Working cap'!H11</f>
        <v>13907.531302127567</v>
      </c>
      <c r="I21" s="60">
        <f>'Working cap'!I11</f>
        <v>14244.567702368964</v>
      </c>
      <c r="J21" s="60">
        <f>'Working cap'!J11</f>
        <v>14591.333321379312</v>
      </c>
    </row>
    <row r="22" spans="1:10" x14ac:dyDescent="0.35">
      <c r="B22" s="9" t="s">
        <v>29</v>
      </c>
      <c r="C22" s="59"/>
      <c r="D22" s="59">
        <v>10929</v>
      </c>
      <c r="E22" s="59">
        <v>11073</v>
      </c>
      <c r="F22" s="60">
        <f>'Working cap'!F12</f>
        <v>11401.734975000001</v>
      </c>
      <c r="G22" s="60">
        <f>'Working cap'!G12</f>
        <v>11675.672775749999</v>
      </c>
      <c r="H22" s="60">
        <f>'Working cap'!H12</f>
        <v>11957.386357318124</v>
      </c>
      <c r="I22" s="60">
        <f>'Working cap'!I12</f>
        <v>12247.162764547893</v>
      </c>
      <c r="J22" s="60">
        <f>'Working cap'!J12</f>
        <v>12545.304137870346</v>
      </c>
    </row>
    <row r="23" spans="1:10" hidden="1" x14ac:dyDescent="0.35">
      <c r="B23" s="9" t="s">
        <v>30</v>
      </c>
      <c r="C23" s="59"/>
      <c r="D23" s="247" t="s">
        <v>262</v>
      </c>
      <c r="E23" s="247" t="s">
        <v>262</v>
      </c>
      <c r="F23" s="59"/>
      <c r="G23" s="59"/>
      <c r="H23" s="59"/>
      <c r="I23" s="59"/>
      <c r="J23" s="59"/>
    </row>
    <row r="24" spans="1:10" hidden="1" x14ac:dyDescent="0.35">
      <c r="B24" s="9" t="s">
        <v>31</v>
      </c>
      <c r="C24" s="59"/>
      <c r="D24" s="247" t="s">
        <v>262</v>
      </c>
      <c r="E24" s="247" t="s">
        <v>262</v>
      </c>
      <c r="F24" s="59"/>
      <c r="G24" s="59"/>
      <c r="H24" s="59"/>
      <c r="I24" s="59"/>
      <c r="J24" s="59"/>
    </row>
    <row r="25" spans="1:10" ht="15" thickBot="1" x14ac:dyDescent="0.4">
      <c r="B25" s="9" t="s">
        <v>32</v>
      </c>
      <c r="C25" s="89"/>
      <c r="D25" s="89">
        <v>10229</v>
      </c>
      <c r="E25" s="89">
        <v>7191</v>
      </c>
      <c r="F25" s="89">
        <v>7191</v>
      </c>
      <c r="G25" s="89">
        <v>7191</v>
      </c>
      <c r="H25" s="89">
        <v>7191</v>
      </c>
      <c r="I25" s="89">
        <v>7191</v>
      </c>
      <c r="J25" s="89">
        <v>7191</v>
      </c>
    </row>
    <row r="26" spans="1:10" s="2" customFormat="1" x14ac:dyDescent="0.35">
      <c r="B26" s="80" t="s">
        <v>33</v>
      </c>
      <c r="C26" s="81">
        <f>SUM(C21:C25)</f>
        <v>0</v>
      </c>
      <c r="D26" s="254">
        <f>SUM(D21:D25)</f>
        <v>35756</v>
      </c>
      <c r="E26" s="254">
        <f>SUM(E21:E25)</f>
        <v>33628</v>
      </c>
      <c r="F26" s="254">
        <f t="shared" ref="F26:J26" si="4">SUM(F21:F25)</f>
        <v>31853.993022945207</v>
      </c>
      <c r="G26" s="254">
        <f t="shared" si="4"/>
        <v>32446.545479517124</v>
      </c>
      <c r="H26" s="254">
        <f t="shared" si="4"/>
        <v>33055.917659445695</v>
      </c>
      <c r="I26" s="254">
        <f t="shared" si="4"/>
        <v>33682.730466916859</v>
      </c>
      <c r="J26" s="254">
        <f t="shared" si="4"/>
        <v>34327.637459249658</v>
      </c>
    </row>
    <row r="27" spans="1:10" s="2" customFormat="1" x14ac:dyDescent="0.35">
      <c r="B27" s="54"/>
      <c r="C27" s="61"/>
      <c r="D27" s="61"/>
      <c r="E27" s="61"/>
      <c r="F27" s="61"/>
      <c r="G27" s="61" t="s">
        <v>284</v>
      </c>
      <c r="H27" s="61"/>
      <c r="I27" s="61"/>
      <c r="J27" s="61"/>
    </row>
    <row r="28" spans="1:10" x14ac:dyDescent="0.35">
      <c r="B28" s="75" t="s">
        <v>34</v>
      </c>
      <c r="C28" s="58"/>
      <c r="D28" s="58"/>
      <c r="E28" s="58"/>
      <c r="F28" s="58"/>
      <c r="G28" s="58"/>
      <c r="H28" s="58"/>
      <c r="I28" s="58"/>
      <c r="J28" s="58"/>
    </row>
    <row r="29" spans="1:10" x14ac:dyDescent="0.35">
      <c r="B29" s="9" t="s">
        <v>32</v>
      </c>
      <c r="C29" s="59"/>
      <c r="D29" s="59">
        <v>24378</v>
      </c>
      <c r="E29" s="59">
        <v>25269</v>
      </c>
      <c r="F29" s="60">
        <f>'Debt Schedule'!F13</f>
        <v>22069</v>
      </c>
      <c r="G29" s="60">
        <f>'Debt Schedule'!G13</f>
        <v>18869</v>
      </c>
      <c r="H29" s="60">
        <f>'Debt Schedule'!H13</f>
        <v>15669</v>
      </c>
      <c r="I29" s="60">
        <f>'Debt Schedule'!I13</f>
        <v>12469</v>
      </c>
      <c r="J29" s="60">
        <f>'Debt Schedule'!J13</f>
        <v>9269</v>
      </c>
    </row>
    <row r="30" spans="1:10" x14ac:dyDescent="0.35">
      <c r="B30" s="9" t="s">
        <v>261</v>
      </c>
      <c r="C30" s="226"/>
      <c r="D30" s="59">
        <v>6478</v>
      </c>
      <c r="E30" s="59">
        <v>6516</v>
      </c>
      <c r="F30" s="59">
        <v>6516</v>
      </c>
      <c r="G30" s="59">
        <v>6516</v>
      </c>
      <c r="H30" s="59">
        <v>6516</v>
      </c>
      <c r="I30" s="59">
        <v>6516</v>
      </c>
      <c r="J30" s="59">
        <v>6516</v>
      </c>
    </row>
    <row r="31" spans="1:10" ht="15" thickBot="1" x14ac:dyDescent="0.4">
      <c r="B31" s="9" t="s">
        <v>35</v>
      </c>
      <c r="C31" s="89"/>
      <c r="D31" s="89">
        <v>7152</v>
      </c>
      <c r="E31" s="89">
        <v>6398</v>
      </c>
      <c r="F31" s="89">
        <v>6398</v>
      </c>
      <c r="G31" s="89">
        <v>6398</v>
      </c>
      <c r="H31" s="89">
        <v>6398</v>
      </c>
      <c r="I31" s="89">
        <v>6398</v>
      </c>
      <c r="J31" s="89">
        <v>6398</v>
      </c>
    </row>
    <row r="32" spans="1:10" s="2" customFormat="1" x14ac:dyDescent="0.35">
      <c r="B32" s="80" t="s">
        <v>36</v>
      </c>
      <c r="C32" s="81">
        <f>SUM(C29:C31)</f>
        <v>0</v>
      </c>
      <c r="D32" s="254">
        <f>SUM(D29:D31)</f>
        <v>38008</v>
      </c>
      <c r="E32" s="254">
        <f>SUM(E29:E31)</f>
        <v>38183</v>
      </c>
      <c r="F32" s="254">
        <f t="shared" ref="F32:J32" si="5">SUM(F29:F31)</f>
        <v>34983</v>
      </c>
      <c r="G32" s="254">
        <f t="shared" si="5"/>
        <v>31783</v>
      </c>
      <c r="H32" s="254">
        <f t="shared" si="5"/>
        <v>28583</v>
      </c>
      <c r="I32" s="254">
        <f t="shared" si="5"/>
        <v>25383</v>
      </c>
      <c r="J32" s="254">
        <f t="shared" si="5"/>
        <v>22183</v>
      </c>
    </row>
    <row r="33" spans="1:10" s="2" customFormat="1" x14ac:dyDescent="0.35">
      <c r="B33" s="82" t="s">
        <v>37</v>
      </c>
      <c r="C33" s="83">
        <f t="shared" ref="C33:J33" si="6">C32+C26</f>
        <v>0</v>
      </c>
      <c r="D33" s="257">
        <f t="shared" si="6"/>
        <v>73764</v>
      </c>
      <c r="E33" s="257">
        <f t="shared" si="6"/>
        <v>71811</v>
      </c>
      <c r="F33" s="257">
        <f t="shared" si="6"/>
        <v>66836.993022945215</v>
      </c>
      <c r="G33" s="257">
        <f t="shared" si="6"/>
        <v>64229.545479517124</v>
      </c>
      <c r="H33" s="257">
        <f t="shared" si="6"/>
        <v>61638.917659445695</v>
      </c>
      <c r="I33" s="257">
        <f t="shared" si="6"/>
        <v>59065.730466916859</v>
      </c>
      <c r="J33" s="257">
        <f t="shared" si="6"/>
        <v>56510.637459249658</v>
      </c>
    </row>
    <row r="34" spans="1:10" x14ac:dyDescent="0.35">
      <c r="B34" s="55"/>
      <c r="C34" s="58"/>
      <c r="D34" s="58"/>
      <c r="E34" s="58"/>
      <c r="F34" s="58"/>
      <c r="G34" s="58"/>
      <c r="H34" s="58"/>
      <c r="I34" s="58"/>
      <c r="J34" s="58"/>
    </row>
    <row r="35" spans="1:10" x14ac:dyDescent="0.35">
      <c r="A35">
        <v>2.2999999999999998</v>
      </c>
      <c r="B35" s="75" t="s">
        <v>38</v>
      </c>
      <c r="C35" s="58"/>
      <c r="D35" s="58"/>
      <c r="E35" s="58"/>
      <c r="F35" s="58"/>
      <c r="G35" s="58"/>
      <c r="H35" s="58"/>
      <c r="I35" s="58"/>
      <c r="J35" s="58"/>
    </row>
    <row r="36" spans="1:10" x14ac:dyDescent="0.35">
      <c r="B36" s="9" t="s">
        <v>43</v>
      </c>
      <c r="C36" s="59"/>
      <c r="D36" s="252"/>
      <c r="E36" s="252"/>
      <c r="F36" s="252"/>
      <c r="G36" s="252"/>
      <c r="H36" s="252"/>
      <c r="I36" s="252"/>
      <c r="J36" s="252"/>
    </row>
    <row r="37" spans="1:10" x14ac:dyDescent="0.35">
      <c r="B37" s="9" t="s">
        <v>39</v>
      </c>
      <c r="C37" s="179"/>
      <c r="D37" s="179">
        <v>47065</v>
      </c>
      <c r="E37" s="179">
        <v>50560</v>
      </c>
      <c r="F37" s="288">
        <v>60069.316520999986</v>
      </c>
      <c r="G37" s="288">
        <v>70028.78547237</v>
      </c>
      <c r="H37" s="288">
        <v>80453.241293845262</v>
      </c>
      <c r="I37" s="288">
        <v>91355.992211631121</v>
      </c>
      <c r="J37" s="288">
        <v>102750.84515466691</v>
      </c>
    </row>
    <row r="38" spans="1:10" ht="15" thickBot="1" x14ac:dyDescent="0.4">
      <c r="B38" s="9" t="s">
        <v>40</v>
      </c>
      <c r="C38" s="89"/>
      <c r="D38" s="253"/>
      <c r="E38" s="253"/>
      <c r="F38" s="253"/>
      <c r="G38" s="253"/>
      <c r="H38" s="253"/>
      <c r="I38" s="253"/>
      <c r="J38" s="253"/>
    </row>
    <row r="39" spans="1:10" s="2" customFormat="1" x14ac:dyDescent="0.35">
      <c r="B39" s="80" t="s">
        <v>41</v>
      </c>
      <c r="C39" s="81">
        <f>SUM(C36:C38)</f>
        <v>0</v>
      </c>
      <c r="D39" s="81">
        <f t="shared" ref="D39:J39" si="7">SUM(D36:D38)</f>
        <v>47065</v>
      </c>
      <c r="E39" s="81">
        <f t="shared" si="7"/>
        <v>50560</v>
      </c>
      <c r="F39" s="81">
        <f t="shared" si="7"/>
        <v>60069.316520999986</v>
      </c>
      <c r="G39" s="81">
        <f t="shared" si="7"/>
        <v>70028.78547237</v>
      </c>
      <c r="H39" s="81">
        <f t="shared" si="7"/>
        <v>80453.241293845262</v>
      </c>
      <c r="I39" s="81">
        <f t="shared" si="7"/>
        <v>91355.992211631121</v>
      </c>
      <c r="J39" s="81">
        <f t="shared" si="7"/>
        <v>102750.84515466691</v>
      </c>
    </row>
    <row r="40" spans="1:10" s="2" customFormat="1" x14ac:dyDescent="0.35">
      <c r="B40" s="57"/>
      <c r="C40" s="66"/>
      <c r="D40" s="258"/>
      <c r="E40" s="258"/>
      <c r="F40" s="258"/>
      <c r="G40" s="258"/>
      <c r="H40" s="258"/>
      <c r="I40" s="258"/>
      <c r="J40" s="258"/>
    </row>
    <row r="41" spans="1:10" s="2" customFormat="1" ht="15" thickBot="1" x14ac:dyDescent="0.4">
      <c r="B41" s="84" t="s">
        <v>42</v>
      </c>
      <c r="C41" s="91">
        <f t="shared" ref="C41:J41" si="8">C39+C33</f>
        <v>0</v>
      </c>
      <c r="D41" s="256">
        <f t="shared" si="8"/>
        <v>120829</v>
      </c>
      <c r="E41" s="256">
        <f t="shared" si="8"/>
        <v>122371</v>
      </c>
      <c r="F41" s="256">
        <f t="shared" si="8"/>
        <v>126906.3095439452</v>
      </c>
      <c r="G41" s="256">
        <f t="shared" si="8"/>
        <v>134258.33095188712</v>
      </c>
      <c r="H41" s="256">
        <f t="shared" si="8"/>
        <v>142092.15895329096</v>
      </c>
      <c r="I41" s="256">
        <f t="shared" si="8"/>
        <v>150421.72267854799</v>
      </c>
      <c r="J41" s="256">
        <f t="shared" si="8"/>
        <v>159261.48261391657</v>
      </c>
    </row>
    <row r="42" spans="1:10" ht="15" thickTop="1" x14ac:dyDescent="0.35">
      <c r="C42" s="62"/>
    </row>
    <row r="43" spans="1:10" x14ac:dyDescent="0.35">
      <c r="B43" s="63" t="s">
        <v>234</v>
      </c>
      <c r="C43" s="64">
        <f t="shared" ref="C43:J43" si="9">C17-C41</f>
        <v>0</v>
      </c>
      <c r="D43" s="260">
        <f t="shared" si="9"/>
        <v>0</v>
      </c>
      <c r="E43" s="260">
        <f t="shared" si="9"/>
        <v>0</v>
      </c>
      <c r="F43" s="260">
        <f t="shared" si="9"/>
        <v>0</v>
      </c>
      <c r="G43" s="260">
        <f t="shared" si="9"/>
        <v>0</v>
      </c>
      <c r="H43" s="260">
        <f t="shared" si="9"/>
        <v>0</v>
      </c>
      <c r="I43" s="260">
        <f t="shared" si="9"/>
        <v>0</v>
      </c>
      <c r="J43" s="260">
        <f t="shared" si="9"/>
        <v>0</v>
      </c>
    </row>
  </sheetData>
  <mergeCells count="2">
    <mergeCell ref="F1:J1"/>
    <mergeCell ref="C1:E1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7"/>
  <sheetViews>
    <sheetView showGridLines="0" zoomScale="85" zoomScaleNormal="85" workbookViewId="0">
      <pane ySplit="2" topLeftCell="A3" activePane="bottomLeft" state="frozen"/>
      <selection pane="bottomLeft" activeCell="B14" sqref="B14"/>
    </sheetView>
  </sheetViews>
  <sheetFormatPr defaultColWidth="0" defaultRowHeight="14.5" zeroHeight="1" x14ac:dyDescent="0.35"/>
  <cols>
    <col min="1" max="1" width="5.54296875" customWidth="1"/>
    <col min="2" max="2" width="80.81640625" bestFit="1" customWidth="1"/>
    <col min="3" max="10" width="12.54296875" customWidth="1"/>
    <col min="11" max="11" width="9.1796875" customWidth="1"/>
    <col min="12" max="16384" width="9.1796875" hidden="1"/>
  </cols>
  <sheetData>
    <row r="1" spans="1:10" ht="31.5" customHeight="1" x14ac:dyDescent="0.6">
      <c r="A1" s="316" t="str">
        <f>Index!A1</f>
        <v>P&amp;G Financial Modeling</v>
      </c>
      <c r="B1" s="316"/>
      <c r="C1" s="329" t="s">
        <v>18</v>
      </c>
      <c r="D1" s="329"/>
      <c r="E1" s="329"/>
      <c r="F1" s="329" t="s">
        <v>73</v>
      </c>
      <c r="G1" s="329"/>
      <c r="H1" s="329"/>
      <c r="I1" s="329"/>
      <c r="J1" s="329"/>
    </row>
    <row r="2" spans="1:10" x14ac:dyDescent="0.35">
      <c r="A2" s="317" t="s">
        <v>74</v>
      </c>
      <c r="B2" s="317"/>
      <c r="C2" s="318">
        <v>2022</v>
      </c>
      <c r="D2" s="318">
        <f t="shared" ref="D2:J2" si="0">C2+1</f>
        <v>2023</v>
      </c>
      <c r="E2" s="318">
        <f t="shared" si="0"/>
        <v>2024</v>
      </c>
      <c r="F2" s="318">
        <f t="shared" si="0"/>
        <v>2025</v>
      </c>
      <c r="G2" s="318">
        <f t="shared" si="0"/>
        <v>2026</v>
      </c>
      <c r="H2" s="318">
        <f t="shared" si="0"/>
        <v>2027</v>
      </c>
      <c r="I2" s="318">
        <f t="shared" si="0"/>
        <v>2028</v>
      </c>
      <c r="J2" s="318">
        <f t="shared" si="0"/>
        <v>2029</v>
      </c>
    </row>
    <row r="3" spans="1:10" x14ac:dyDescent="0.35">
      <c r="A3" s="317"/>
      <c r="B3" s="317" t="s">
        <v>264</v>
      </c>
      <c r="C3" s="318"/>
      <c r="D3" s="318"/>
      <c r="E3" s="318"/>
      <c r="F3" s="318"/>
      <c r="G3" s="318"/>
      <c r="H3" s="318"/>
      <c r="I3" s="318"/>
      <c r="J3" s="318"/>
    </row>
    <row r="4" spans="1:10" x14ac:dyDescent="0.35">
      <c r="A4">
        <v>3.1</v>
      </c>
      <c r="B4" s="76" t="s">
        <v>241</v>
      </c>
    </row>
    <row r="5" spans="1:10" x14ac:dyDescent="0.35">
      <c r="B5" s="9" t="s">
        <v>12</v>
      </c>
      <c r="C5" s="261">
        <f>'Income Statement'!C26</f>
        <v>14793</v>
      </c>
      <c r="D5" s="261">
        <f>'Income Statement'!D26</f>
        <v>14738</v>
      </c>
      <c r="E5" s="261">
        <f>'Income Statement'!E26</f>
        <v>14975</v>
      </c>
      <c r="F5" s="262">
        <f>'Income Statement'!F26</f>
        <v>18819.316521000001</v>
      </c>
      <c r="G5" s="262">
        <f>'Income Statement'!G26</f>
        <v>19271.468951369996</v>
      </c>
      <c r="H5" s="262">
        <f>'Income Statement'!H26</f>
        <v>19736.455821475269</v>
      </c>
      <c r="I5" s="262">
        <f>'Income Statement'!I26</f>
        <v>20214.750917785837</v>
      </c>
      <c r="J5" s="262">
        <f>'Income Statement'!J26</f>
        <v>20706.852943035803</v>
      </c>
    </row>
    <row r="6" spans="1:10" ht="14.25" customHeight="1" x14ac:dyDescent="0.35">
      <c r="B6" s="46" t="s">
        <v>244</v>
      </c>
      <c r="C6" s="261"/>
      <c r="D6" s="261"/>
      <c r="E6" s="261"/>
      <c r="F6" s="262"/>
      <c r="G6" s="262"/>
      <c r="H6" s="262"/>
      <c r="I6" s="262"/>
      <c r="J6" s="262"/>
    </row>
    <row r="7" spans="1:10" x14ac:dyDescent="0.35">
      <c r="B7" s="9" t="s">
        <v>58</v>
      </c>
      <c r="C7" s="264">
        <v>2807</v>
      </c>
      <c r="D7" s="264">
        <v>2714</v>
      </c>
      <c r="E7" s="264">
        <v>2896</v>
      </c>
      <c r="F7" s="281">
        <f>'Income Statement'!F38</f>
        <v>6357.8306543866056</v>
      </c>
      <c r="G7" s="281">
        <f>'Income Statement'!G38</f>
        <v>7064.5018535657528</v>
      </c>
      <c r="H7" s="281">
        <f>'Income Statement'!H38</f>
        <v>7788.188084628433</v>
      </c>
      <c r="I7" s="281">
        <f>'Income Statement'!I38</f>
        <v>8529.3743538264443</v>
      </c>
      <c r="J7" s="281">
        <f>'Income Statement'!J38</f>
        <v>9288.5637093107835</v>
      </c>
    </row>
    <row r="8" spans="1:10" x14ac:dyDescent="0.35">
      <c r="B8" s="9" t="s">
        <v>59</v>
      </c>
      <c r="C8" s="264">
        <v>528</v>
      </c>
      <c r="D8" s="264">
        <v>545</v>
      </c>
      <c r="E8" s="264">
        <v>562</v>
      </c>
      <c r="F8" s="281"/>
      <c r="G8" s="281"/>
      <c r="H8" s="281"/>
      <c r="I8" s="281"/>
      <c r="J8" s="281"/>
    </row>
    <row r="9" spans="1:10" x14ac:dyDescent="0.35">
      <c r="B9" s="9" t="s">
        <v>60</v>
      </c>
      <c r="C9" s="264">
        <v>-402</v>
      </c>
      <c r="D9" s="264">
        <v>-453</v>
      </c>
      <c r="E9" s="264">
        <v>-244</v>
      </c>
      <c r="F9" s="281"/>
      <c r="G9" s="281"/>
      <c r="H9" s="281"/>
      <c r="I9" s="281"/>
      <c r="J9" s="281"/>
    </row>
    <row r="10" spans="1:10" x14ac:dyDescent="0.35">
      <c r="B10" s="9" t="s">
        <v>265</v>
      </c>
      <c r="C10" s="264">
        <v>-85</v>
      </c>
      <c r="D10" s="264">
        <v>-40</v>
      </c>
      <c r="E10" s="264">
        <v>-215</v>
      </c>
      <c r="F10" s="281"/>
      <c r="G10" s="281"/>
      <c r="H10" s="281"/>
      <c r="I10" s="281"/>
      <c r="J10" s="281"/>
    </row>
    <row r="11" spans="1:10" x14ac:dyDescent="0.35">
      <c r="B11" t="s">
        <v>266</v>
      </c>
      <c r="C11" s="264"/>
      <c r="D11" s="264"/>
      <c r="E11" s="1">
        <v>1341</v>
      </c>
      <c r="F11" s="281"/>
      <c r="G11" s="281"/>
      <c r="H11" s="281"/>
      <c r="I11" s="281"/>
      <c r="J11" s="281"/>
    </row>
    <row r="12" spans="1:10" x14ac:dyDescent="0.35">
      <c r="B12" s="46" t="s">
        <v>62</v>
      </c>
      <c r="C12" s="264"/>
      <c r="D12" s="264"/>
      <c r="E12" s="264"/>
      <c r="F12" s="281"/>
      <c r="G12" s="281"/>
      <c r="H12" s="281"/>
      <c r="I12" s="281"/>
      <c r="J12" s="281"/>
    </row>
    <row r="13" spans="1:10" x14ac:dyDescent="0.35">
      <c r="B13" s="9" t="s">
        <v>20</v>
      </c>
      <c r="C13" s="264">
        <v>-694</v>
      </c>
      <c r="D13" s="264">
        <v>-307</v>
      </c>
      <c r="E13" s="264">
        <v>-766</v>
      </c>
      <c r="F13" s="281">
        <f>'Balance Sheet'!E6-'Balance Sheet'!F6</f>
        <v>459.86323287671257</v>
      </c>
      <c r="G13" s="281">
        <f>'Balance Sheet'!F6-'Balance Sheet'!G6</f>
        <v>-135.94225315068525</v>
      </c>
      <c r="H13" s="281">
        <f>'Balance Sheet'!G6-'Balance Sheet'!H6</f>
        <v>-139.80100196712192</v>
      </c>
      <c r="I13" s="281">
        <f>'Balance Sheet'!H6-'Balance Sheet'!I6</f>
        <v>-143.80219743632915</v>
      </c>
      <c r="J13" s="281">
        <f>'Balance Sheet'!I6-'Balance Sheet'!J6</f>
        <v>-147.95333077774831</v>
      </c>
    </row>
    <row r="14" spans="1:10" x14ac:dyDescent="0.35">
      <c r="B14" s="9" t="s">
        <v>21</v>
      </c>
      <c r="C14" s="264">
        <v>-1247</v>
      </c>
      <c r="D14" s="264">
        <v>-119</v>
      </c>
      <c r="E14" s="264">
        <v>-70</v>
      </c>
      <c r="F14" s="281">
        <f>'Balance Sheet'!E7-'Balance Sheet'!F7</f>
        <v>650.59613698630073</v>
      </c>
      <c r="G14" s="281">
        <f>'Balance Sheet'!F7-'Balance Sheet'!G7</f>
        <v>-152.9350347945192</v>
      </c>
      <c r="H14" s="281">
        <f>'Balance Sheet'!G7-'Balance Sheet'!H7</f>
        <v>-157.27612721301284</v>
      </c>
      <c r="I14" s="281">
        <f>'Balance Sheet'!H7-'Balance Sheet'!I7</f>
        <v>-161.77747211587121</v>
      </c>
      <c r="J14" s="281">
        <f>'Balance Sheet'!I7-'Balance Sheet'!J7</f>
        <v>-166.44749712496741</v>
      </c>
    </row>
    <row r="15" spans="1:10" x14ac:dyDescent="0.35">
      <c r="B15" s="9" t="s">
        <v>63</v>
      </c>
      <c r="C15" s="264"/>
      <c r="D15" s="264"/>
      <c r="E15" s="264"/>
      <c r="F15" s="281">
        <f>('Balance Sheet'!E8+'Balance Sheet'!E15)-('Balance Sheet'!F8+'Balance Sheet'!F15)</f>
        <v>-486.52490000000034</v>
      </c>
      <c r="G15" s="281">
        <f>('Balance Sheet'!F8+'Balance Sheet'!F15)-('Balance Sheet'!G8+'Balance Sheet'!G15)</f>
        <v>-62.023653000000195</v>
      </c>
      <c r="H15" s="281">
        <f>('Balance Sheet'!G8+'Balance Sheet'!G15)-('Balance Sheet'!H8+'Balance Sheet'!H15)</f>
        <v>-63.784207147498819</v>
      </c>
      <c r="I15" s="281">
        <f>('Balance Sheet'!H8+'Balance Sheet'!H15)-('Balance Sheet'!I8+'Balance Sheet'!I15)</f>
        <v>-65.609752580325221</v>
      </c>
      <c r="J15" s="281">
        <f>('Balance Sheet'!I8+'Balance Sheet'!I15)-('Balance Sheet'!J8+'Balance Sheet'!J15)</f>
        <v>-67.503707167348693</v>
      </c>
    </row>
    <row r="16" spans="1:10" x14ac:dyDescent="0.35">
      <c r="B16" s="9" t="s">
        <v>28</v>
      </c>
      <c r="C16" s="264">
        <v>1429</v>
      </c>
      <c r="D16" s="264">
        <v>313</v>
      </c>
      <c r="E16" s="264">
        <v>1814</v>
      </c>
      <c r="F16" s="281">
        <f>'Balance Sheet'!F21-'Balance Sheet'!E21</f>
        <v>-2102.7419520547937</v>
      </c>
      <c r="G16" s="281">
        <f>'Balance Sheet'!G21-'Balance Sheet'!F21</f>
        <v>318.61465582191704</v>
      </c>
      <c r="H16" s="281">
        <f>'Balance Sheet'!H21-'Balance Sheet'!G21</f>
        <v>327.65859836044365</v>
      </c>
      <c r="I16" s="281">
        <f>'Balance Sheet'!I21-'Balance Sheet'!H21</f>
        <v>337.03640024139713</v>
      </c>
      <c r="J16" s="281">
        <f>'Balance Sheet'!J21-'Balance Sheet'!I21</f>
        <v>346.76561901034802</v>
      </c>
    </row>
    <row r="17" spans="1:15" x14ac:dyDescent="0.35">
      <c r="B17" s="9" t="s">
        <v>277</v>
      </c>
      <c r="C17" s="264">
        <v>-635</v>
      </c>
      <c r="D17" s="264">
        <v>-1107</v>
      </c>
      <c r="E17" s="264">
        <v>-1414</v>
      </c>
    </row>
    <row r="18" spans="1:15" x14ac:dyDescent="0.35">
      <c r="B18" s="9" t="s">
        <v>64</v>
      </c>
      <c r="C18" s="264">
        <v>229</v>
      </c>
      <c r="D18" s="264">
        <v>564</v>
      </c>
      <c r="E18" s="264">
        <v>969</v>
      </c>
      <c r="F18" s="281">
        <f>('Balance Sheet'!F22+'Balance Sheet'!F31)-('Balance Sheet'!E22+'Balance Sheet'!E31)</f>
        <v>328.73497499999939</v>
      </c>
      <c r="G18" s="281">
        <f>('Balance Sheet'!G22+'Balance Sheet'!G31)-('Balance Sheet'!F22+'Balance Sheet'!F31)</f>
        <v>273.93780074999813</v>
      </c>
      <c r="H18" s="281">
        <f>('Balance Sheet'!H22+'Balance Sheet'!H31)-('Balance Sheet'!G22+'Balance Sheet'!G31)</f>
        <v>281.71358156812494</v>
      </c>
      <c r="I18" s="281">
        <f>('Balance Sheet'!I22+'Balance Sheet'!I31)-('Balance Sheet'!H22+'Balance Sheet'!H31)</f>
        <v>289.7764072297723</v>
      </c>
      <c r="J18" s="281">
        <f>('Balance Sheet'!J22+'Balance Sheet'!J31)-('Balance Sheet'!I22+'Balance Sheet'!I31)</f>
        <v>298.14137332245082</v>
      </c>
    </row>
    <row r="19" spans="1:15" ht="15" thickBot="1" x14ac:dyDescent="0.4">
      <c r="B19" s="9" t="s">
        <v>111</v>
      </c>
      <c r="C19" s="263"/>
      <c r="D19" s="263"/>
      <c r="E19" s="263"/>
      <c r="F19" s="263"/>
      <c r="G19" s="263"/>
      <c r="H19" s="263"/>
      <c r="I19" s="263"/>
      <c r="J19" s="263"/>
    </row>
    <row r="20" spans="1:15" s="2" customFormat="1" x14ac:dyDescent="0.35">
      <c r="B20" s="84" t="s">
        <v>65</v>
      </c>
      <c r="C20" s="249">
        <f t="shared" ref="C20:J20" si="1">SUM(C5:C18)</f>
        <v>16723</v>
      </c>
      <c r="D20" s="249">
        <f t="shared" si="1"/>
        <v>16848</v>
      </c>
      <c r="E20" s="249">
        <f t="shared" si="1"/>
        <v>19848</v>
      </c>
      <c r="F20" s="249">
        <f t="shared" si="1"/>
        <v>24027.074668194822</v>
      </c>
      <c r="G20" s="249">
        <f t="shared" si="1"/>
        <v>26577.622320562463</v>
      </c>
      <c r="H20" s="249">
        <f t="shared" si="1"/>
        <v>27773.154749704641</v>
      </c>
      <c r="I20" s="249">
        <f t="shared" si="1"/>
        <v>28999.748656950927</v>
      </c>
      <c r="J20" s="249">
        <f t="shared" si="1"/>
        <v>30258.41910960932</v>
      </c>
    </row>
    <row r="21" spans="1:15" s="2" customFormat="1" x14ac:dyDescent="0.35">
      <c r="B21" s="54"/>
      <c r="C21" s="156"/>
      <c r="D21" s="156"/>
      <c r="E21" s="156"/>
      <c r="F21" s="156"/>
      <c r="G21" s="156"/>
      <c r="H21" s="156"/>
      <c r="I21" s="156"/>
      <c r="J21" s="156"/>
    </row>
    <row r="22" spans="1:15" x14ac:dyDescent="0.35">
      <c r="A22">
        <v>3.2</v>
      </c>
      <c r="B22" s="76" t="s">
        <v>242</v>
      </c>
      <c r="C22" s="157"/>
      <c r="D22" s="157"/>
      <c r="E22" s="157"/>
      <c r="F22" s="157"/>
      <c r="G22" s="157"/>
      <c r="H22" s="157"/>
      <c r="I22" s="157"/>
      <c r="J22" s="157"/>
    </row>
    <row r="23" spans="1:15" x14ac:dyDescent="0.35">
      <c r="B23" s="9" t="s">
        <v>267</v>
      </c>
      <c r="C23" s="264">
        <v>-3156</v>
      </c>
      <c r="D23" s="264">
        <v>-3062</v>
      </c>
      <c r="E23" s="264">
        <v>-3322</v>
      </c>
      <c r="F23" s="265">
        <f>-'Depreciation Schedule'!F8</f>
        <v>-4302.5415000000003</v>
      </c>
      <c r="G23" s="265">
        <f>-'Depreciation Schedule'!G8</f>
        <v>-4405.9142549999997</v>
      </c>
      <c r="H23" s="265">
        <f>-'Depreciation Schedule'!H8</f>
        <v>-4512.2212669124992</v>
      </c>
      <c r="I23" s="265">
        <f>-'Depreciation Schedule'!I8</f>
        <v>-4621.570854546374</v>
      </c>
      <c r="J23" s="265">
        <f>-'Depreciation Schedule'!J8</f>
        <v>-4734.0770331586209</v>
      </c>
    </row>
    <row r="24" spans="1:15" x14ac:dyDescent="0.35">
      <c r="B24" s="9" t="s">
        <v>268</v>
      </c>
      <c r="C24" s="264">
        <v>110</v>
      </c>
      <c r="D24" s="264">
        <v>46</v>
      </c>
      <c r="E24" s="264">
        <v>346</v>
      </c>
      <c r="F24" s="265">
        <f>'Depreciation Schedule'!F10</f>
        <v>167.33333333333334</v>
      </c>
      <c r="G24" s="265">
        <f>'Depreciation Schedule'!G10</f>
        <v>186.44444444444446</v>
      </c>
      <c r="H24" s="265">
        <f>'Depreciation Schedule'!H10</f>
        <v>233.25925925925927</v>
      </c>
      <c r="I24" s="265">
        <f>'Depreciation Schedule'!I10</f>
        <v>195.67901234567901</v>
      </c>
      <c r="J24" s="265">
        <f>'Depreciation Schedule'!J10</f>
        <v>205.1275720164609</v>
      </c>
    </row>
    <row r="25" spans="1:15" x14ac:dyDescent="0.35">
      <c r="B25" s="9" t="s">
        <v>270</v>
      </c>
      <c r="C25" s="264">
        <v>3</v>
      </c>
      <c r="D25" s="264">
        <v>281</v>
      </c>
      <c r="E25" s="264">
        <v>-507</v>
      </c>
      <c r="F25" s="265"/>
      <c r="G25" s="265"/>
      <c r="H25" s="265"/>
      <c r="I25" s="265"/>
      <c r="J25" s="265"/>
      <c r="K25" s="154"/>
      <c r="L25" s="154"/>
      <c r="M25" s="154"/>
      <c r="N25" s="154"/>
      <c r="O25" s="154"/>
    </row>
    <row r="26" spans="1:15" x14ac:dyDescent="0.35">
      <c r="B26" s="9" t="s">
        <v>269</v>
      </c>
      <c r="C26" s="264">
        <v>-1381</v>
      </c>
      <c r="D26" s="264">
        <v>-765</v>
      </c>
      <c r="E26" s="264">
        <v>-21</v>
      </c>
      <c r="F26" s="265"/>
      <c r="G26" s="265"/>
      <c r="H26" s="265"/>
      <c r="I26" s="265"/>
      <c r="J26" s="265"/>
    </row>
    <row r="27" spans="1:15" ht="14.25" hidden="1" customHeight="1" x14ac:dyDescent="0.35">
      <c r="B27" s="9" t="s">
        <v>66</v>
      </c>
      <c r="C27" s="153"/>
      <c r="D27" s="153"/>
      <c r="E27" s="153"/>
      <c r="F27" s="154"/>
      <c r="G27" s="154"/>
      <c r="H27" s="154"/>
      <c r="I27" s="154"/>
      <c r="J27" s="154"/>
    </row>
    <row r="28" spans="1:15" hidden="1" x14ac:dyDescent="0.35">
      <c r="B28" s="9" t="s">
        <v>67</v>
      </c>
      <c r="C28" s="153"/>
      <c r="D28" s="153"/>
      <c r="E28" s="153"/>
      <c r="F28" s="154"/>
      <c r="G28" s="154"/>
      <c r="H28" s="154"/>
      <c r="I28" s="154"/>
      <c r="J28" s="154"/>
    </row>
    <row r="29" spans="1:15" hidden="1" x14ac:dyDescent="0.35">
      <c r="B29" s="9" t="s">
        <v>68</v>
      </c>
      <c r="C29" s="153"/>
      <c r="D29" s="153"/>
      <c r="E29" s="153"/>
      <c r="F29" s="154"/>
      <c r="G29" s="154"/>
      <c r="H29" s="154"/>
      <c r="I29" s="154"/>
      <c r="J29" s="154"/>
    </row>
    <row r="30" spans="1:15" ht="15" hidden="1" thickBot="1" x14ac:dyDescent="0.4">
      <c r="B30" s="9" t="s">
        <v>61</v>
      </c>
      <c r="C30" s="158"/>
      <c r="D30" s="158"/>
      <c r="E30" s="158"/>
      <c r="F30" s="155"/>
      <c r="G30" s="155"/>
      <c r="H30" s="155"/>
      <c r="I30" s="155"/>
      <c r="J30" s="155"/>
    </row>
    <row r="31" spans="1:15" s="2" customFormat="1" x14ac:dyDescent="0.35">
      <c r="B31" s="84" t="s">
        <v>69</v>
      </c>
      <c r="C31" s="248">
        <f>SUM(C23:C30)</f>
        <v>-4424</v>
      </c>
      <c r="D31" s="248">
        <f>SUM(D23:D30)</f>
        <v>-3500</v>
      </c>
      <c r="E31" s="248">
        <f>SUM(E23:E30)</f>
        <v>-3504</v>
      </c>
      <c r="F31" s="248">
        <f>SUM(F23:F26)</f>
        <v>-4135.2081666666672</v>
      </c>
      <c r="G31" s="248">
        <f t="shared" ref="G31:J31" si="2">SUM(G23:G26)</f>
        <v>-4219.4698105555553</v>
      </c>
      <c r="H31" s="248">
        <f t="shared" si="2"/>
        <v>-4278.9620076532401</v>
      </c>
      <c r="I31" s="248">
        <f t="shared" si="2"/>
        <v>-4425.8918422006946</v>
      </c>
      <c r="J31" s="248">
        <f t="shared" si="2"/>
        <v>-4528.9494611421596</v>
      </c>
    </row>
    <row r="32" spans="1:15" s="2" customFormat="1" x14ac:dyDescent="0.35">
      <c r="B32" s="54"/>
      <c r="C32" s="156"/>
      <c r="D32" s="156"/>
      <c r="E32" s="156"/>
      <c r="F32" s="156"/>
      <c r="G32" s="156"/>
      <c r="H32" s="156"/>
      <c r="I32" s="156"/>
      <c r="J32" s="156"/>
    </row>
    <row r="33" spans="1:10" x14ac:dyDescent="0.35">
      <c r="A33">
        <v>3.3</v>
      </c>
      <c r="B33" s="76" t="s">
        <v>243</v>
      </c>
      <c r="C33" s="157"/>
      <c r="D33" s="157"/>
      <c r="E33" s="157"/>
      <c r="F33" s="157"/>
      <c r="G33" s="157"/>
      <c r="H33" s="157"/>
      <c r="I33" s="157"/>
      <c r="J33" s="157"/>
    </row>
    <row r="34" spans="1:10" x14ac:dyDescent="0.35">
      <c r="B34" s="9" t="s">
        <v>271</v>
      </c>
      <c r="C34" s="264">
        <v>-8770</v>
      </c>
      <c r="D34" s="264">
        <v>-8999</v>
      </c>
      <c r="E34" s="264">
        <v>-9312</v>
      </c>
      <c r="F34" s="264">
        <v>-9312</v>
      </c>
      <c r="G34" s="264">
        <v>-9312</v>
      </c>
      <c r="H34" s="264">
        <v>-9312</v>
      </c>
      <c r="I34" s="264">
        <v>-9312</v>
      </c>
      <c r="J34" s="264">
        <v>-9312</v>
      </c>
    </row>
    <row r="35" spans="1:10" x14ac:dyDescent="0.35">
      <c r="B35" s="9" t="s">
        <v>272</v>
      </c>
      <c r="C35" s="264">
        <v>10411</v>
      </c>
      <c r="D35" s="264">
        <v>17168</v>
      </c>
      <c r="E35" s="264">
        <v>3528</v>
      </c>
      <c r="F35" s="265"/>
      <c r="G35" s="265"/>
      <c r="H35" s="265"/>
      <c r="I35" s="265"/>
      <c r="J35" s="265"/>
    </row>
    <row r="36" spans="1:10" x14ac:dyDescent="0.35">
      <c r="B36" s="9" t="s">
        <v>273</v>
      </c>
      <c r="C36" s="264">
        <v>-11478</v>
      </c>
      <c r="D36" s="264">
        <v>-13031</v>
      </c>
      <c r="E36" s="264">
        <v>-7689</v>
      </c>
      <c r="F36" s="265"/>
      <c r="G36" s="265"/>
      <c r="H36" s="265"/>
      <c r="I36" s="265"/>
      <c r="J36" s="265"/>
    </row>
    <row r="37" spans="1:10" x14ac:dyDescent="0.35">
      <c r="B37" s="9" t="s">
        <v>281</v>
      </c>
      <c r="C37" s="264">
        <v>917</v>
      </c>
      <c r="D37" s="264">
        <v>-3319</v>
      </c>
      <c r="E37" s="264">
        <v>857</v>
      </c>
      <c r="F37" s="265"/>
      <c r="G37" s="265"/>
      <c r="H37" s="265"/>
      <c r="I37" s="265"/>
      <c r="J37" s="265"/>
    </row>
    <row r="38" spans="1:10" x14ac:dyDescent="0.35">
      <c r="B38" s="9" t="s">
        <v>274</v>
      </c>
      <c r="C38" s="264">
        <v>4385</v>
      </c>
      <c r="D38" s="264">
        <v>3997</v>
      </c>
      <c r="E38" s="264">
        <v>3197</v>
      </c>
      <c r="F38" s="265"/>
      <c r="G38" s="265"/>
      <c r="H38" s="265"/>
      <c r="I38" s="265"/>
      <c r="J38" s="265"/>
    </row>
    <row r="39" spans="1:10" x14ac:dyDescent="0.35">
      <c r="B39" s="9" t="s">
        <v>275</v>
      </c>
      <c r="C39" s="264">
        <v>-2343</v>
      </c>
      <c r="D39" s="264">
        <v>-1878</v>
      </c>
      <c r="E39" s="264">
        <v>-2335</v>
      </c>
      <c r="F39" s="265">
        <f>'Debt Schedule'!F12</f>
        <v>-3200</v>
      </c>
      <c r="G39" s="265">
        <f>'Debt Schedule'!G12</f>
        <v>-3200</v>
      </c>
      <c r="H39" s="265">
        <f>'Debt Schedule'!H12</f>
        <v>-3200</v>
      </c>
      <c r="I39" s="265">
        <f>'Debt Schedule'!I12</f>
        <v>-3200</v>
      </c>
      <c r="J39" s="265">
        <f>'Debt Schedule'!J12</f>
        <v>-3200</v>
      </c>
    </row>
    <row r="40" spans="1:10" x14ac:dyDescent="0.35">
      <c r="B40" s="9" t="s">
        <v>276</v>
      </c>
      <c r="C40" s="264">
        <v>-10003</v>
      </c>
      <c r="D40" s="264">
        <v>-7353</v>
      </c>
      <c r="E40" s="264">
        <v>-5006</v>
      </c>
      <c r="F40" s="265"/>
      <c r="G40" s="265"/>
      <c r="H40" s="265"/>
      <c r="I40" s="265"/>
      <c r="J40" s="265"/>
    </row>
    <row r="41" spans="1:10" ht="13.5" customHeight="1" thickBot="1" x14ac:dyDescent="0.4">
      <c r="B41" s="9" t="s">
        <v>282</v>
      </c>
      <c r="C41" s="266">
        <v>2005</v>
      </c>
      <c r="D41" s="266">
        <v>1269</v>
      </c>
      <c r="E41" s="266">
        <v>1905</v>
      </c>
      <c r="F41" s="266"/>
      <c r="G41" s="266"/>
      <c r="H41" s="266"/>
      <c r="I41" s="266"/>
      <c r="J41" s="266"/>
    </row>
    <row r="42" spans="1:10" s="2" customFormat="1" x14ac:dyDescent="0.35">
      <c r="B42" s="84" t="s">
        <v>70</v>
      </c>
      <c r="C42" s="248">
        <f>SUM(C34:C41)</f>
        <v>-14876</v>
      </c>
      <c r="D42" s="248">
        <f>SUM(D34:D41)</f>
        <v>-12146</v>
      </c>
      <c r="E42" s="248">
        <f>SUM(E34:E41)</f>
        <v>-14855</v>
      </c>
      <c r="F42" s="248">
        <f t="shared" ref="F42:J42" si="3">SUM(F34:F41)</f>
        <v>-12512</v>
      </c>
      <c r="G42" s="248">
        <f t="shared" si="3"/>
        <v>-12512</v>
      </c>
      <c r="H42" s="248">
        <f t="shared" si="3"/>
        <v>-12512</v>
      </c>
      <c r="I42" s="248">
        <f t="shared" si="3"/>
        <v>-12512</v>
      </c>
      <c r="J42" s="248">
        <f t="shared" si="3"/>
        <v>-12512</v>
      </c>
    </row>
    <row r="43" spans="1:10" s="2" customFormat="1" x14ac:dyDescent="0.35">
      <c r="B43" s="2" t="s">
        <v>280</v>
      </c>
      <c r="C43">
        <v>-497</v>
      </c>
      <c r="D43">
        <v>-170</v>
      </c>
      <c r="E43">
        <v>-251</v>
      </c>
      <c r="F43" s="159"/>
      <c r="G43" s="159"/>
      <c r="H43" s="159"/>
      <c r="I43" s="159"/>
      <c r="J43" s="159"/>
    </row>
    <row r="44" spans="1:10" s="2" customFormat="1" ht="14.25" customHeight="1" thickBot="1" x14ac:dyDescent="0.4">
      <c r="B44" s="80" t="s">
        <v>71</v>
      </c>
      <c r="C44" s="250">
        <f>C42+C31+C20+C43</f>
        <v>-3074</v>
      </c>
      <c r="D44" s="250">
        <f t="shared" ref="D44:J44" si="4">D42+D31+D20+D43</f>
        <v>1032</v>
      </c>
      <c r="E44" s="250">
        <f t="shared" si="4"/>
        <v>1238</v>
      </c>
      <c r="F44" s="250">
        <f t="shared" si="4"/>
        <v>7379.8665015281549</v>
      </c>
      <c r="G44" s="250">
        <f t="shared" si="4"/>
        <v>9846.1525100069084</v>
      </c>
      <c r="H44" s="250">
        <f t="shared" si="4"/>
        <v>10982.1927420514</v>
      </c>
      <c r="I44" s="250">
        <f t="shared" si="4"/>
        <v>12061.856814750234</v>
      </c>
      <c r="J44" s="250">
        <f t="shared" si="4"/>
        <v>13217.469648467159</v>
      </c>
    </row>
    <row r="45" spans="1:10" ht="16.5" customHeight="1" x14ac:dyDescent="0.35">
      <c r="B45" s="105" t="s">
        <v>57</v>
      </c>
      <c r="C45" s="1">
        <v>10288</v>
      </c>
      <c r="D45" s="1">
        <v>7214</v>
      </c>
      <c r="E45" s="1">
        <v>8246</v>
      </c>
      <c r="F45" s="160">
        <f>E46</f>
        <v>9484</v>
      </c>
      <c r="G45" s="160">
        <f t="shared" ref="G45:J45" si="5">F46</f>
        <v>16863.866501528155</v>
      </c>
      <c r="H45" s="160">
        <f t="shared" si="5"/>
        <v>26710.019011535063</v>
      </c>
      <c r="I45" s="160">
        <f t="shared" si="5"/>
        <v>37692.211753586467</v>
      </c>
      <c r="J45" s="160">
        <f t="shared" si="5"/>
        <v>49754.068568336705</v>
      </c>
    </row>
    <row r="46" spans="1:10" s="2" customFormat="1" ht="15" thickBot="1" x14ac:dyDescent="0.4">
      <c r="B46" s="84" t="s">
        <v>72</v>
      </c>
      <c r="C46" s="251">
        <f>C44+C45</f>
        <v>7214</v>
      </c>
      <c r="D46" s="251">
        <f>D44+D45</f>
        <v>8246</v>
      </c>
      <c r="E46" s="251">
        <f>E44+E45</f>
        <v>9484</v>
      </c>
      <c r="F46" s="251">
        <f>F44+F45</f>
        <v>16863.866501528155</v>
      </c>
      <c r="G46" s="251">
        <f t="shared" ref="G46:J46" si="6">G44+G45</f>
        <v>26710.019011535063</v>
      </c>
      <c r="H46" s="251">
        <f t="shared" si="6"/>
        <v>37692.211753586467</v>
      </c>
      <c r="I46" s="251">
        <f t="shared" si="6"/>
        <v>49754.068568336705</v>
      </c>
      <c r="J46" s="251">
        <f t="shared" si="6"/>
        <v>62971.538216803863</v>
      </c>
    </row>
    <row r="47" spans="1:10" x14ac:dyDescent="0.35"/>
  </sheetData>
  <mergeCells count="2">
    <mergeCell ref="C1:E1"/>
    <mergeCell ref="F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1"/>
  <sheetViews>
    <sheetView zoomScale="85" zoomScaleNormal="85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G25" sqref="G25"/>
    </sheetView>
  </sheetViews>
  <sheetFormatPr defaultColWidth="0" defaultRowHeight="14.5" zeroHeight="1" x14ac:dyDescent="0.35"/>
  <cols>
    <col min="1" max="1" width="3.54296875" style="4" customWidth="1"/>
    <col min="2" max="2" width="54.54296875" style="4" customWidth="1"/>
    <col min="3" max="9" width="12.54296875" style="4" customWidth="1"/>
    <col min="10" max="10" width="9.1796875" style="4" customWidth="1"/>
    <col min="11" max="11" width="0" style="4" hidden="1" customWidth="1"/>
    <col min="12" max="16384" width="9.1796875" style="4" hidden="1"/>
  </cols>
  <sheetData>
    <row r="1" spans="1:9" ht="31.5" customHeight="1" x14ac:dyDescent="0.6">
      <c r="A1" s="316" t="str">
        <f>Index!A1</f>
        <v>P&amp;G Financial Modeling</v>
      </c>
      <c r="B1" s="318"/>
      <c r="C1" s="329" t="s">
        <v>18</v>
      </c>
      <c r="D1" s="329"/>
      <c r="E1" s="329" t="s">
        <v>73</v>
      </c>
      <c r="F1" s="329"/>
      <c r="G1" s="329"/>
      <c r="H1" s="329"/>
      <c r="I1" s="329"/>
    </row>
    <row r="2" spans="1:9" x14ac:dyDescent="0.35">
      <c r="A2" s="317" t="s">
        <v>74</v>
      </c>
      <c r="B2" s="319"/>
      <c r="C2" s="318">
        <v>2022</v>
      </c>
      <c r="D2" s="318">
        <f t="shared" ref="D2:I2" si="0">C2+1</f>
        <v>2023</v>
      </c>
      <c r="E2" s="318">
        <f t="shared" si="0"/>
        <v>2024</v>
      </c>
      <c r="F2" s="318">
        <f t="shared" si="0"/>
        <v>2025</v>
      </c>
      <c r="G2" s="318">
        <f t="shared" si="0"/>
        <v>2026</v>
      </c>
      <c r="H2" s="318">
        <f t="shared" si="0"/>
        <v>2027</v>
      </c>
      <c r="I2" s="318">
        <f t="shared" si="0"/>
        <v>2028</v>
      </c>
    </row>
    <row r="3" spans="1:9" x14ac:dyDescent="0.35">
      <c r="A3" s="5"/>
      <c r="B3" s="201" t="s">
        <v>75</v>
      </c>
      <c r="C3" s="202"/>
      <c r="D3" s="202"/>
      <c r="E3" s="202"/>
      <c r="F3" s="202"/>
      <c r="G3" s="202"/>
      <c r="H3" s="202"/>
      <c r="I3" s="202"/>
    </row>
    <row r="4" spans="1:9" s="8" customFormat="1" x14ac:dyDescent="0.35">
      <c r="A4" s="7"/>
      <c r="B4" s="203" t="s">
        <v>76</v>
      </c>
      <c r="C4" s="204"/>
      <c r="D4" s="204"/>
      <c r="E4" s="204"/>
      <c r="F4" s="204"/>
      <c r="G4" s="204"/>
      <c r="H4" s="204"/>
      <c r="I4" s="204"/>
    </row>
    <row r="5" spans="1:9" s="8" customFormat="1" x14ac:dyDescent="0.35">
      <c r="A5" s="7"/>
      <c r="B5" s="124" t="s">
        <v>77</v>
      </c>
      <c r="C5" s="204"/>
      <c r="D5" s="205">
        <f>'Balance Sheet'!D9/'Balance Sheet'!D26</f>
        <v>0.63340418391318942</v>
      </c>
      <c r="E5" s="205"/>
      <c r="F5" s="205"/>
      <c r="G5" s="205"/>
      <c r="H5" s="205"/>
      <c r="I5" s="205"/>
    </row>
    <row r="6" spans="1:9" s="8" customFormat="1" x14ac:dyDescent="0.35">
      <c r="A6" s="7"/>
      <c r="B6" s="124" t="s">
        <v>78</v>
      </c>
      <c r="C6" s="205"/>
      <c r="D6" s="205" t="e">
        <f>('Balance Sheet'!D5+'Balance Sheet'!#REF!)/'Balance Sheet'!D26</f>
        <v>#REF!</v>
      </c>
      <c r="E6" s="205"/>
      <c r="F6" s="205"/>
      <c r="G6" s="205"/>
      <c r="H6" s="205"/>
      <c r="I6" s="205"/>
    </row>
    <row r="7" spans="1:9" s="8" customFormat="1" x14ac:dyDescent="0.35">
      <c r="A7" s="7"/>
      <c r="B7" s="202"/>
      <c r="C7" s="205"/>
      <c r="D7" s="205"/>
      <c r="E7" s="205"/>
      <c r="F7" s="205"/>
      <c r="G7" s="205"/>
      <c r="H7" s="205"/>
      <c r="I7" s="205"/>
    </row>
    <row r="8" spans="1:9" s="8" customFormat="1" x14ac:dyDescent="0.35">
      <c r="A8" s="7"/>
      <c r="B8" s="124" t="s">
        <v>79</v>
      </c>
      <c r="C8" s="205"/>
      <c r="D8" s="205">
        <f>'Income Statement'!D6/AVERAGE('Balance Sheet'!B6:D6)</f>
        <v>14.989215865472492</v>
      </c>
      <c r="E8" s="205"/>
      <c r="F8" s="205"/>
      <c r="G8" s="205"/>
      <c r="H8" s="205"/>
      <c r="I8" s="205"/>
    </row>
    <row r="9" spans="1:9" s="8" customFormat="1" x14ac:dyDescent="0.35">
      <c r="A9" s="7"/>
      <c r="B9" s="124" t="s">
        <v>80</v>
      </c>
      <c r="C9" s="205"/>
      <c r="D9" s="205">
        <f>'Income Statement'!D6/AVERAGE('Balance Sheet'!D21:D21)</f>
        <v>5.6176188518975199</v>
      </c>
      <c r="E9" s="205"/>
      <c r="F9" s="205"/>
      <c r="G9" s="205"/>
      <c r="H9" s="205"/>
      <c r="I9" s="205"/>
    </row>
    <row r="10" spans="1:9" s="8" customFormat="1" x14ac:dyDescent="0.35">
      <c r="A10" s="7"/>
      <c r="B10" s="124" t="s">
        <v>219</v>
      </c>
      <c r="C10" s="205"/>
      <c r="D10" s="205">
        <f>'Income Statement'!D11/AVERAGE('Balance Sheet'!D7:D7)</f>
        <v>6.0455252368160615</v>
      </c>
      <c r="E10" s="205"/>
      <c r="F10" s="205"/>
      <c r="G10" s="205"/>
      <c r="H10" s="205"/>
      <c r="I10" s="205"/>
    </row>
    <row r="11" spans="1:9" s="8" customFormat="1" x14ac:dyDescent="0.35">
      <c r="A11" s="7"/>
      <c r="B11" s="202"/>
      <c r="C11" s="205"/>
      <c r="D11" s="205"/>
      <c r="E11" s="205"/>
      <c r="F11" s="205"/>
      <c r="G11" s="205"/>
      <c r="H11" s="205"/>
      <c r="I11" s="205"/>
    </row>
    <row r="12" spans="1:9" s="8" customFormat="1" x14ac:dyDescent="0.35">
      <c r="A12" s="7"/>
      <c r="B12" s="203" t="s">
        <v>81</v>
      </c>
      <c r="C12" s="205"/>
      <c r="D12" s="205"/>
      <c r="E12" s="205"/>
      <c r="F12" s="205"/>
      <c r="G12" s="205"/>
      <c r="H12" s="205"/>
      <c r="I12" s="205"/>
    </row>
    <row r="13" spans="1:9" s="8" customFormat="1" x14ac:dyDescent="0.35">
      <c r="A13" s="7"/>
      <c r="B13" s="124" t="s">
        <v>82</v>
      </c>
      <c r="C13" s="205"/>
      <c r="D13" s="205" t="e">
        <f>'Income Statement'!C6/'Balance Sheet'!C17</f>
        <v>#DIV/0!</v>
      </c>
      <c r="E13" s="205"/>
      <c r="F13" s="205"/>
      <c r="G13" s="205"/>
      <c r="H13" s="205"/>
      <c r="I13" s="205"/>
    </row>
    <row r="14" spans="1:9" s="8" customFormat="1" x14ac:dyDescent="0.35">
      <c r="A14" s="7"/>
      <c r="B14" s="124" t="s">
        <v>83</v>
      </c>
      <c r="C14" s="205"/>
      <c r="D14" s="205" t="e">
        <f>'Income Statement'!C6/'Balance Sheet'!C39</f>
        <v>#DIV/0!</v>
      </c>
      <c r="E14" s="205"/>
      <c r="F14" s="205"/>
      <c r="G14" s="205"/>
      <c r="H14" s="205"/>
      <c r="I14" s="205"/>
    </row>
    <row r="15" spans="1:9" s="8" customFormat="1" x14ac:dyDescent="0.35">
      <c r="A15" s="7"/>
      <c r="B15" s="202"/>
      <c r="C15" s="205"/>
      <c r="D15" s="205"/>
      <c r="E15" s="205"/>
      <c r="F15" s="205"/>
      <c r="G15" s="205"/>
      <c r="H15" s="205"/>
      <c r="I15" s="205"/>
    </row>
    <row r="16" spans="1:9" s="8" customFormat="1" x14ac:dyDescent="0.35">
      <c r="A16" s="7"/>
      <c r="B16" s="203" t="s">
        <v>84</v>
      </c>
      <c r="C16" s="205"/>
      <c r="D16" s="205"/>
      <c r="E16" s="205"/>
      <c r="F16" s="205"/>
      <c r="G16" s="205"/>
      <c r="H16" s="205"/>
      <c r="I16" s="205"/>
    </row>
    <row r="17" spans="2:9" s="8" customFormat="1" x14ac:dyDescent="0.35">
      <c r="B17" s="124" t="s">
        <v>85</v>
      </c>
      <c r="C17" s="206"/>
      <c r="D17" s="207">
        <f>'Income Statement'!D12/'Income Statement'!D6</f>
        <v>0.47857473843377313</v>
      </c>
      <c r="E17" s="206"/>
      <c r="F17" s="207"/>
      <c r="G17" s="206"/>
      <c r="H17" s="207"/>
      <c r="I17" s="206"/>
    </row>
    <row r="18" spans="2:9" s="8" customFormat="1" x14ac:dyDescent="0.35">
      <c r="B18" s="124" t="s">
        <v>86</v>
      </c>
      <c r="C18" s="206"/>
      <c r="D18" s="207">
        <f>'Income Statement'!D19/'Income Statement'!D6</f>
        <v>0.2211301612077165</v>
      </c>
      <c r="E18" s="206"/>
      <c r="F18" s="207"/>
      <c r="G18" s="206"/>
      <c r="H18" s="207"/>
      <c r="I18" s="206"/>
    </row>
    <row r="19" spans="2:9" s="8" customFormat="1" x14ac:dyDescent="0.35">
      <c r="B19" s="124" t="s">
        <v>87</v>
      </c>
      <c r="C19" s="206"/>
      <c r="D19" s="207">
        <f>'Income Statement'!D26/'Income Statement'!D6</f>
        <v>0.17971855717874302</v>
      </c>
      <c r="E19" s="206"/>
      <c r="F19" s="207"/>
      <c r="G19" s="206"/>
      <c r="H19" s="207"/>
      <c r="I19" s="206"/>
    </row>
    <row r="20" spans="2:9" s="8" customFormat="1" x14ac:dyDescent="0.35">
      <c r="B20" s="202"/>
      <c r="C20" s="205"/>
      <c r="D20" s="208"/>
      <c r="E20" s="205"/>
      <c r="F20" s="208"/>
      <c r="G20" s="205"/>
      <c r="H20" s="208"/>
      <c r="I20" s="205"/>
    </row>
    <row r="21" spans="2:9" s="8" customFormat="1" x14ac:dyDescent="0.35">
      <c r="B21" s="124" t="s">
        <v>88</v>
      </c>
      <c r="C21" s="205"/>
      <c r="D21" s="208">
        <f>'Income Statement'!D26/(AVERAGE('Balance Sheet'!D29:D29)+AVERAGE('Balance Sheet'!D39:D39))</f>
        <v>0.20629032935347061</v>
      </c>
      <c r="E21" s="205"/>
      <c r="F21" s="208"/>
      <c r="G21" s="205"/>
      <c r="H21" s="208"/>
      <c r="I21" s="205"/>
    </row>
    <row r="22" spans="2:9" s="8" customFormat="1" x14ac:dyDescent="0.35">
      <c r="B22" s="203" t="s">
        <v>89</v>
      </c>
      <c r="C22" s="205"/>
      <c r="D22" s="208">
        <f>'Income Statement'!D26/'Balance Sheet'!D39</f>
        <v>0.31314140019122488</v>
      </c>
      <c r="E22" s="205"/>
      <c r="F22" s="208"/>
      <c r="G22" s="205"/>
      <c r="H22" s="208"/>
      <c r="I22" s="205"/>
    </row>
    <row r="23" spans="2:9" s="8" customFormat="1" x14ac:dyDescent="0.35">
      <c r="B23" s="202"/>
      <c r="C23" s="205"/>
      <c r="D23" s="205"/>
      <c r="E23" s="205"/>
      <c r="F23" s="205"/>
      <c r="G23" s="205"/>
      <c r="H23" s="205"/>
      <c r="I23" s="205"/>
    </row>
    <row r="24" spans="2:9" s="8" customFormat="1" x14ac:dyDescent="0.35">
      <c r="B24" s="203" t="s">
        <v>90</v>
      </c>
      <c r="C24" s="205"/>
      <c r="D24" s="205"/>
      <c r="E24" s="205"/>
      <c r="F24" s="205"/>
      <c r="G24" s="205"/>
      <c r="H24" s="205"/>
      <c r="I24" s="205"/>
    </row>
    <row r="25" spans="2:9" s="8" customFormat="1" x14ac:dyDescent="0.35">
      <c r="B25" s="124" t="s">
        <v>91</v>
      </c>
      <c r="C25" s="205"/>
      <c r="D25" s="208">
        <f>D19</f>
        <v>0.17971855717874302</v>
      </c>
      <c r="E25" s="205"/>
      <c r="F25" s="208"/>
      <c r="G25" s="205"/>
      <c r="H25" s="208"/>
      <c r="I25" s="205"/>
    </row>
    <row r="26" spans="2:9" s="8" customFormat="1" x14ac:dyDescent="0.35">
      <c r="B26" s="124" t="s">
        <v>92</v>
      </c>
      <c r="C26" s="205"/>
      <c r="D26" s="208">
        <f>'Income Statement'!D6/'Balance Sheet'!D17</f>
        <v>0.67869468422315837</v>
      </c>
      <c r="E26" s="205"/>
      <c r="F26" s="208"/>
      <c r="G26" s="205"/>
      <c r="H26" s="208"/>
      <c r="I26" s="205"/>
    </row>
    <row r="27" spans="2:9" s="8" customFormat="1" x14ac:dyDescent="0.35">
      <c r="B27" s="124" t="s">
        <v>93</v>
      </c>
      <c r="C27" s="205"/>
      <c r="D27" s="208">
        <f>'Balance Sheet'!D17/'Balance Sheet'!D39</f>
        <v>2.5672792945925846</v>
      </c>
      <c r="E27" s="205"/>
      <c r="F27" s="208"/>
      <c r="G27" s="205"/>
      <c r="H27" s="208"/>
      <c r="I27" s="205"/>
    </row>
    <row r="28" spans="2:9" s="8" customFormat="1" x14ac:dyDescent="0.35">
      <c r="B28" s="203" t="s">
        <v>94</v>
      </c>
      <c r="C28" s="205"/>
      <c r="D28" s="208">
        <f>D25*D26*D27</f>
        <v>0.31314140019122494</v>
      </c>
      <c r="E28" s="205"/>
      <c r="F28" s="208"/>
      <c r="G28" s="205"/>
      <c r="H28" s="208"/>
      <c r="I28" s="205"/>
    </row>
    <row r="29" spans="2:9" s="8" customFormat="1" x14ac:dyDescent="0.35">
      <c r="B29" s="202"/>
      <c r="C29" s="205"/>
      <c r="D29" s="205"/>
      <c r="E29" s="205"/>
      <c r="F29" s="205"/>
      <c r="G29" s="205"/>
      <c r="H29" s="205"/>
      <c r="I29" s="205"/>
    </row>
    <row r="30" spans="2:9" s="8" customFormat="1" x14ac:dyDescent="0.35">
      <c r="B30" s="203" t="s">
        <v>95</v>
      </c>
      <c r="C30" s="205"/>
      <c r="D30" s="205"/>
      <c r="E30" s="205"/>
      <c r="F30" s="205"/>
      <c r="G30" s="205"/>
      <c r="H30" s="205"/>
      <c r="I30" s="205"/>
    </row>
    <row r="31" spans="2:9" s="8" customFormat="1" x14ac:dyDescent="0.35">
      <c r="B31" s="124" t="s">
        <v>96</v>
      </c>
      <c r="C31" s="205"/>
      <c r="D31" s="205">
        <f>'Balance Sheet'!D29/'Balance Sheet'!D39</f>
        <v>0.51796451715712311</v>
      </c>
      <c r="E31" s="205"/>
      <c r="F31" s="205"/>
      <c r="G31" s="205"/>
      <c r="H31" s="205"/>
      <c r="I31" s="205"/>
    </row>
  </sheetData>
  <mergeCells count="2">
    <mergeCell ref="C1:D1"/>
    <mergeCell ref="E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1"/>
  <sheetViews>
    <sheetView showGridLines="0" zoomScale="85" zoomScaleNormal="85" workbookViewId="0">
      <selection activeCell="B12" sqref="B12"/>
    </sheetView>
  </sheetViews>
  <sheetFormatPr defaultColWidth="0" defaultRowHeight="14.5" zeroHeight="1" x14ac:dyDescent="0.35"/>
  <cols>
    <col min="1" max="1" width="3.54296875" customWidth="1"/>
    <col min="2" max="2" width="54.54296875" customWidth="1"/>
    <col min="3" max="5" width="12.453125" bestFit="1" customWidth="1"/>
    <col min="6" max="10" width="12.26953125" bestFit="1" customWidth="1"/>
    <col min="11" max="11" width="9.1796875" customWidth="1"/>
    <col min="12" max="12" width="0" hidden="1" customWidth="1"/>
    <col min="13" max="16384" width="9.1796875" hidden="1"/>
  </cols>
  <sheetData>
    <row r="1" spans="1:10" ht="31.5" customHeight="1" x14ac:dyDescent="0.6">
      <c r="A1" s="316" t="str">
        <f>Index!A1</f>
        <v>P&amp;G Financial Modeling</v>
      </c>
      <c r="B1" s="316"/>
      <c r="C1" s="329" t="s">
        <v>18</v>
      </c>
      <c r="D1" s="329"/>
      <c r="E1" s="329"/>
      <c r="F1" s="329" t="s">
        <v>73</v>
      </c>
      <c r="G1" s="329"/>
      <c r="H1" s="329"/>
      <c r="I1" s="329"/>
      <c r="J1" s="329"/>
    </row>
    <row r="2" spans="1:10" x14ac:dyDescent="0.35">
      <c r="A2" s="317" t="s">
        <v>74</v>
      </c>
      <c r="B2" s="319"/>
      <c r="C2" s="318">
        <v>2022</v>
      </c>
      <c r="D2" s="318">
        <f t="shared" ref="D2:J2" si="0">C2+1</f>
        <v>2023</v>
      </c>
      <c r="E2" s="318">
        <f t="shared" si="0"/>
        <v>2024</v>
      </c>
      <c r="F2" s="318">
        <f t="shared" si="0"/>
        <v>2025</v>
      </c>
      <c r="G2" s="318">
        <f t="shared" si="0"/>
        <v>2026</v>
      </c>
      <c r="H2" s="318">
        <f t="shared" si="0"/>
        <v>2027</v>
      </c>
      <c r="I2" s="318">
        <f t="shared" si="0"/>
        <v>2028</v>
      </c>
      <c r="J2" s="318">
        <f t="shared" si="0"/>
        <v>2029</v>
      </c>
    </row>
    <row r="3" spans="1:10" x14ac:dyDescent="0.35">
      <c r="B3" s="77" t="s">
        <v>97</v>
      </c>
      <c r="C3" s="71"/>
      <c r="D3" s="55"/>
      <c r="E3" s="55"/>
      <c r="F3" s="55"/>
      <c r="G3" s="55"/>
      <c r="H3" s="55"/>
      <c r="I3" s="55"/>
      <c r="J3" s="55"/>
    </row>
    <row r="4" spans="1:10" x14ac:dyDescent="0.35">
      <c r="B4" s="46" t="s">
        <v>253</v>
      </c>
      <c r="C4" s="1">
        <v>14740</v>
      </c>
      <c r="D4" s="1">
        <v>15008</v>
      </c>
      <c r="E4" s="1">
        <v>15220</v>
      </c>
      <c r="F4" s="214">
        <f>E4*(1+F5)</f>
        <v>15524.4</v>
      </c>
      <c r="G4" s="214">
        <f t="shared" ref="G4:J4" si="1">F4*(1+G5)</f>
        <v>15834.887999999999</v>
      </c>
      <c r="H4" s="214">
        <f t="shared" si="1"/>
        <v>16151.58576</v>
      </c>
      <c r="I4" s="214">
        <f t="shared" si="1"/>
        <v>16474.617475200001</v>
      </c>
      <c r="J4" s="214">
        <f t="shared" si="1"/>
        <v>16804.109824704003</v>
      </c>
    </row>
    <row r="5" spans="1:10" x14ac:dyDescent="0.35">
      <c r="B5" s="55"/>
      <c r="C5" s="161"/>
      <c r="D5" s="211">
        <f>D4/C4-1</f>
        <v>1.8181818181818077E-2</v>
      </c>
      <c r="E5" s="211">
        <f>E4/D4-1</f>
        <v>1.412579957356086E-2</v>
      </c>
      <c r="F5" s="168">
        <v>0.02</v>
      </c>
      <c r="G5" s="168">
        <v>0.02</v>
      </c>
      <c r="H5" s="168">
        <v>0.02</v>
      </c>
      <c r="I5" s="168">
        <v>0.02</v>
      </c>
      <c r="J5" s="168">
        <v>0.02</v>
      </c>
    </row>
    <row r="6" spans="1:10" x14ac:dyDescent="0.35">
      <c r="B6" s="55"/>
      <c r="C6" s="161"/>
      <c r="D6" s="162"/>
      <c r="E6" s="162"/>
      <c r="F6" s="163"/>
      <c r="G6" s="163"/>
      <c r="H6" s="163"/>
      <c r="I6" s="163"/>
      <c r="J6" s="163"/>
    </row>
    <row r="7" spans="1:10" x14ac:dyDescent="0.35">
      <c r="B7" s="46" t="s">
        <v>254</v>
      </c>
      <c r="C7" s="1">
        <v>6587</v>
      </c>
      <c r="D7" s="1">
        <v>6419</v>
      </c>
      <c r="E7" s="1">
        <v>6654</v>
      </c>
      <c r="F7" s="214">
        <f>E7*(1+F8)</f>
        <v>6787.08</v>
      </c>
      <c r="G7" s="214">
        <f t="shared" ref="G7" si="2">F7*(1+G8)</f>
        <v>6922.8216000000002</v>
      </c>
      <c r="H7" s="214">
        <f t="shared" ref="H7" si="3">G7*(1+H8)</f>
        <v>7061.2780320000002</v>
      </c>
      <c r="I7" s="214">
        <f t="shared" ref="I7" si="4">H7*(1+I8)</f>
        <v>7202.5035926400005</v>
      </c>
      <c r="J7" s="214">
        <f t="shared" ref="J7" si="5">I7*(1+J8)</f>
        <v>7346.5536644928006</v>
      </c>
    </row>
    <row r="8" spans="1:10" x14ac:dyDescent="0.35">
      <c r="B8" s="55"/>
      <c r="C8" s="161"/>
      <c r="D8" s="211">
        <f>D7/C7-1</f>
        <v>-2.5504782146652527E-2</v>
      </c>
      <c r="E8" s="211">
        <f>E7/D7-1</f>
        <v>3.6610063872877463E-2</v>
      </c>
      <c r="F8" s="168">
        <v>0.02</v>
      </c>
      <c r="G8" s="168">
        <v>0.02</v>
      </c>
      <c r="H8" s="168">
        <v>0.02</v>
      </c>
      <c r="I8" s="168">
        <v>0.02</v>
      </c>
      <c r="J8" s="168">
        <v>0.02</v>
      </c>
    </row>
    <row r="9" spans="1:10" x14ac:dyDescent="0.35">
      <c r="B9" s="55"/>
      <c r="C9" s="161"/>
      <c r="D9" s="167"/>
      <c r="E9" s="167"/>
      <c r="F9" s="163"/>
      <c r="G9" s="163"/>
      <c r="H9" s="163"/>
      <c r="I9" s="163"/>
      <c r="J9" s="163"/>
    </row>
    <row r="10" spans="1:10" x14ac:dyDescent="0.35">
      <c r="B10" s="46" t="s">
        <v>255</v>
      </c>
      <c r="C10" s="1">
        <v>10824</v>
      </c>
      <c r="D10" s="1">
        <v>11226</v>
      </c>
      <c r="E10" s="1">
        <v>11793</v>
      </c>
      <c r="F10" s="214">
        <f>E10*(1+F11)</f>
        <v>12264.720000000001</v>
      </c>
      <c r="G10" s="214">
        <f t="shared" ref="G10" si="6">F10*(1+G11)</f>
        <v>12755.308800000003</v>
      </c>
      <c r="H10" s="214">
        <f t="shared" ref="H10" si="7">G10*(1+H11)</f>
        <v>13265.521152000003</v>
      </c>
      <c r="I10" s="214">
        <f t="shared" ref="I10" si="8">H10*(1+I11)</f>
        <v>13796.141998080004</v>
      </c>
      <c r="J10" s="214">
        <f t="shared" ref="J10" si="9">I10*(1+J11)</f>
        <v>14347.987678003205</v>
      </c>
    </row>
    <row r="11" spans="1:10" x14ac:dyDescent="0.35">
      <c r="B11" s="55"/>
      <c r="C11" s="212"/>
      <c r="D11" s="211">
        <f>D10/C10-1</f>
        <v>3.7139689578713941E-2</v>
      </c>
      <c r="E11" s="211">
        <f>E10/D10-1</f>
        <v>5.0507749866381513E-2</v>
      </c>
      <c r="F11" s="168">
        <v>0.04</v>
      </c>
      <c r="G11" s="168">
        <v>0.04</v>
      </c>
      <c r="H11" s="168">
        <v>0.04</v>
      </c>
      <c r="I11" s="168">
        <v>0.04</v>
      </c>
      <c r="J11" s="168">
        <v>0.04</v>
      </c>
    </row>
    <row r="12" spans="1:10" x14ac:dyDescent="0.35">
      <c r="B12" s="55"/>
      <c r="C12" s="161"/>
      <c r="D12" s="162"/>
      <c r="E12" s="162"/>
      <c r="F12" s="163"/>
      <c r="G12" s="163"/>
      <c r="H12" s="163"/>
      <c r="I12" s="163"/>
      <c r="J12" s="163"/>
    </row>
    <row r="13" spans="1:10" x14ac:dyDescent="0.35">
      <c r="B13" s="46" t="s">
        <v>256</v>
      </c>
      <c r="C13" s="1">
        <v>27556</v>
      </c>
      <c r="D13" s="1">
        <v>28371</v>
      </c>
      <c r="E13" s="1">
        <v>29495</v>
      </c>
      <c r="F13" s="214">
        <f>E13*(1+F14)</f>
        <v>30232.374999999996</v>
      </c>
      <c r="G13" s="214">
        <f t="shared" ref="G13" si="10">F13*(1+G14)</f>
        <v>30988.184374999993</v>
      </c>
      <c r="H13" s="214">
        <f t="shared" ref="H13" si="11">G13*(1+H14)</f>
        <v>31762.888984374989</v>
      </c>
      <c r="I13" s="214">
        <f t="shared" ref="I13" si="12">H13*(1+I14)</f>
        <v>32556.961208984361</v>
      </c>
      <c r="J13" s="214">
        <f t="shared" ref="J13" si="13">I13*(1+J14)</f>
        <v>33370.885239208968</v>
      </c>
    </row>
    <row r="14" spans="1:10" x14ac:dyDescent="0.35">
      <c r="B14" s="9"/>
      <c r="C14" s="165"/>
      <c r="D14" s="211">
        <f>D13/C13-1</f>
        <v>2.9576135868776277E-2</v>
      </c>
      <c r="E14" s="211">
        <f>E13/D13-1</f>
        <v>3.9617919706742777E-2</v>
      </c>
      <c r="F14" s="211">
        <v>2.5000000000000001E-2</v>
      </c>
      <c r="G14" s="211">
        <v>2.5000000000000001E-2</v>
      </c>
      <c r="H14" s="211">
        <v>2.5000000000000001E-2</v>
      </c>
      <c r="I14" s="211">
        <v>2.5000000000000001E-2</v>
      </c>
      <c r="J14" s="211">
        <v>2.5000000000000001E-2</v>
      </c>
    </row>
    <row r="15" spans="1:10" x14ac:dyDescent="0.35">
      <c r="B15" s="55"/>
      <c r="C15" s="161"/>
      <c r="D15" s="167"/>
      <c r="E15" s="167"/>
      <c r="F15" s="168"/>
      <c r="G15" s="168"/>
      <c r="H15" s="168"/>
      <c r="I15" s="168"/>
      <c r="J15" s="168"/>
    </row>
    <row r="16" spans="1:10" x14ac:dyDescent="0.35">
      <c r="B16" s="46" t="s">
        <v>257</v>
      </c>
      <c r="C16" s="1">
        <v>19736</v>
      </c>
      <c r="D16" s="1">
        <v>20217</v>
      </c>
      <c r="E16" s="1">
        <v>20277</v>
      </c>
      <c r="F16" s="214">
        <f>E16*(1+F17)</f>
        <v>20581.154999999999</v>
      </c>
      <c r="G16" s="214">
        <f t="shared" ref="G16" si="14">F16*(1+G17)</f>
        <v>20889.872324999997</v>
      </c>
      <c r="H16" s="214">
        <f t="shared" ref="H16" si="15">G16*(1+H17)</f>
        <v>21203.220409874993</v>
      </c>
      <c r="I16" s="214">
        <f t="shared" ref="I16" si="16">H16*(1+I17)</f>
        <v>21521.268716023118</v>
      </c>
      <c r="J16" s="214">
        <f t="shared" ref="J16" si="17">I16*(1+J17)</f>
        <v>21844.087746763464</v>
      </c>
    </row>
    <row r="17" spans="2:10" x14ac:dyDescent="0.35">
      <c r="B17" s="9"/>
      <c r="C17" s="161"/>
      <c r="D17" s="211">
        <f>D16/C16-1</f>
        <v>2.4371706526145065E-2</v>
      </c>
      <c r="E17" s="211">
        <f>E16/D16-1</f>
        <v>2.9677993767620592E-3</v>
      </c>
      <c r="F17" s="211">
        <v>1.4999999999999999E-2</v>
      </c>
      <c r="G17" s="211">
        <v>1.4999999999999999E-2</v>
      </c>
      <c r="H17" s="211">
        <v>1.4999999999999999E-2</v>
      </c>
      <c r="I17" s="211">
        <v>1.4999999999999999E-2</v>
      </c>
      <c r="J17" s="211">
        <v>1.4999999999999999E-2</v>
      </c>
    </row>
    <row r="18" spans="2:10" x14ac:dyDescent="0.35">
      <c r="B18" s="55"/>
      <c r="C18" s="161"/>
      <c r="D18" s="162"/>
      <c r="E18" s="162"/>
      <c r="F18" s="163"/>
      <c r="G18" s="163"/>
      <c r="H18" s="163"/>
      <c r="I18" s="163"/>
      <c r="J18" s="163"/>
    </row>
    <row r="19" spans="2:10" x14ac:dyDescent="0.35">
      <c r="B19" s="46" t="s">
        <v>258</v>
      </c>
      <c r="C19">
        <v>744</v>
      </c>
      <c r="D19">
        <v>765</v>
      </c>
      <c r="E19">
        <v>601</v>
      </c>
      <c r="F19" s="214">
        <f>E19*(1+F20)</f>
        <v>661.1</v>
      </c>
      <c r="G19" s="214">
        <f t="shared" ref="G19" si="18">F19*(1+G20)</f>
        <v>727.21</v>
      </c>
      <c r="H19" s="214">
        <f t="shared" ref="H19" si="19">G19*(1+H20)</f>
        <v>799.93100000000015</v>
      </c>
      <c r="I19" s="214">
        <f t="shared" ref="I19" si="20">H19*(1+I20)</f>
        <v>879.92410000000029</v>
      </c>
      <c r="J19" s="214">
        <f t="shared" ref="J19" si="21">I19*(1+J20)</f>
        <v>967.91651000000036</v>
      </c>
    </row>
    <row r="20" spans="2:10" ht="15" thickBot="1" x14ac:dyDescent="0.4">
      <c r="B20" s="55"/>
      <c r="C20" s="164"/>
      <c r="D20" s="213">
        <f>D19/C19-1</f>
        <v>2.8225806451612989E-2</v>
      </c>
      <c r="E20" s="213">
        <f>E19/D19-1</f>
        <v>-0.21437908496732028</v>
      </c>
      <c r="F20" s="213">
        <v>0.1</v>
      </c>
      <c r="G20" s="213">
        <v>0.1</v>
      </c>
      <c r="H20" s="213">
        <v>0.1</v>
      </c>
      <c r="I20" s="213">
        <v>0.1</v>
      </c>
      <c r="J20" s="213">
        <v>0.1</v>
      </c>
    </row>
    <row r="21" spans="2:10" x14ac:dyDescent="0.35">
      <c r="B21" s="72" t="s">
        <v>245</v>
      </c>
      <c r="C21" s="209">
        <f>C4+C7+C10+C13+C19+C16</f>
        <v>80187</v>
      </c>
      <c r="D21" s="210">
        <f t="shared" ref="D21:J21" si="22">D4+D7+D10+D13+D19+D16</f>
        <v>82006</v>
      </c>
      <c r="E21" s="210">
        <f t="shared" si="22"/>
        <v>84040</v>
      </c>
      <c r="F21" s="210">
        <f t="shared" si="22"/>
        <v>86050.829999999987</v>
      </c>
      <c r="G21" s="210">
        <f t="shared" si="22"/>
        <v>88118.285100000008</v>
      </c>
      <c r="H21" s="210">
        <f t="shared" si="22"/>
        <v>90244.425338249988</v>
      </c>
      <c r="I21" s="210">
        <f t="shared" si="22"/>
        <v>92431.417090927484</v>
      </c>
      <c r="J21" s="210">
        <f t="shared" si="22"/>
        <v>94681.540663172433</v>
      </c>
    </row>
  </sheetData>
  <mergeCells count="2">
    <mergeCell ref="F1:J1"/>
    <mergeCell ref="C1:E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8"/>
  <sheetViews>
    <sheetView showGridLines="0" tabSelected="1" zoomScale="85" zoomScaleNormal="85" workbookViewId="0">
      <selection activeCell="B11" sqref="B11"/>
    </sheetView>
  </sheetViews>
  <sheetFormatPr defaultColWidth="0" defaultRowHeight="14.5" zeroHeight="1" x14ac:dyDescent="0.35"/>
  <cols>
    <col min="1" max="1" width="3.54296875" customWidth="1"/>
    <col min="2" max="2" width="54.54296875" customWidth="1"/>
    <col min="3" max="3" width="12.54296875" bestFit="1" customWidth="1"/>
    <col min="4" max="5" width="12.453125" bestFit="1" customWidth="1"/>
    <col min="6" max="10" width="12" bestFit="1" customWidth="1"/>
    <col min="11" max="11" width="9.1796875" style="5" customWidth="1"/>
    <col min="12" max="16384" width="9.1796875" hidden="1"/>
  </cols>
  <sheetData>
    <row r="1" spans="1:10" ht="31.5" customHeight="1" x14ac:dyDescent="0.6">
      <c r="A1" s="316" t="str">
        <f>Index!A1</f>
        <v>P&amp;G Financial Modeling</v>
      </c>
      <c r="B1" s="316"/>
      <c r="C1" s="329" t="s">
        <v>18</v>
      </c>
      <c r="D1" s="329"/>
      <c r="E1" s="329"/>
      <c r="F1" s="329" t="s">
        <v>73</v>
      </c>
      <c r="G1" s="329"/>
      <c r="H1" s="329"/>
      <c r="I1" s="329"/>
      <c r="J1" s="329"/>
    </row>
    <row r="2" spans="1:10" x14ac:dyDescent="0.35">
      <c r="A2" s="317" t="s">
        <v>74</v>
      </c>
      <c r="B2" s="319"/>
      <c r="C2" s="320">
        <v>2022</v>
      </c>
      <c r="D2" s="318">
        <f t="shared" ref="D2:J2" si="0">C2+1</f>
        <v>2023</v>
      </c>
      <c r="E2" s="318">
        <f t="shared" si="0"/>
        <v>2024</v>
      </c>
      <c r="F2" s="318">
        <f t="shared" si="0"/>
        <v>2025</v>
      </c>
      <c r="G2" s="318">
        <f t="shared" si="0"/>
        <v>2026</v>
      </c>
      <c r="H2" s="318">
        <f t="shared" si="0"/>
        <v>2027</v>
      </c>
      <c r="I2" s="318">
        <f t="shared" si="0"/>
        <v>2028</v>
      </c>
      <c r="J2" s="318">
        <f t="shared" si="0"/>
        <v>2029</v>
      </c>
    </row>
    <row r="3" spans="1:10" x14ac:dyDescent="0.35"/>
    <row r="4" spans="1:10" x14ac:dyDescent="0.35">
      <c r="B4" s="70" t="s">
        <v>102</v>
      </c>
      <c r="C4" s="55"/>
      <c r="D4" s="55"/>
      <c r="E4" s="55"/>
      <c r="F4" s="55"/>
      <c r="G4" s="55"/>
      <c r="H4" s="55"/>
      <c r="I4" s="55"/>
      <c r="J4" s="55"/>
    </row>
    <row r="5" spans="1:10" x14ac:dyDescent="0.35">
      <c r="B5" s="9" t="s">
        <v>0</v>
      </c>
      <c r="C5" s="165">
        <f>'Income Statement'!C4</f>
        <v>79443</v>
      </c>
      <c r="D5" s="165">
        <f>'Income Statement'!D4</f>
        <v>81241</v>
      </c>
      <c r="E5" s="165">
        <f>'Income Statement'!E4</f>
        <v>83439</v>
      </c>
      <c r="F5" s="169">
        <f>'Income Statement'!F4</f>
        <v>85389.73</v>
      </c>
      <c r="G5" s="169">
        <f>'Income Statement'!G4</f>
        <v>87391.075099999987</v>
      </c>
      <c r="H5" s="169">
        <f>'Income Statement'!H4</f>
        <v>89444.494338249991</v>
      </c>
      <c r="I5" s="169">
        <f>'Income Statement'!I4</f>
        <v>91551.49299092748</v>
      </c>
      <c r="J5" s="169">
        <f>'Income Statement'!J4</f>
        <v>93713.624153172423</v>
      </c>
    </row>
    <row r="6" spans="1:10" x14ac:dyDescent="0.35">
      <c r="B6" s="9" t="s">
        <v>258</v>
      </c>
      <c r="C6" s="165">
        <f>'Income Statement'!C5</f>
        <v>744</v>
      </c>
      <c r="D6" s="165">
        <f>'Income Statement'!D5</f>
        <v>765</v>
      </c>
      <c r="E6" s="165">
        <f>'Income Statement'!E5</f>
        <v>601</v>
      </c>
      <c r="F6" s="169">
        <f>'Income Statement'!F5</f>
        <v>661.1</v>
      </c>
      <c r="G6" s="169">
        <f>'Income Statement'!G5</f>
        <v>727.21</v>
      </c>
      <c r="H6" s="169">
        <f>'Income Statement'!H5</f>
        <v>799.93100000000015</v>
      </c>
      <c r="I6" s="169">
        <f>'Income Statement'!I5</f>
        <v>879.92410000000029</v>
      </c>
      <c r="J6" s="169">
        <f>'Income Statement'!J5</f>
        <v>967.91651000000036</v>
      </c>
    </row>
    <row r="7" spans="1:10" x14ac:dyDescent="0.35">
      <c r="B7" s="80" t="s">
        <v>144</v>
      </c>
      <c r="C7" s="219">
        <f>SUM(C5:C6)</f>
        <v>80187</v>
      </c>
      <c r="D7" s="219">
        <f t="shared" ref="D7:J7" si="1">SUM(D5:D6)</f>
        <v>82006</v>
      </c>
      <c r="E7" s="219">
        <f t="shared" si="1"/>
        <v>84040</v>
      </c>
      <c r="F7" s="219">
        <f t="shared" si="1"/>
        <v>86050.83</v>
      </c>
      <c r="G7" s="219">
        <f t="shared" si="1"/>
        <v>88118.285099999994</v>
      </c>
      <c r="H7" s="219">
        <f t="shared" si="1"/>
        <v>90244.425338249988</v>
      </c>
      <c r="I7" s="219">
        <f t="shared" si="1"/>
        <v>92431.417090927484</v>
      </c>
      <c r="J7" s="219">
        <f t="shared" si="1"/>
        <v>94681.540663172418</v>
      </c>
    </row>
    <row r="8" spans="1:10" x14ac:dyDescent="0.35">
      <c r="B8" s="9"/>
      <c r="C8" s="86"/>
      <c r="D8" s="68"/>
      <c r="E8" s="68"/>
      <c r="F8" s="87"/>
      <c r="G8" s="87"/>
      <c r="H8" s="87"/>
      <c r="I8" s="87"/>
      <c r="J8" s="87"/>
    </row>
    <row r="9" spans="1:10" x14ac:dyDescent="0.35">
      <c r="B9" s="70" t="s">
        <v>246</v>
      </c>
      <c r="C9" s="86"/>
      <c r="D9" s="68"/>
      <c r="E9" s="68"/>
      <c r="F9" s="87"/>
      <c r="G9" s="87"/>
      <c r="H9" s="87"/>
      <c r="I9" s="87"/>
      <c r="J9" s="87"/>
    </row>
    <row r="10" spans="1:10" x14ac:dyDescent="0.35">
      <c r="B10" s="9" t="s">
        <v>0</v>
      </c>
      <c r="C10" s="165">
        <f>'Income Statement'!C9</f>
        <v>42157</v>
      </c>
      <c r="D10" s="165">
        <f>'Income Statement'!D9</f>
        <v>42760</v>
      </c>
      <c r="E10" s="165">
        <f>'Income Statement'!E9</f>
        <v>40848</v>
      </c>
      <c r="F10" s="166">
        <f>F7*F11</f>
        <v>38722.873500000002</v>
      </c>
      <c r="G10" s="166">
        <f t="shared" ref="G10:J10" si="2">G7*G11</f>
        <v>39653.228295000001</v>
      </c>
      <c r="H10" s="166">
        <f t="shared" si="2"/>
        <v>40609.991402212494</v>
      </c>
      <c r="I10" s="166">
        <f t="shared" si="2"/>
        <v>41594.13769091737</v>
      </c>
      <c r="J10" s="166">
        <f t="shared" si="2"/>
        <v>42606.693298427592</v>
      </c>
    </row>
    <row r="11" spans="1:10" x14ac:dyDescent="0.35">
      <c r="B11" s="9" t="s">
        <v>103</v>
      </c>
      <c r="C11" s="88">
        <f>C10/C7</f>
        <v>0.52573359771534034</v>
      </c>
      <c r="D11" s="88">
        <f t="shared" ref="D11:E11" si="3">D10/D7</f>
        <v>0.52142526156622682</v>
      </c>
      <c r="E11" s="88">
        <f t="shared" si="3"/>
        <v>0.48605425987624939</v>
      </c>
      <c r="F11" s="88">
        <v>0.45</v>
      </c>
      <c r="G11" s="88">
        <v>0.45</v>
      </c>
      <c r="H11" s="88">
        <v>0.45</v>
      </c>
      <c r="I11" s="88">
        <v>0.45</v>
      </c>
      <c r="J11" s="88">
        <v>0.45</v>
      </c>
    </row>
    <row r="12" spans="1:10" x14ac:dyDescent="0.35">
      <c r="B12" s="9"/>
      <c r="C12" s="88"/>
      <c r="D12" s="88"/>
      <c r="E12" s="88"/>
      <c r="F12" s="48"/>
      <c r="G12" s="48"/>
      <c r="H12" s="48"/>
      <c r="I12" s="48"/>
      <c r="J12" s="48"/>
    </row>
    <row r="13" spans="1:10" x14ac:dyDescent="0.35">
      <c r="B13" s="70" t="s">
        <v>247</v>
      </c>
      <c r="C13" s="218"/>
      <c r="D13" s="218"/>
      <c r="E13" s="218"/>
      <c r="F13" s="47"/>
      <c r="G13" s="47"/>
      <c r="H13" s="47"/>
      <c r="I13" s="47"/>
      <c r="J13" s="47"/>
    </row>
    <row r="14" spans="1:10" x14ac:dyDescent="0.35">
      <c r="B14" s="9" t="s">
        <v>5</v>
      </c>
      <c r="C14" s="165">
        <f>'Income Statement'!C15</f>
        <v>0</v>
      </c>
      <c r="D14" s="165">
        <v>930</v>
      </c>
      <c r="E14" s="165">
        <v>1140</v>
      </c>
      <c r="F14" s="166">
        <f>F15*F7</f>
        <v>1721.0166000000002</v>
      </c>
      <c r="G14" s="166">
        <f t="shared" ref="G14:J14" si="4">G15*G7</f>
        <v>1762.3657019999998</v>
      </c>
      <c r="H14" s="166">
        <f t="shared" si="4"/>
        <v>1804.8885067649999</v>
      </c>
      <c r="I14" s="166">
        <f t="shared" si="4"/>
        <v>1848.6283418185496</v>
      </c>
      <c r="J14" s="166">
        <f t="shared" si="4"/>
        <v>1893.6308132634483</v>
      </c>
    </row>
    <row r="15" spans="1:10" x14ac:dyDescent="0.35">
      <c r="B15" s="9" t="s">
        <v>103</v>
      </c>
      <c r="C15" s="88">
        <f>C14/C7</f>
        <v>0</v>
      </c>
      <c r="D15" s="220">
        <f t="shared" ref="D15:E15" si="5">D14/D7</f>
        <v>1.1340633612174718E-2</v>
      </c>
      <c r="E15" s="220">
        <f t="shared" si="5"/>
        <v>1.3564969062351261E-2</v>
      </c>
      <c r="F15" s="220">
        <v>0.02</v>
      </c>
      <c r="G15" s="220">
        <v>0.02</v>
      </c>
      <c r="H15" s="220">
        <v>0.02</v>
      </c>
      <c r="I15" s="220">
        <v>0.02</v>
      </c>
      <c r="J15" s="220">
        <v>0.02</v>
      </c>
    </row>
    <row r="17" spans="2:10" ht="15.75" customHeight="1" x14ac:dyDescent="0.35">
      <c r="B17" s="9" t="s">
        <v>6</v>
      </c>
      <c r="C17" s="165">
        <f>'Income Statement'!C16</f>
        <v>20217</v>
      </c>
      <c r="D17" s="165">
        <f>'Income Statement'!D16</f>
        <v>21112</v>
      </c>
      <c r="E17" s="165">
        <f>'Income Statement'!E16</f>
        <v>23305</v>
      </c>
      <c r="F17" s="166">
        <f>F18*F7</f>
        <v>22373.215800000002</v>
      </c>
      <c r="G17" s="166">
        <f t="shared" ref="G17:J17" si="6">G18*G7</f>
        <v>22910.754126</v>
      </c>
      <c r="H17" s="166">
        <f t="shared" si="6"/>
        <v>23463.550587944999</v>
      </c>
      <c r="I17" s="166">
        <f t="shared" si="6"/>
        <v>24032.168443641145</v>
      </c>
      <c r="J17" s="166">
        <f t="shared" si="6"/>
        <v>24617.20057242483</v>
      </c>
    </row>
    <row r="18" spans="2:10" x14ac:dyDescent="0.35">
      <c r="B18" s="9" t="s">
        <v>103</v>
      </c>
      <c r="C18" s="88">
        <f>C17/C7</f>
        <v>0.25212316210857122</v>
      </c>
      <c r="D18" s="88">
        <f t="shared" ref="D18:E18" si="7">D17/D7</f>
        <v>0.25744457722605663</v>
      </c>
      <c r="E18" s="88">
        <f t="shared" si="7"/>
        <v>0.27730842455973348</v>
      </c>
      <c r="F18" s="88">
        <v>0.26</v>
      </c>
      <c r="G18" s="88">
        <v>0.26</v>
      </c>
      <c r="H18" s="88">
        <v>0.26</v>
      </c>
      <c r="I18" s="88">
        <v>0.26</v>
      </c>
      <c r="J18" s="88">
        <v>0.26</v>
      </c>
    </row>
  </sheetData>
  <mergeCells count="2">
    <mergeCell ref="F1:J1"/>
    <mergeCell ref="C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31"/>
  <sheetViews>
    <sheetView showGridLines="0" zoomScale="90" zoomScaleNormal="90" workbookViewId="0">
      <pane xSplit="2" ySplit="2" topLeftCell="D3" activePane="bottomRight" state="frozen"/>
      <selection pane="topRight" activeCell="D1" sqref="D1"/>
      <selection pane="bottomLeft" activeCell="A3" sqref="A3"/>
      <selection pane="bottomRight" activeCell="B12" sqref="B12"/>
    </sheetView>
  </sheetViews>
  <sheetFormatPr defaultColWidth="0" defaultRowHeight="14.5" zeroHeight="1" x14ac:dyDescent="0.35"/>
  <cols>
    <col min="1" max="1" width="3.54296875" customWidth="1"/>
    <col min="2" max="2" width="54.54296875" customWidth="1"/>
    <col min="3" max="3" width="0.54296875" style="23" hidden="1" customWidth="1"/>
    <col min="4" max="9" width="12.54296875" style="23" customWidth="1"/>
    <col min="10" max="10" width="12.54296875" customWidth="1"/>
    <col min="11" max="11" width="8.7265625" style="4" customWidth="1"/>
    <col min="12" max="33" width="0" style="4" hidden="1" customWidth="1"/>
    <col min="34" max="34" width="0" hidden="1" customWidth="1"/>
    <col min="35" max="16384" width="8.7265625" hidden="1"/>
  </cols>
  <sheetData>
    <row r="1" spans="1:10" ht="31.5" customHeight="1" x14ac:dyDescent="0.6">
      <c r="A1" s="316" t="str">
        <f>Index!A1</f>
        <v>P&amp;G Financial Modeling</v>
      </c>
      <c r="B1" s="318"/>
      <c r="C1" s="329" t="s">
        <v>18</v>
      </c>
      <c r="D1" s="329"/>
      <c r="E1" s="329"/>
      <c r="F1" s="329" t="s">
        <v>73</v>
      </c>
      <c r="G1" s="329"/>
      <c r="H1" s="329"/>
      <c r="I1" s="329"/>
      <c r="J1" s="329"/>
    </row>
    <row r="2" spans="1:10" ht="15" customHeight="1" x14ac:dyDescent="0.35">
      <c r="A2" s="317" t="s">
        <v>74</v>
      </c>
      <c r="B2" s="319"/>
      <c r="C2" s="321">
        <v>2022</v>
      </c>
      <c r="D2" s="321">
        <f t="shared" ref="D2:J2" si="0">C2+1</f>
        <v>2023</v>
      </c>
      <c r="E2" s="321">
        <f t="shared" si="0"/>
        <v>2024</v>
      </c>
      <c r="F2" s="321">
        <f t="shared" si="0"/>
        <v>2025</v>
      </c>
      <c r="G2" s="321">
        <f t="shared" si="0"/>
        <v>2026</v>
      </c>
      <c r="H2" s="321">
        <f t="shared" si="0"/>
        <v>2027</v>
      </c>
      <c r="I2" s="321">
        <f t="shared" si="0"/>
        <v>2028</v>
      </c>
      <c r="J2" s="321">
        <f t="shared" si="0"/>
        <v>2029</v>
      </c>
    </row>
    <row r="3" spans="1:10" x14ac:dyDescent="0.35">
      <c r="A3" s="11"/>
      <c r="B3" s="94" t="s">
        <v>104</v>
      </c>
      <c r="C3" s="227">
        <f>'Income Statement'!C6</f>
        <v>80187</v>
      </c>
      <c r="D3" s="246">
        <f>'Income Statement'!D6</f>
        <v>82006</v>
      </c>
      <c r="E3" s="246">
        <f>'Income Statement'!E6</f>
        <v>84040</v>
      </c>
      <c r="F3" s="228">
        <f>'Income Statement'!F6</f>
        <v>86050.83</v>
      </c>
      <c r="G3" s="228">
        <f>'Income Statement'!G6</f>
        <v>88118.285099999994</v>
      </c>
      <c r="H3" s="228">
        <f>'Income Statement'!H6</f>
        <v>90244.425338249988</v>
      </c>
      <c r="I3" s="228">
        <f>'Income Statement'!I6</f>
        <v>92431.417090927484</v>
      </c>
      <c r="J3" s="228">
        <f>'Income Statement'!J6</f>
        <v>94681.540663172418</v>
      </c>
    </row>
    <row r="4" spans="1:10" x14ac:dyDescent="0.35">
      <c r="A4" s="11"/>
      <c r="B4" s="77" t="s">
        <v>105</v>
      </c>
      <c r="C4" s="229">
        <f>'Income Statement'!C11</f>
        <v>42157</v>
      </c>
      <c r="D4" s="238">
        <f>'Income Statement'!D11</f>
        <v>42760</v>
      </c>
      <c r="E4" s="238">
        <f>'Income Statement'!E11</f>
        <v>40848</v>
      </c>
      <c r="F4" s="230">
        <f>'Income Statement'!F11</f>
        <v>38722.873500000002</v>
      </c>
      <c r="G4" s="230">
        <f>'Income Statement'!G11</f>
        <v>39653.228295000001</v>
      </c>
      <c r="H4" s="230">
        <f>'Income Statement'!H11</f>
        <v>40609.991402212494</v>
      </c>
      <c r="I4" s="230">
        <f>'Income Statement'!I11</f>
        <v>41594.13769091737</v>
      </c>
      <c r="J4" s="230">
        <f>'Income Statement'!J11</f>
        <v>42606.693298427592</v>
      </c>
    </row>
    <row r="5" spans="1:10" x14ac:dyDescent="0.35">
      <c r="A5" s="11"/>
      <c r="B5" s="14"/>
      <c r="C5" s="231"/>
      <c r="D5" s="231"/>
      <c r="E5" s="231"/>
      <c r="F5" s="231"/>
      <c r="G5" s="231"/>
      <c r="H5" s="231"/>
      <c r="I5" s="231"/>
      <c r="J5" s="231"/>
    </row>
    <row r="6" spans="1:10" x14ac:dyDescent="0.35">
      <c r="A6" s="11"/>
      <c r="B6" s="9" t="s">
        <v>106</v>
      </c>
      <c r="C6" s="230"/>
      <c r="D6" s="238">
        <f>'Balance Sheet'!D6</f>
        <v>5471</v>
      </c>
      <c r="E6" s="238">
        <f>'Balance Sheet'!E6</f>
        <v>6118</v>
      </c>
      <c r="F6" s="230">
        <f>F3*F19/365</f>
        <v>5658.1367671232874</v>
      </c>
      <c r="G6" s="230">
        <f>G3*G19/365</f>
        <v>5794.0790202739727</v>
      </c>
      <c r="H6" s="230">
        <f>H3*H19/365</f>
        <v>5933.8800222410946</v>
      </c>
      <c r="I6" s="230">
        <f>I3*I19/365</f>
        <v>6077.6822196774237</v>
      </c>
      <c r="J6" s="230">
        <f>J3*J19/365</f>
        <v>6225.6355504551721</v>
      </c>
    </row>
    <row r="7" spans="1:10" x14ac:dyDescent="0.35">
      <c r="A7" s="11"/>
      <c r="B7" s="9" t="s">
        <v>21</v>
      </c>
      <c r="C7" s="230"/>
      <c r="D7" s="238">
        <f>'Balance Sheet'!D7</f>
        <v>7073</v>
      </c>
      <c r="E7" s="238">
        <f>'Balance Sheet'!E7</f>
        <v>7016</v>
      </c>
      <c r="F7" s="230">
        <f>F4*F21/365</f>
        <v>6365.4038630136993</v>
      </c>
      <c r="G7" s="230">
        <f>G4*G21/365</f>
        <v>6518.3388978082185</v>
      </c>
      <c r="H7" s="230">
        <f>H4*H21/365</f>
        <v>6675.6150250212313</v>
      </c>
      <c r="I7" s="230">
        <f>I4*I21/365</f>
        <v>6837.3924971371025</v>
      </c>
      <c r="J7" s="230">
        <f>J4*J21/365</f>
        <v>7003.8399942620699</v>
      </c>
    </row>
    <row r="8" spans="1:10" ht="15" thickBot="1" x14ac:dyDescent="0.4">
      <c r="A8" s="11"/>
      <c r="B8" s="9" t="s">
        <v>23</v>
      </c>
      <c r="C8" s="233"/>
      <c r="D8" s="239">
        <f>'Balance Sheet'!D8</f>
        <v>1858</v>
      </c>
      <c r="E8" s="239">
        <f>'Balance Sheet'!E8</f>
        <v>2095</v>
      </c>
      <c r="F8" s="233">
        <f>F25</f>
        <v>2581.5248999999999</v>
      </c>
      <c r="G8" s="233">
        <f t="shared" ref="G8:J8" si="1">G25</f>
        <v>2643.5485529999996</v>
      </c>
      <c r="H8" s="233">
        <f t="shared" si="1"/>
        <v>2707.3327601474994</v>
      </c>
      <c r="I8" s="233">
        <f t="shared" si="1"/>
        <v>2772.9425127278246</v>
      </c>
      <c r="J8" s="233">
        <f t="shared" si="1"/>
        <v>2840.4462198951724</v>
      </c>
    </row>
    <row r="9" spans="1:10" x14ac:dyDescent="0.35">
      <c r="A9" s="11"/>
      <c r="B9" s="77" t="s">
        <v>107</v>
      </c>
      <c r="C9" s="234"/>
      <c r="D9" s="234">
        <f>SUM(D6:D8)</f>
        <v>14402</v>
      </c>
      <c r="E9" s="234">
        <f>SUM(E6:E8)</f>
        <v>15229</v>
      </c>
      <c r="F9" s="234">
        <f>SUM(F6:F8)</f>
        <v>14605.065530136988</v>
      </c>
      <c r="G9" s="234">
        <f t="shared" ref="G9:J9" si="2">SUM(G6:G8)</f>
        <v>14955.966471082193</v>
      </c>
      <c r="H9" s="234">
        <f t="shared" si="2"/>
        <v>15316.827807409825</v>
      </c>
      <c r="I9" s="234">
        <f t="shared" si="2"/>
        <v>15688.017229542351</v>
      </c>
      <c r="J9" s="234">
        <f t="shared" si="2"/>
        <v>16069.921764612416</v>
      </c>
    </row>
    <row r="10" spans="1:10" x14ac:dyDescent="0.35">
      <c r="A10" s="11"/>
      <c r="B10" s="14"/>
      <c r="C10" s="231"/>
      <c r="D10" s="231"/>
      <c r="E10" s="231"/>
      <c r="F10" s="231"/>
      <c r="G10" s="231"/>
      <c r="H10" s="230"/>
      <c r="I10" s="230"/>
      <c r="J10" s="230"/>
    </row>
    <row r="11" spans="1:10" x14ac:dyDescent="0.35">
      <c r="A11" s="11"/>
      <c r="B11" s="9" t="s">
        <v>108</v>
      </c>
      <c r="C11" s="232"/>
      <c r="D11" s="238">
        <f>'Balance Sheet'!D21</f>
        <v>14598</v>
      </c>
      <c r="E11" s="238">
        <f>'Balance Sheet'!E21</f>
        <v>15364</v>
      </c>
      <c r="F11" s="230">
        <f>F4*F28/365</f>
        <v>13261.258047945206</v>
      </c>
      <c r="G11" s="230">
        <f>G4*G28/365</f>
        <v>13579.872703767123</v>
      </c>
      <c r="H11" s="230">
        <f>H4*H28/365</f>
        <v>13907.531302127567</v>
      </c>
      <c r="I11" s="230">
        <f>I4*I28/365</f>
        <v>14244.567702368964</v>
      </c>
      <c r="J11" s="230">
        <f>J4*J28/365</f>
        <v>14591.333321379312</v>
      </c>
    </row>
    <row r="12" spans="1:10" ht="15" thickBot="1" x14ac:dyDescent="0.4">
      <c r="A12" s="11"/>
      <c r="B12" s="9" t="s">
        <v>263</v>
      </c>
      <c r="C12" s="236"/>
      <c r="D12" s="239">
        <f>'Balance Sheet'!D22</f>
        <v>10929</v>
      </c>
      <c r="E12" s="239">
        <f>'Balance Sheet'!E22</f>
        <v>11073</v>
      </c>
      <c r="F12" s="233">
        <f>F30</f>
        <v>11401.734975000001</v>
      </c>
      <c r="G12" s="233">
        <f t="shared" ref="G12:J12" si="3">G30</f>
        <v>11675.672775749999</v>
      </c>
      <c r="H12" s="233">
        <f t="shared" si="3"/>
        <v>11957.386357318124</v>
      </c>
      <c r="I12" s="233">
        <f t="shared" si="3"/>
        <v>12247.162764547893</v>
      </c>
      <c r="J12" s="233">
        <f t="shared" si="3"/>
        <v>12545.304137870346</v>
      </c>
    </row>
    <row r="13" spans="1:10" x14ac:dyDescent="0.35">
      <c r="A13" s="11"/>
      <c r="B13" s="77" t="s">
        <v>109</v>
      </c>
      <c r="C13" s="234"/>
      <c r="D13" s="234">
        <f>SUM(D11:D12)</f>
        <v>25527</v>
      </c>
      <c r="E13" s="234">
        <f>SUM(E11:E12)</f>
        <v>26437</v>
      </c>
      <c r="F13" s="234">
        <f t="shared" ref="F13:J13" si="4">SUM(F11:F12)</f>
        <v>24662.993022945207</v>
      </c>
      <c r="G13" s="234">
        <f t="shared" si="4"/>
        <v>25255.545479517124</v>
      </c>
      <c r="H13" s="234">
        <f t="shared" si="4"/>
        <v>25864.917659445691</v>
      </c>
      <c r="I13" s="234">
        <f t="shared" si="4"/>
        <v>26491.730466916859</v>
      </c>
      <c r="J13" s="234">
        <f t="shared" si="4"/>
        <v>27136.637459249658</v>
      </c>
    </row>
    <row r="14" spans="1:10" x14ac:dyDescent="0.35">
      <c r="A14" s="11"/>
      <c r="B14" s="14"/>
      <c r="C14" s="231"/>
      <c r="D14" s="231"/>
      <c r="E14" s="231"/>
      <c r="F14" s="231"/>
      <c r="G14" s="231"/>
      <c r="H14" s="230"/>
      <c r="I14" s="230"/>
      <c r="J14" s="230"/>
    </row>
    <row r="15" spans="1:10" x14ac:dyDescent="0.35">
      <c r="A15" s="11"/>
      <c r="B15" s="10" t="s">
        <v>110</v>
      </c>
      <c r="C15" s="235"/>
      <c r="D15" s="237">
        <f>D9-D13</f>
        <v>-11125</v>
      </c>
      <c r="E15" s="237">
        <f>E9-E13</f>
        <v>-11208</v>
      </c>
      <c r="F15" s="237">
        <f t="shared" ref="F15:J15" si="5">F9-F13</f>
        <v>-10057.92749280822</v>
      </c>
      <c r="G15" s="237">
        <f t="shared" si="5"/>
        <v>-10299.579008434932</v>
      </c>
      <c r="H15" s="237">
        <f t="shared" si="5"/>
        <v>-10548.089852035866</v>
      </c>
      <c r="I15" s="237">
        <f t="shared" si="5"/>
        <v>-10803.713237374508</v>
      </c>
      <c r="J15" s="237">
        <f t="shared" si="5"/>
        <v>-11066.715694637242</v>
      </c>
    </row>
    <row r="16" spans="1:10" ht="15" thickBot="1" x14ac:dyDescent="0.4">
      <c r="A16" s="11"/>
      <c r="B16" s="93" t="s">
        <v>111</v>
      </c>
      <c r="C16" s="96"/>
      <c r="D16" s="96">
        <f>C15-D15</f>
        <v>11125</v>
      </c>
      <c r="E16" s="96">
        <f>D15-E15</f>
        <v>83</v>
      </c>
      <c r="F16" s="96">
        <f t="shared" ref="F16:J16" si="6">E15-F15</f>
        <v>-1150.0725071917805</v>
      </c>
      <c r="G16" s="96">
        <f t="shared" si="6"/>
        <v>241.65151562671235</v>
      </c>
      <c r="H16" s="96">
        <f t="shared" si="6"/>
        <v>248.51084360093409</v>
      </c>
      <c r="I16" s="96">
        <f t="shared" si="6"/>
        <v>255.62338533864204</v>
      </c>
      <c r="J16" s="96">
        <f t="shared" si="6"/>
        <v>263.00245726273351</v>
      </c>
    </row>
    <row r="18" spans="2:10" ht="15" thickTop="1" x14ac:dyDescent="0.35">
      <c r="B18" s="77" t="s">
        <v>112</v>
      </c>
      <c r="C18" s="6"/>
      <c r="D18" s="6"/>
      <c r="E18" s="6"/>
      <c r="F18" s="6"/>
      <c r="G18" s="6"/>
      <c r="H18" s="6"/>
      <c r="I18" s="6"/>
      <c r="J18" s="6"/>
    </row>
    <row r="19" spans="2:10" x14ac:dyDescent="0.35">
      <c r="B19" s="9" t="s">
        <v>106</v>
      </c>
      <c r="C19" s="17"/>
      <c r="D19" s="97">
        <f>365/D3*AVERAGE(C6:D6)</f>
        <v>24.350840182425678</v>
      </c>
      <c r="E19" s="97">
        <f>365/E3*AVERAGE(D6:E6)</f>
        <v>25.166498096144693</v>
      </c>
      <c r="F19" s="18">
        <v>24</v>
      </c>
      <c r="G19" s="18">
        <v>24</v>
      </c>
      <c r="H19" s="18">
        <v>24</v>
      </c>
      <c r="I19" s="18">
        <v>24</v>
      </c>
      <c r="J19" s="18">
        <v>24</v>
      </c>
    </row>
    <row r="20" spans="2:10" x14ac:dyDescent="0.35">
      <c r="B20" s="9"/>
      <c r="C20" s="15"/>
      <c r="D20" s="97"/>
      <c r="E20" s="97"/>
      <c r="F20" s="15"/>
      <c r="G20" s="15"/>
      <c r="H20" s="15"/>
      <c r="I20" s="15"/>
      <c r="J20" s="15"/>
    </row>
    <row r="21" spans="2:10" x14ac:dyDescent="0.35">
      <c r="B21" s="9" t="s">
        <v>21</v>
      </c>
      <c r="C21" s="16"/>
      <c r="D21" s="240">
        <f>365/D4*AVERAGE(C7:D7)</f>
        <v>60.375233863423766</v>
      </c>
      <c r="E21" s="240">
        <f>365/E4*AVERAGE(D7:E7)</f>
        <v>62.946594692518602</v>
      </c>
      <c r="F21" s="97">
        <v>60</v>
      </c>
      <c r="G21" s="97">
        <v>60</v>
      </c>
      <c r="H21" s="97">
        <v>60</v>
      </c>
      <c r="I21" s="97">
        <v>60</v>
      </c>
      <c r="J21" s="97">
        <v>60</v>
      </c>
    </row>
    <row r="22" spans="2:10" hidden="1" x14ac:dyDescent="0.35">
      <c r="B22" s="12"/>
      <c r="C22" s="14"/>
      <c r="D22" s="20"/>
      <c r="E22" s="20"/>
      <c r="F22" s="14"/>
      <c r="G22" s="14"/>
      <c r="H22" s="14"/>
      <c r="I22" s="14"/>
      <c r="J22" s="14"/>
    </row>
    <row r="23" spans="2:10" hidden="1" x14ac:dyDescent="0.35">
      <c r="B23" s="9" t="s">
        <v>22</v>
      </c>
      <c r="C23" s="26"/>
      <c r="D23" s="241"/>
      <c r="E23" s="241"/>
      <c r="F23" s="18"/>
      <c r="G23" s="18"/>
      <c r="H23" s="18"/>
      <c r="I23" s="18"/>
      <c r="J23" s="18"/>
    </row>
    <row r="24" spans="2:10" x14ac:dyDescent="0.35">
      <c r="B24" s="12"/>
      <c r="C24" s="14"/>
      <c r="D24" s="20"/>
      <c r="E24" s="20"/>
      <c r="F24" s="14"/>
      <c r="G24" s="14"/>
      <c r="H24" s="14"/>
      <c r="I24" s="14"/>
      <c r="J24" s="14"/>
    </row>
    <row r="25" spans="2:10" x14ac:dyDescent="0.35">
      <c r="B25" s="12" t="s">
        <v>23</v>
      </c>
      <c r="C25" s="95"/>
      <c r="D25" s="242">
        <f>'Balance Sheet'!D8</f>
        <v>1858</v>
      </c>
      <c r="E25" s="242">
        <f>'Balance Sheet'!E8</f>
        <v>2095</v>
      </c>
      <c r="F25" s="95">
        <f>F26*F3</f>
        <v>2581.5248999999999</v>
      </c>
      <c r="G25" s="95">
        <f>G26*G3</f>
        <v>2643.5485529999996</v>
      </c>
      <c r="H25" s="95">
        <f>H26*H3</f>
        <v>2707.3327601474994</v>
      </c>
      <c r="I25" s="95">
        <f>I26*I3</f>
        <v>2772.9425127278246</v>
      </c>
      <c r="J25" s="95">
        <f>J26*J3</f>
        <v>2840.4462198951724</v>
      </c>
    </row>
    <row r="26" spans="2:10" x14ac:dyDescent="0.35">
      <c r="B26" s="12" t="s">
        <v>98</v>
      </c>
      <c r="C26" s="24"/>
      <c r="D26" s="243">
        <f>D25/D3</f>
        <v>2.2656878764968417E-2</v>
      </c>
      <c r="E26" s="243">
        <f>E25/E3</f>
        <v>2.4928605425987627E-2</v>
      </c>
      <c r="F26" s="25">
        <v>0.03</v>
      </c>
      <c r="G26" s="25">
        <v>0.03</v>
      </c>
      <c r="H26" s="25">
        <v>0.03</v>
      </c>
      <c r="I26" s="25">
        <v>0.03</v>
      </c>
      <c r="J26" s="25">
        <v>0.03</v>
      </c>
    </row>
    <row r="27" spans="2:10" x14ac:dyDescent="0.35">
      <c r="B27" s="12"/>
      <c r="C27" s="14"/>
      <c r="D27" s="20"/>
      <c r="E27" s="20"/>
      <c r="F27" s="14"/>
      <c r="G27" s="14"/>
      <c r="H27" s="14"/>
      <c r="I27" s="14"/>
      <c r="J27" s="14"/>
    </row>
    <row r="28" spans="2:10" x14ac:dyDescent="0.35">
      <c r="B28" s="9" t="s">
        <v>108</v>
      </c>
      <c r="C28" s="19"/>
      <c r="D28" s="244">
        <f>365/D4*AVERAGE(C11:D11)</f>
        <v>124.60874649204865</v>
      </c>
      <c r="E28" s="244">
        <f>365/E4*AVERAGE(D11:E11)</f>
        <v>133.86371425773598</v>
      </c>
      <c r="F28" s="20">
        <v>125</v>
      </c>
      <c r="G28" s="20">
        <v>125</v>
      </c>
      <c r="H28" s="20">
        <v>125</v>
      </c>
      <c r="I28" s="20">
        <v>125</v>
      </c>
      <c r="J28" s="20">
        <v>125</v>
      </c>
    </row>
    <row r="29" spans="2:10" x14ac:dyDescent="0.35">
      <c r="B29" s="9"/>
      <c r="C29" s="14"/>
      <c r="D29" s="20"/>
      <c r="E29" s="20"/>
      <c r="F29" s="14"/>
      <c r="G29" s="14"/>
      <c r="H29" s="14"/>
      <c r="I29" s="14"/>
      <c r="J29" s="14"/>
    </row>
    <row r="30" spans="2:10" x14ac:dyDescent="0.35">
      <c r="B30" s="9" t="s">
        <v>29</v>
      </c>
      <c r="C30" s="95"/>
      <c r="D30" s="242">
        <f>'Balance Sheet'!D22</f>
        <v>10929</v>
      </c>
      <c r="E30" s="242">
        <f>'Balance Sheet'!E22</f>
        <v>11073</v>
      </c>
      <c r="F30" s="95">
        <f>F31*F3</f>
        <v>11401.734975000001</v>
      </c>
      <c r="G30" s="95">
        <f>G31*G3</f>
        <v>11675.672775749999</v>
      </c>
      <c r="H30" s="95">
        <f>H31*H3</f>
        <v>11957.386357318124</v>
      </c>
      <c r="I30" s="95">
        <f>I31*I3</f>
        <v>12247.162764547893</v>
      </c>
      <c r="J30" s="95">
        <f>J31*J3</f>
        <v>12545.304137870346</v>
      </c>
    </row>
    <row r="31" spans="2:10" x14ac:dyDescent="0.35">
      <c r="B31" s="9" t="s">
        <v>113</v>
      </c>
      <c r="C31" s="21"/>
      <c r="D31" s="245">
        <f>D30/D3</f>
        <v>0.1332707362875887</v>
      </c>
      <c r="E31" s="245">
        <f>E30/E3</f>
        <v>0.13175868633983817</v>
      </c>
      <c r="F31" s="22">
        <v>0.13250000000000001</v>
      </c>
      <c r="G31" s="22">
        <v>0.13250000000000001</v>
      </c>
      <c r="H31" s="22">
        <v>0.13250000000000001</v>
      </c>
      <c r="I31" s="22">
        <v>0.13250000000000001</v>
      </c>
      <c r="J31" s="22">
        <v>0.13250000000000001</v>
      </c>
    </row>
  </sheetData>
  <mergeCells count="2">
    <mergeCell ref="F1:J1"/>
    <mergeCell ref="C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85"/>
  <sheetViews>
    <sheetView showGridLines="0" zoomScale="90" zoomScaleNormal="90" workbookViewId="0">
      <pane xSplit="2" ySplit="2" topLeftCell="C26" activePane="bottomRight" state="frozen"/>
      <selection pane="topRight" activeCell="B1" sqref="B1"/>
      <selection pane="bottomLeft" activeCell="A2" sqref="A2"/>
      <selection pane="bottomRight" activeCell="B47" sqref="B47"/>
    </sheetView>
  </sheetViews>
  <sheetFormatPr defaultColWidth="0" defaultRowHeight="14.5" zeroHeight="1" x14ac:dyDescent="0.35"/>
  <cols>
    <col min="1" max="1" width="3.54296875" customWidth="1"/>
    <col min="2" max="2" width="66.54296875" bestFit="1" customWidth="1"/>
    <col min="3" max="5" width="12.54296875" customWidth="1"/>
    <col min="6" max="10" width="12.54296875" style="23" customWidth="1"/>
    <col min="11" max="11" width="9.1796875" style="5" customWidth="1"/>
    <col min="12" max="16384" width="9.1796875" hidden="1"/>
  </cols>
  <sheetData>
    <row r="1" spans="1:10" ht="31.5" customHeight="1" x14ac:dyDescent="0.6">
      <c r="A1" s="316" t="str">
        <f>Index!A1</f>
        <v>P&amp;G Financial Modeling</v>
      </c>
      <c r="B1" s="318"/>
      <c r="C1" s="329" t="s">
        <v>18</v>
      </c>
      <c r="D1" s="329"/>
      <c r="E1" s="329"/>
      <c r="F1" s="329" t="s">
        <v>73</v>
      </c>
      <c r="G1" s="329"/>
      <c r="H1" s="329"/>
      <c r="I1" s="329"/>
      <c r="J1" s="329"/>
    </row>
    <row r="2" spans="1:10" x14ac:dyDescent="0.35">
      <c r="A2" s="317" t="s">
        <v>74</v>
      </c>
      <c r="B2" s="319"/>
      <c r="C2" s="321">
        <v>2022</v>
      </c>
      <c r="D2" s="321">
        <f t="shared" ref="D2:J2" si="0">C2+1</f>
        <v>2023</v>
      </c>
      <c r="E2" s="321">
        <f t="shared" si="0"/>
        <v>2024</v>
      </c>
      <c r="F2" s="321">
        <f t="shared" si="0"/>
        <v>2025</v>
      </c>
      <c r="G2" s="321">
        <f t="shared" si="0"/>
        <v>2026</v>
      </c>
      <c r="H2" s="321">
        <f t="shared" si="0"/>
        <v>2027</v>
      </c>
      <c r="I2" s="321">
        <f t="shared" si="0"/>
        <v>2028</v>
      </c>
      <c r="J2" s="321">
        <f t="shared" si="0"/>
        <v>2029</v>
      </c>
    </row>
    <row r="3" spans="1:10" x14ac:dyDescent="0.35">
      <c r="B3" s="9" t="s">
        <v>104</v>
      </c>
      <c r="C3" s="275">
        <f>'Income Statement'!C6</f>
        <v>80187</v>
      </c>
      <c r="D3" s="275">
        <f>'Income Statement'!D6</f>
        <v>82006</v>
      </c>
      <c r="E3" s="275">
        <f>'Income Statement'!E6</f>
        <v>84040</v>
      </c>
      <c r="F3" s="275">
        <f>'Income Statement'!F6</f>
        <v>86050.83</v>
      </c>
      <c r="G3" s="275">
        <f>'Income Statement'!G6</f>
        <v>88118.285099999994</v>
      </c>
      <c r="H3" s="275">
        <f>'Income Statement'!H6</f>
        <v>90244.425338249988</v>
      </c>
      <c r="I3" s="275">
        <f>'Income Statement'!I6</f>
        <v>92431.417090927484</v>
      </c>
      <c r="J3" s="275">
        <f>'Income Statement'!J6</f>
        <v>94681.540663172418</v>
      </c>
    </row>
    <row r="4" spans="1:10" x14ac:dyDescent="0.35">
      <c r="B4" s="9" t="s">
        <v>116</v>
      </c>
      <c r="C4" s="275">
        <f>-'Cash Flow'!C23</f>
        <v>3156</v>
      </c>
      <c r="D4" s="275">
        <f>-'Cash Flow'!D23</f>
        <v>3062</v>
      </c>
      <c r="E4" s="275">
        <f>-'Cash Flow'!E23</f>
        <v>3322</v>
      </c>
      <c r="F4" s="275">
        <f>F3*F5</f>
        <v>4302.5415000000003</v>
      </c>
      <c r="G4" s="275">
        <f t="shared" ref="G4:J4" si="1">G3*G5</f>
        <v>4405.9142549999997</v>
      </c>
      <c r="H4" s="275">
        <f t="shared" si="1"/>
        <v>4512.2212669124992</v>
      </c>
      <c r="I4" s="275">
        <f t="shared" si="1"/>
        <v>4621.570854546374</v>
      </c>
      <c r="J4" s="275">
        <f t="shared" si="1"/>
        <v>4734.0770331586209</v>
      </c>
    </row>
    <row r="5" spans="1:10" x14ac:dyDescent="0.35">
      <c r="B5" s="9" t="s">
        <v>117</v>
      </c>
      <c r="C5" s="101">
        <f>C4/C3</f>
        <v>3.9358000673425868E-2</v>
      </c>
      <c r="D5" s="101">
        <f t="shared" ref="D5:E5" si="2">D4/D3</f>
        <v>3.7338731312342999E-2</v>
      </c>
      <c r="E5" s="101">
        <f t="shared" si="2"/>
        <v>3.9528795811518323E-2</v>
      </c>
      <c r="F5" s="171">
        <v>0.05</v>
      </c>
      <c r="G5" s="171">
        <v>0.05</v>
      </c>
      <c r="H5" s="171">
        <v>0.05</v>
      </c>
      <c r="I5" s="171">
        <v>0.05</v>
      </c>
      <c r="J5" s="171">
        <v>0.05</v>
      </c>
    </row>
    <row r="6" spans="1:10" x14ac:dyDescent="0.35">
      <c r="B6" s="9"/>
      <c r="C6" s="100"/>
      <c r="D6" s="100"/>
      <c r="E6" s="100"/>
      <c r="F6" s="87"/>
      <c r="G6" s="87"/>
      <c r="H6" s="87"/>
      <c r="I6" s="87"/>
      <c r="J6" s="87"/>
    </row>
    <row r="7" spans="1:10" x14ac:dyDescent="0.35">
      <c r="B7" s="9" t="s">
        <v>118</v>
      </c>
      <c r="C7" s="100"/>
      <c r="D7" s="100"/>
      <c r="E7" s="100"/>
      <c r="F7" s="152">
        <f>E11</f>
        <v>22152</v>
      </c>
      <c r="G7" s="152">
        <f t="shared" ref="G7:J7" si="3">F11</f>
        <v>19929.377512280062</v>
      </c>
      <c r="H7" s="152">
        <f t="shared" si="3"/>
        <v>17084.345469269865</v>
      </c>
      <c r="I7" s="152">
        <f t="shared" si="3"/>
        <v>13575.119392294673</v>
      </c>
      <c r="J7" s="152">
        <f t="shared" si="3"/>
        <v>9471.6368806689243</v>
      </c>
    </row>
    <row r="8" spans="1:10" x14ac:dyDescent="0.35">
      <c r="B8" s="9" t="s">
        <v>116</v>
      </c>
      <c r="C8" s="100"/>
      <c r="D8" s="100"/>
      <c r="E8" s="100"/>
      <c r="F8" s="152">
        <f>F4</f>
        <v>4302.5415000000003</v>
      </c>
      <c r="G8" s="152">
        <f t="shared" ref="G8:J8" si="4">G4</f>
        <v>4405.9142549999997</v>
      </c>
      <c r="H8" s="152">
        <f t="shared" si="4"/>
        <v>4512.2212669124992</v>
      </c>
      <c r="I8" s="152">
        <f t="shared" si="4"/>
        <v>4621.570854546374</v>
      </c>
      <c r="J8" s="152">
        <f t="shared" si="4"/>
        <v>4734.0770331586209</v>
      </c>
    </row>
    <row r="9" spans="1:10" x14ac:dyDescent="0.35">
      <c r="B9" s="9" t="s">
        <v>119</v>
      </c>
      <c r="C9" s="100"/>
      <c r="D9" s="100"/>
      <c r="E9" s="100"/>
      <c r="F9" s="152">
        <f>F62</f>
        <v>6357.8306543866056</v>
      </c>
      <c r="G9" s="152">
        <f t="shared" ref="G9:J9" si="5">G62</f>
        <v>7064.5018535657528</v>
      </c>
      <c r="H9" s="152">
        <f t="shared" si="5"/>
        <v>7788.188084628433</v>
      </c>
      <c r="I9" s="152">
        <f t="shared" si="5"/>
        <v>8529.3743538264443</v>
      </c>
      <c r="J9" s="152">
        <f t="shared" si="5"/>
        <v>9288.5637093107835</v>
      </c>
    </row>
    <row r="10" spans="1:10" x14ac:dyDescent="0.35">
      <c r="B10" s="9" t="s">
        <v>120</v>
      </c>
      <c r="C10">
        <v>110</v>
      </c>
      <c r="D10">
        <v>46</v>
      </c>
      <c r="E10">
        <v>346</v>
      </c>
      <c r="F10" s="152">
        <f>AVERAGE(C10:E10)</f>
        <v>167.33333333333334</v>
      </c>
      <c r="G10" s="152">
        <f t="shared" ref="G10:J10" si="6">AVERAGE(D10:F10)</f>
        <v>186.44444444444446</v>
      </c>
      <c r="H10" s="152">
        <f t="shared" si="6"/>
        <v>233.25925925925927</v>
      </c>
      <c r="I10" s="152">
        <f t="shared" si="6"/>
        <v>195.67901234567901</v>
      </c>
      <c r="J10" s="152">
        <f t="shared" si="6"/>
        <v>205.1275720164609</v>
      </c>
    </row>
    <row r="11" spans="1:10" x14ac:dyDescent="0.35">
      <c r="B11" s="103" t="s">
        <v>121</v>
      </c>
      <c r="C11" s="104"/>
      <c r="D11" s="104"/>
      <c r="E11" s="110">
        <f>'Balance Sheet'!E13</f>
        <v>22152</v>
      </c>
      <c r="F11" s="172">
        <f>F7+F8-F9-F10</f>
        <v>19929.377512280062</v>
      </c>
      <c r="G11" s="172">
        <f t="shared" ref="G11:J11" si="7">G7+G8-G9-G10</f>
        <v>17084.345469269865</v>
      </c>
      <c r="H11" s="172">
        <f t="shared" si="7"/>
        <v>13575.119392294673</v>
      </c>
      <c r="I11" s="172">
        <f t="shared" si="7"/>
        <v>9471.6368806689243</v>
      </c>
      <c r="J11" s="172">
        <f t="shared" si="7"/>
        <v>4712.0226325003005</v>
      </c>
    </row>
    <row r="12" spans="1:10" x14ac:dyDescent="0.35">
      <c r="B12" s="9"/>
      <c r="C12" s="100"/>
      <c r="D12" s="100"/>
      <c r="E12" s="100"/>
      <c r="F12" s="68"/>
      <c r="G12" s="68"/>
      <c r="H12" s="68"/>
      <c r="I12" s="68"/>
      <c r="J12" s="68"/>
    </row>
    <row r="13" spans="1:10" s="2" customFormat="1" x14ac:dyDescent="0.35">
      <c r="B13" s="77" t="s">
        <v>129</v>
      </c>
      <c r="C13" s="100" t="s">
        <v>124</v>
      </c>
      <c r="D13" s="28" t="s">
        <v>125</v>
      </c>
      <c r="E13" s="14" t="s">
        <v>126</v>
      </c>
      <c r="F13" s="69"/>
      <c r="G13" s="69"/>
      <c r="H13" s="69"/>
      <c r="I13" s="69"/>
      <c r="J13" s="69"/>
    </row>
    <row r="14" spans="1:10" x14ac:dyDescent="0.35">
      <c r="B14" s="9" t="s">
        <v>248</v>
      </c>
      <c r="C14" s="170">
        <v>20041</v>
      </c>
      <c r="D14" s="111">
        <v>40</v>
      </c>
      <c r="E14" s="108">
        <f>C14/$C$17</f>
        <v>0.18265085715848089</v>
      </c>
      <c r="F14" s="68"/>
      <c r="G14" s="68"/>
      <c r="H14" s="68"/>
      <c r="I14" s="68"/>
      <c r="J14" s="68"/>
    </row>
    <row r="15" spans="1:10" s="2" customFormat="1" ht="17.25" customHeight="1" x14ac:dyDescent="0.35">
      <c r="B15" s="9" t="s">
        <v>114</v>
      </c>
      <c r="C15" s="170">
        <v>78659</v>
      </c>
      <c r="D15" s="111">
        <v>5</v>
      </c>
      <c r="E15" s="108">
        <f t="shared" ref="E15:E16" si="8">C15/$C$17</f>
        <v>0.71688707016760389</v>
      </c>
      <c r="F15" s="69"/>
      <c r="G15" s="69"/>
      <c r="H15" s="69"/>
      <c r="I15" s="69"/>
      <c r="J15" s="69"/>
    </row>
    <row r="16" spans="1:10" x14ac:dyDescent="0.35">
      <c r="B16" s="9" t="s">
        <v>115</v>
      </c>
      <c r="C16" s="170">
        <v>11023</v>
      </c>
      <c r="D16" s="111">
        <v>7</v>
      </c>
      <c r="E16" s="108">
        <f t="shared" si="8"/>
        <v>0.10046207267391523</v>
      </c>
      <c r="F16" s="68"/>
      <c r="G16" s="68"/>
      <c r="H16" s="68"/>
      <c r="I16" s="68"/>
      <c r="J16" s="68"/>
    </row>
    <row r="17" spans="2:10" x14ac:dyDescent="0.35">
      <c r="B17" s="110" t="s">
        <v>122</v>
      </c>
      <c r="C17" s="268">
        <f>SUM(C14:C16)</f>
        <v>109723</v>
      </c>
      <c r="D17" s="104"/>
      <c r="E17" s="104"/>
      <c r="F17" s="172"/>
      <c r="G17" s="172"/>
      <c r="H17" s="172"/>
      <c r="I17" s="172"/>
      <c r="J17" s="172"/>
    </row>
    <row r="18" spans="2:10" x14ac:dyDescent="0.35">
      <c r="B18" s="55"/>
      <c r="C18" s="55"/>
      <c r="D18" s="55"/>
      <c r="E18" s="55"/>
      <c r="F18" s="68"/>
      <c r="G18" s="68"/>
      <c r="H18" s="68"/>
      <c r="I18" s="68"/>
      <c r="J18" s="68"/>
    </row>
    <row r="19" spans="2:10" x14ac:dyDescent="0.35">
      <c r="B19" s="77" t="s">
        <v>127</v>
      </c>
      <c r="C19" s="55"/>
      <c r="D19" s="55"/>
      <c r="E19" s="55"/>
      <c r="F19" s="68"/>
      <c r="G19" s="68"/>
      <c r="H19" s="68"/>
      <c r="I19" s="68"/>
      <c r="J19" s="68"/>
    </row>
    <row r="20" spans="2:10" x14ac:dyDescent="0.35">
      <c r="B20" s="9" t="s">
        <v>128</v>
      </c>
      <c r="C20" s="55"/>
      <c r="D20" s="55"/>
      <c r="E20" s="102"/>
      <c r="F20" s="85">
        <v>2022</v>
      </c>
      <c r="G20" s="85">
        <f t="shared" ref="G20" si="9">F20+1</f>
        <v>2023</v>
      </c>
      <c r="H20" s="85">
        <f t="shared" ref="H20" si="10">G20+1</f>
        <v>2024</v>
      </c>
      <c r="I20" s="85">
        <f t="shared" ref="I20" si="11">H20+1</f>
        <v>2025</v>
      </c>
      <c r="J20" s="85">
        <f t="shared" ref="J20" si="12">I20+1</f>
        <v>2026</v>
      </c>
    </row>
    <row r="21" spans="2:10" x14ac:dyDescent="0.35">
      <c r="B21" s="9" t="s">
        <v>123</v>
      </c>
      <c r="C21" s="55"/>
      <c r="D21" s="55"/>
      <c r="E21" s="55"/>
      <c r="F21" s="267">
        <f>F$4*$E14</f>
        <v>785.86289293493621</v>
      </c>
      <c r="G21" s="267">
        <f t="shared" ref="G21:J21" si="13">G$4*$E14</f>
        <v>804.74401524251971</v>
      </c>
      <c r="H21" s="267">
        <f t="shared" si="13"/>
        <v>824.1610820902946</v>
      </c>
      <c r="I21" s="267">
        <f t="shared" si="13"/>
        <v>844.13387800154828</v>
      </c>
      <c r="J21" s="267">
        <f t="shared" si="13"/>
        <v>864.68322796070026</v>
      </c>
    </row>
    <row r="22" spans="2:10" x14ac:dyDescent="0.35">
      <c r="B22" s="9" t="s">
        <v>114</v>
      </c>
      <c r="C22" s="55"/>
      <c r="D22" s="55"/>
      <c r="E22" s="55"/>
      <c r="F22" s="267">
        <f t="shared" ref="F22:J23" si="14">F$4*$E15</f>
        <v>3084.4363702095279</v>
      </c>
      <c r="G22" s="267">
        <f t="shared" si="14"/>
        <v>3158.542961676631</v>
      </c>
      <c r="H22" s="267">
        <f t="shared" si="14"/>
        <v>3234.7530839848555</v>
      </c>
      <c r="I22" s="267">
        <f t="shared" si="14"/>
        <v>3313.1443894877393</v>
      </c>
      <c r="J22" s="267">
        <f t="shared" si="14"/>
        <v>3393.7986142488262</v>
      </c>
    </row>
    <row r="23" spans="2:10" x14ac:dyDescent="0.35">
      <c r="B23" s="9" t="s">
        <v>115</v>
      </c>
      <c r="C23" s="55"/>
      <c r="D23" s="55"/>
      <c r="E23" s="55"/>
      <c r="F23" s="267">
        <f t="shared" si="14"/>
        <v>432.24223685553625</v>
      </c>
      <c r="G23" s="267">
        <f t="shared" si="14"/>
        <v>442.62727808084907</v>
      </c>
      <c r="H23" s="267">
        <f t="shared" si="14"/>
        <v>453.30710083734937</v>
      </c>
      <c r="I23" s="267">
        <f t="shared" si="14"/>
        <v>464.29258705708634</v>
      </c>
      <c r="J23" s="267">
        <f t="shared" si="14"/>
        <v>475.59519094909439</v>
      </c>
    </row>
    <row r="24" spans="2:10" x14ac:dyDescent="0.35">
      <c r="B24" s="9"/>
      <c r="C24" s="55"/>
      <c r="D24" s="55"/>
      <c r="E24" s="55"/>
      <c r="F24" s="68"/>
      <c r="G24" s="68"/>
      <c r="H24" s="68"/>
      <c r="I24" s="68"/>
      <c r="J24" s="68"/>
    </row>
    <row r="25" spans="2:10" x14ac:dyDescent="0.35">
      <c r="B25" s="98" t="s">
        <v>249</v>
      </c>
      <c r="C25" s="113"/>
      <c r="D25" s="113"/>
      <c r="E25" s="113"/>
      <c r="F25" s="173"/>
      <c r="G25" s="173"/>
      <c r="H25" s="173"/>
      <c r="I25" s="173"/>
      <c r="J25" s="173"/>
    </row>
    <row r="26" spans="2:10" x14ac:dyDescent="0.35">
      <c r="B26" s="105" t="s">
        <v>125</v>
      </c>
      <c r="C26" s="56">
        <f>D14</f>
        <v>40</v>
      </c>
      <c r="D26" s="55"/>
      <c r="E26" s="55"/>
      <c r="F26" s="68"/>
      <c r="G26" s="68"/>
      <c r="H26" s="68"/>
      <c r="I26" s="68"/>
      <c r="J26" s="68"/>
    </row>
    <row r="27" spans="2:10" x14ac:dyDescent="0.35">
      <c r="B27" s="9" t="s">
        <v>248</v>
      </c>
      <c r="C27" s="56">
        <f>C14</f>
        <v>20041</v>
      </c>
      <c r="D27" s="55"/>
      <c r="E27" s="55"/>
      <c r="F27" s="68">
        <f>$C27/$C26</f>
        <v>501.02499999999998</v>
      </c>
      <c r="G27" s="68">
        <f t="shared" ref="G27:J27" si="15">$C27/$C26</f>
        <v>501.02499999999998</v>
      </c>
      <c r="H27" s="68">
        <f t="shared" si="15"/>
        <v>501.02499999999998</v>
      </c>
      <c r="I27" s="68">
        <f t="shared" si="15"/>
        <v>501.02499999999998</v>
      </c>
      <c r="J27" s="68">
        <f t="shared" si="15"/>
        <v>501.02499999999998</v>
      </c>
    </row>
    <row r="28" spans="2:10" x14ac:dyDescent="0.35">
      <c r="B28" s="55"/>
      <c r="C28" s="55"/>
      <c r="D28" s="55"/>
      <c r="E28" s="55"/>
      <c r="F28" s="68"/>
      <c r="G28" s="68"/>
      <c r="H28" s="68"/>
      <c r="I28" s="68"/>
      <c r="J28" s="68"/>
    </row>
    <row r="29" spans="2:10" x14ac:dyDescent="0.35">
      <c r="B29" s="106" t="s">
        <v>130</v>
      </c>
      <c r="C29" s="115" t="s">
        <v>131</v>
      </c>
      <c r="D29" s="116" t="s">
        <v>125</v>
      </c>
      <c r="E29" s="55"/>
      <c r="F29" s="68"/>
      <c r="G29" s="68"/>
      <c r="H29" s="68"/>
      <c r="I29" s="68"/>
      <c r="J29" s="68"/>
    </row>
    <row r="30" spans="2:10" x14ac:dyDescent="0.35">
      <c r="B30" s="119">
        <f>F2</f>
        <v>2025</v>
      </c>
      <c r="C30" s="267">
        <f>F$4*$E14</f>
        <v>785.86289293493621</v>
      </c>
      <c r="D30" s="118">
        <f>$D$14</f>
        <v>40</v>
      </c>
      <c r="E30" s="55"/>
      <c r="F30" s="269">
        <f>$C30/$D30/2</f>
        <v>9.8232861616867027</v>
      </c>
      <c r="G30" s="175">
        <f>$C30/$D30</f>
        <v>19.646572323373405</v>
      </c>
      <c r="H30" s="175">
        <f t="shared" ref="H30:J32" si="16">$C30/$D30</f>
        <v>19.646572323373405</v>
      </c>
      <c r="I30" s="175">
        <f t="shared" si="16"/>
        <v>19.646572323373405</v>
      </c>
      <c r="J30" s="175">
        <f t="shared" si="16"/>
        <v>19.646572323373405</v>
      </c>
    </row>
    <row r="31" spans="2:10" x14ac:dyDescent="0.35">
      <c r="B31" s="119">
        <f>B30+1</f>
        <v>2026</v>
      </c>
      <c r="C31" s="267">
        <f>G$4*$E14</f>
        <v>804.74401524251971</v>
      </c>
      <c r="D31" s="118">
        <f t="shared" ref="D31:D34" si="17">$D$14</f>
        <v>40</v>
      </c>
      <c r="E31" s="55"/>
      <c r="F31" s="174"/>
      <c r="G31" s="269">
        <f>$C31/$D31/2</f>
        <v>10.059300190531497</v>
      </c>
      <c r="H31" s="175">
        <f>$C31/$D31</f>
        <v>20.118600381062993</v>
      </c>
      <c r="I31" s="175">
        <f t="shared" si="16"/>
        <v>20.118600381062993</v>
      </c>
      <c r="J31" s="175">
        <f t="shared" si="16"/>
        <v>20.118600381062993</v>
      </c>
    </row>
    <row r="32" spans="2:10" x14ac:dyDescent="0.35">
      <c r="B32" s="119">
        <f t="shared" ref="B32:B34" si="18">B31+1</f>
        <v>2027</v>
      </c>
      <c r="C32" s="267">
        <f>H$4*$E14</f>
        <v>824.1610820902946</v>
      </c>
      <c r="D32" s="118">
        <f t="shared" si="17"/>
        <v>40</v>
      </c>
      <c r="E32" s="55"/>
      <c r="F32" s="176"/>
      <c r="G32" s="176"/>
      <c r="H32" s="269">
        <f>$C32/$D32/2</f>
        <v>10.302013526128682</v>
      </c>
      <c r="I32" s="175">
        <f>$C32/$D32</f>
        <v>20.604027052257365</v>
      </c>
      <c r="J32" s="175">
        <f t="shared" si="16"/>
        <v>20.604027052257365</v>
      </c>
    </row>
    <row r="33" spans="1:12" x14ac:dyDescent="0.35">
      <c r="B33" s="119">
        <f t="shared" si="18"/>
        <v>2028</v>
      </c>
      <c r="C33" s="267">
        <f>I$4*$E14</f>
        <v>844.13387800154828</v>
      </c>
      <c r="D33" s="118">
        <f t="shared" si="17"/>
        <v>40</v>
      </c>
      <c r="E33" s="55"/>
      <c r="F33" s="176"/>
      <c r="G33" s="176"/>
      <c r="H33" s="176"/>
      <c r="I33" s="269">
        <f>$C33/$D33/2</f>
        <v>10.551673475019353</v>
      </c>
      <c r="J33" s="175">
        <f>$C33/$D33</f>
        <v>21.103346950038706</v>
      </c>
    </row>
    <row r="34" spans="1:12" x14ac:dyDescent="0.35">
      <c r="B34" s="119">
        <f t="shared" si="18"/>
        <v>2029</v>
      </c>
      <c r="C34" s="267">
        <f>J$4*$E14</f>
        <v>864.68322796070026</v>
      </c>
      <c r="D34" s="118">
        <f t="shared" si="17"/>
        <v>40</v>
      </c>
      <c r="E34" s="55"/>
      <c r="F34" s="176"/>
      <c r="G34" s="176"/>
      <c r="H34" s="176"/>
      <c r="I34" s="176"/>
      <c r="J34" s="269">
        <f>$C34/$D34/2</f>
        <v>10.808540349508753</v>
      </c>
      <c r="L34" s="175"/>
    </row>
    <row r="35" spans="1:12" s="4" customFormat="1" x14ac:dyDescent="0.35">
      <c r="A35" s="99" t="s">
        <v>132</v>
      </c>
      <c r="B35" s="270" t="s">
        <v>133</v>
      </c>
      <c r="C35" s="271"/>
      <c r="D35" s="271"/>
      <c r="E35" s="272"/>
      <c r="F35" s="273">
        <f>SUM(F27:F34)</f>
        <v>510.8482861616867</v>
      </c>
      <c r="G35" s="273">
        <f t="shared" ref="G35:J35" si="19">SUM(G27:G34)</f>
        <v>530.73087251390496</v>
      </c>
      <c r="H35" s="273">
        <f t="shared" si="19"/>
        <v>551.09218623056506</v>
      </c>
      <c r="I35" s="273">
        <f t="shared" si="19"/>
        <v>571.94587323171311</v>
      </c>
      <c r="J35" s="273">
        <f t="shared" si="19"/>
        <v>593.30608705624127</v>
      </c>
      <c r="K35" s="5"/>
    </row>
    <row r="36" spans="1:12" x14ac:dyDescent="0.35">
      <c r="B36" s="55"/>
      <c r="C36" s="55"/>
      <c r="D36" s="55"/>
      <c r="E36" s="55"/>
      <c r="F36" s="68"/>
      <c r="G36" s="68"/>
      <c r="H36" s="68"/>
      <c r="I36" s="68"/>
      <c r="J36" s="68"/>
    </row>
    <row r="37" spans="1:12" ht="17.25" customHeight="1" x14ac:dyDescent="0.35">
      <c r="B37" s="112" t="s">
        <v>250</v>
      </c>
      <c r="C37" s="113"/>
      <c r="D37" s="113"/>
      <c r="E37" s="55"/>
      <c r="F37" s="68"/>
      <c r="G37" s="68"/>
      <c r="H37" s="68"/>
      <c r="I37" s="68"/>
      <c r="J37" s="68"/>
    </row>
    <row r="38" spans="1:12" x14ac:dyDescent="0.35">
      <c r="B38" s="105" t="s">
        <v>125</v>
      </c>
      <c r="C38" s="56">
        <v>20</v>
      </c>
      <c r="D38" s="55"/>
      <c r="E38" s="55"/>
      <c r="F38" s="68"/>
      <c r="G38" s="68"/>
      <c r="H38" s="68"/>
      <c r="I38" s="68"/>
      <c r="J38" s="68"/>
    </row>
    <row r="39" spans="1:12" x14ac:dyDescent="0.35">
      <c r="B39" s="9" t="s">
        <v>114</v>
      </c>
      <c r="C39" s="109">
        <f>C15</f>
        <v>78659</v>
      </c>
      <c r="D39" s="109"/>
      <c r="E39" s="55"/>
      <c r="F39" s="68">
        <f>$C39/$C38</f>
        <v>3932.95</v>
      </c>
      <c r="G39" s="68">
        <f t="shared" ref="G39:J39" si="20">$C39/$C38</f>
        <v>3932.95</v>
      </c>
      <c r="H39" s="68">
        <f t="shared" si="20"/>
        <v>3932.95</v>
      </c>
      <c r="I39" s="68">
        <f t="shared" si="20"/>
        <v>3932.95</v>
      </c>
      <c r="J39" s="68">
        <f t="shared" si="20"/>
        <v>3932.95</v>
      </c>
    </row>
    <row r="40" spans="1:12" x14ac:dyDescent="0.35">
      <c r="B40" s="55"/>
      <c r="C40" s="55"/>
      <c r="D40" s="55"/>
      <c r="E40" s="55"/>
      <c r="F40" s="68"/>
      <c r="G40" s="68"/>
      <c r="H40" s="68"/>
      <c r="I40" s="68"/>
      <c r="J40" s="68"/>
    </row>
    <row r="41" spans="1:12" x14ac:dyDescent="0.35">
      <c r="B41" s="106" t="s">
        <v>130</v>
      </c>
      <c r="C41" s="115" t="s">
        <v>131</v>
      </c>
      <c r="D41" s="116" t="s">
        <v>125</v>
      </c>
      <c r="E41" s="55"/>
      <c r="F41" s="68"/>
      <c r="G41" s="68"/>
      <c r="H41" s="68"/>
      <c r="I41" s="68"/>
      <c r="J41" s="68"/>
    </row>
    <row r="42" spans="1:12" x14ac:dyDescent="0.35">
      <c r="B42" s="119">
        <f>F2</f>
        <v>2025</v>
      </c>
      <c r="C42" s="267">
        <f>F$4*$E15</f>
        <v>3084.4363702095279</v>
      </c>
      <c r="D42" s="118">
        <f>$D$15</f>
        <v>5</v>
      </c>
      <c r="E42" s="55"/>
      <c r="F42" s="174">
        <f>$C42/$D42/2</f>
        <v>308.44363702095279</v>
      </c>
      <c r="G42" s="175">
        <f>$C42/$D42</f>
        <v>616.88727404190558</v>
      </c>
      <c r="H42" s="175">
        <f>$C42/$D42</f>
        <v>616.88727404190558</v>
      </c>
      <c r="I42" s="175">
        <f>$C42/$D42</f>
        <v>616.88727404190558</v>
      </c>
      <c r="J42" s="175">
        <f t="shared" ref="J42" si="21">$C42/$D42</f>
        <v>616.88727404190558</v>
      </c>
      <c r="L42" s="175"/>
    </row>
    <row r="43" spans="1:12" x14ac:dyDescent="0.35">
      <c r="B43" s="119">
        <f>B42+1</f>
        <v>2026</v>
      </c>
      <c r="C43" s="267">
        <f>G$4*$E15</f>
        <v>3158.542961676631</v>
      </c>
      <c r="D43" s="118">
        <f t="shared" ref="D43:D46" si="22">$D$15</f>
        <v>5</v>
      </c>
      <c r="E43" s="55"/>
      <c r="F43" s="174"/>
      <c r="G43" s="174">
        <f>$C43/$D43/2</f>
        <v>315.85429616766311</v>
      </c>
      <c r="H43" s="175">
        <f>$C43/$D43</f>
        <v>631.70859233532622</v>
      </c>
      <c r="I43" s="175">
        <f>$C43/$D43</f>
        <v>631.70859233532622</v>
      </c>
      <c r="J43" s="175">
        <f>$C43/$D43</f>
        <v>631.70859233532622</v>
      </c>
    </row>
    <row r="44" spans="1:12" x14ac:dyDescent="0.35">
      <c r="B44" s="119">
        <f t="shared" ref="B44:B46" si="23">B43+1</f>
        <v>2027</v>
      </c>
      <c r="C44" s="267">
        <f>H$4*$E15</f>
        <v>3234.7530839848555</v>
      </c>
      <c r="D44" s="118">
        <f t="shared" si="22"/>
        <v>5</v>
      </c>
      <c r="E44" s="55"/>
      <c r="F44" s="176"/>
      <c r="G44" s="176"/>
      <c r="H44" s="174">
        <f>$C44/$D44/2</f>
        <v>323.47530839848554</v>
      </c>
      <c r="I44" s="175">
        <f>$C44/$D44</f>
        <v>646.95061679697108</v>
      </c>
      <c r="J44" s="175">
        <f>$C44/$D44</f>
        <v>646.95061679697108</v>
      </c>
    </row>
    <row r="45" spans="1:12" x14ac:dyDescent="0.35">
      <c r="B45" s="119">
        <f t="shared" si="23"/>
        <v>2028</v>
      </c>
      <c r="C45" s="267">
        <f>I$4*$E15</f>
        <v>3313.1443894877393</v>
      </c>
      <c r="D45" s="118">
        <f t="shared" si="22"/>
        <v>5</v>
      </c>
      <c r="E45" s="55"/>
      <c r="F45" s="176"/>
      <c r="G45" s="176"/>
      <c r="H45" s="176"/>
      <c r="I45" s="174">
        <f>$C45/$D45/2</f>
        <v>331.31443894877395</v>
      </c>
      <c r="J45" s="175">
        <f>$C45/$D45</f>
        <v>662.62887789754791</v>
      </c>
    </row>
    <row r="46" spans="1:12" x14ac:dyDescent="0.35">
      <c r="B46" s="119">
        <f t="shared" si="23"/>
        <v>2029</v>
      </c>
      <c r="C46" s="267">
        <f>J$4*$E15</f>
        <v>3393.7986142488262</v>
      </c>
      <c r="D46" s="118">
        <f t="shared" si="22"/>
        <v>5</v>
      </c>
      <c r="E46" s="55"/>
      <c r="F46" s="176"/>
      <c r="G46" s="176"/>
      <c r="H46" s="176"/>
      <c r="I46" s="176"/>
      <c r="J46" s="174">
        <f>$C46/$D46/2</f>
        <v>339.37986142488262</v>
      </c>
    </row>
    <row r="47" spans="1:12" x14ac:dyDescent="0.35">
      <c r="A47" s="99" t="s">
        <v>134</v>
      </c>
      <c r="B47" s="274" t="s">
        <v>251</v>
      </c>
      <c r="C47" s="271"/>
      <c r="D47" s="271"/>
      <c r="E47" s="272"/>
      <c r="F47" s="273">
        <f>SUM(F39:F46)</f>
        <v>4241.3936370209522</v>
      </c>
      <c r="G47" s="273">
        <f t="shared" ref="G47" si="24">SUM(G39:G46)</f>
        <v>4865.6915702095685</v>
      </c>
      <c r="H47" s="273">
        <f t="shared" ref="H47" si="25">SUM(H39:H46)</f>
        <v>5505.0211747757166</v>
      </c>
      <c r="I47" s="273">
        <f t="shared" ref="I47" si="26">SUM(I39:I46)</f>
        <v>6159.810922122977</v>
      </c>
      <c r="J47" s="273">
        <f t="shared" ref="J47" si="27">SUM(J39:J46)</f>
        <v>6830.505222496633</v>
      </c>
    </row>
    <row r="48" spans="1:12" hidden="1" x14ac:dyDescent="0.35">
      <c r="E48" s="55"/>
      <c r="F48" s="68"/>
      <c r="G48" s="68"/>
      <c r="H48" s="68"/>
      <c r="I48" s="68"/>
      <c r="J48" s="68"/>
    </row>
    <row r="49" spans="1:11" x14ac:dyDescent="0.35">
      <c r="E49" s="55"/>
      <c r="F49" s="68"/>
      <c r="G49" s="68"/>
      <c r="H49" s="68"/>
      <c r="I49" s="68"/>
      <c r="J49" s="68"/>
    </row>
    <row r="50" spans="1:11" x14ac:dyDescent="0.35">
      <c r="B50" s="107" t="s">
        <v>135</v>
      </c>
      <c r="C50" s="114"/>
      <c r="D50" s="113"/>
      <c r="E50" s="55"/>
      <c r="F50" s="68"/>
      <c r="G50" s="68"/>
      <c r="H50" s="68"/>
      <c r="I50" s="68"/>
      <c r="J50" s="68"/>
    </row>
    <row r="51" spans="1:11" x14ac:dyDescent="0.35">
      <c r="B51" s="105" t="s">
        <v>125</v>
      </c>
      <c r="C51" s="56">
        <f>D16</f>
        <v>7</v>
      </c>
      <c r="D51" s="55"/>
      <c r="E51" s="55"/>
      <c r="F51" s="68"/>
      <c r="G51" s="68"/>
      <c r="H51" s="68"/>
      <c r="I51" s="68"/>
      <c r="J51" s="68"/>
    </row>
    <row r="52" spans="1:11" x14ac:dyDescent="0.35">
      <c r="B52" s="105" t="s">
        <v>115</v>
      </c>
      <c r="C52" s="109">
        <f>C16</f>
        <v>11023</v>
      </c>
      <c r="D52" s="109"/>
      <c r="E52" s="55"/>
      <c r="F52" s="68">
        <f>$C52/$C51</f>
        <v>1574.7142857142858</v>
      </c>
      <c r="G52" s="68">
        <f t="shared" ref="G52:J52" si="28">$C52/$C51</f>
        <v>1574.7142857142858</v>
      </c>
      <c r="H52" s="68">
        <f t="shared" si="28"/>
        <v>1574.7142857142858</v>
      </c>
      <c r="I52" s="68">
        <f t="shared" si="28"/>
        <v>1574.7142857142858</v>
      </c>
      <c r="J52" s="68">
        <f t="shared" si="28"/>
        <v>1574.7142857142858</v>
      </c>
    </row>
    <row r="53" spans="1:11" x14ac:dyDescent="0.35">
      <c r="B53" s="105" t="s">
        <v>136</v>
      </c>
      <c r="C53" s="55"/>
      <c r="D53" s="55"/>
      <c r="E53" s="55"/>
      <c r="F53" s="68"/>
      <c r="G53" s="68"/>
      <c r="H53" s="68"/>
      <c r="I53" s="68"/>
      <c r="J53" s="68"/>
    </row>
    <row r="54" spans="1:11" x14ac:dyDescent="0.35">
      <c r="B54" s="106" t="s">
        <v>130</v>
      </c>
      <c r="C54" s="115" t="s">
        <v>131</v>
      </c>
      <c r="D54" s="117" t="s">
        <v>125</v>
      </c>
      <c r="E54" s="55"/>
      <c r="F54" s="68"/>
      <c r="G54" s="175"/>
      <c r="H54" s="175"/>
      <c r="I54" s="175"/>
      <c r="J54" s="175"/>
    </row>
    <row r="55" spans="1:11" x14ac:dyDescent="0.35">
      <c r="B55" s="119">
        <f>F2</f>
        <v>2025</v>
      </c>
      <c r="C55" s="267">
        <f>F$4*$E16</f>
        <v>432.24223685553625</v>
      </c>
      <c r="D55" s="117">
        <f>$D$16</f>
        <v>7</v>
      </c>
      <c r="E55" s="55"/>
      <c r="F55" s="174">
        <f>$C55/$D55/2</f>
        <v>30.874445489681161</v>
      </c>
      <c r="G55" s="175">
        <f>$C55/$D55</f>
        <v>61.748890979362322</v>
      </c>
      <c r="H55" s="175">
        <f t="shared" ref="H55:J57" si="29">$C55/$D55</f>
        <v>61.748890979362322</v>
      </c>
      <c r="I55" s="175">
        <f t="shared" si="29"/>
        <v>61.748890979362322</v>
      </c>
      <c r="J55" s="175">
        <f t="shared" si="29"/>
        <v>61.748890979362322</v>
      </c>
    </row>
    <row r="56" spans="1:11" x14ac:dyDescent="0.35">
      <c r="B56" s="119">
        <f>B55+1</f>
        <v>2026</v>
      </c>
      <c r="C56" s="267">
        <f>G$4*$E16</f>
        <v>442.62727808084907</v>
      </c>
      <c r="D56" s="117">
        <f t="shared" ref="D56:D59" si="30">$D$16</f>
        <v>7</v>
      </c>
      <c r="E56" s="55"/>
      <c r="F56" s="174"/>
      <c r="G56" s="174">
        <f>$C56/$D56/2</f>
        <v>31.616234148632078</v>
      </c>
      <c r="H56" s="175">
        <f>$C56/$D56</f>
        <v>63.232468297264155</v>
      </c>
      <c r="I56" s="175">
        <f t="shared" si="29"/>
        <v>63.232468297264155</v>
      </c>
      <c r="J56" s="175">
        <f t="shared" si="29"/>
        <v>63.232468297264155</v>
      </c>
    </row>
    <row r="57" spans="1:11" x14ac:dyDescent="0.35">
      <c r="B57" s="119">
        <f t="shared" ref="B57:B59" si="31">B56+1</f>
        <v>2027</v>
      </c>
      <c r="C57" s="267">
        <f>H$4*$E16</f>
        <v>453.30710083734937</v>
      </c>
      <c r="D57" s="117">
        <f t="shared" si="30"/>
        <v>7</v>
      </c>
      <c r="E57" s="55"/>
      <c r="F57" s="176"/>
      <c r="G57" s="176"/>
      <c r="H57" s="174">
        <f>$C57/$D57/2</f>
        <v>32.379078631239238</v>
      </c>
      <c r="I57" s="175">
        <f>$C57/$D57</f>
        <v>64.758157262478477</v>
      </c>
      <c r="J57" s="175">
        <f t="shared" si="29"/>
        <v>64.758157262478477</v>
      </c>
    </row>
    <row r="58" spans="1:11" x14ac:dyDescent="0.35">
      <c r="B58" s="119">
        <f t="shared" si="31"/>
        <v>2028</v>
      </c>
      <c r="C58" s="267">
        <f>I$4*$E16</f>
        <v>464.29258705708634</v>
      </c>
      <c r="D58" s="117">
        <f t="shared" si="30"/>
        <v>7</v>
      </c>
      <c r="E58" s="55"/>
      <c r="F58" s="176"/>
      <c r="G58" s="176"/>
      <c r="H58" s="176"/>
      <c r="I58" s="174">
        <f>$C58/$D58/2</f>
        <v>33.163756218363311</v>
      </c>
      <c r="J58" s="175">
        <f>$C58/$D58</f>
        <v>66.327512436726622</v>
      </c>
    </row>
    <row r="59" spans="1:11" x14ac:dyDescent="0.35">
      <c r="B59" s="119">
        <f t="shared" si="31"/>
        <v>2029</v>
      </c>
      <c r="C59" s="267">
        <f>J$4*$E16</f>
        <v>475.59519094909439</v>
      </c>
      <c r="D59" s="117">
        <f t="shared" si="30"/>
        <v>7</v>
      </c>
      <c r="E59" s="55"/>
      <c r="F59" s="176"/>
      <c r="G59" s="176"/>
      <c r="H59" s="176"/>
      <c r="I59" s="176"/>
      <c r="J59" s="174">
        <f>$C59/$D59/2</f>
        <v>33.971085067792458</v>
      </c>
    </row>
    <row r="60" spans="1:11" s="4" customFormat="1" x14ac:dyDescent="0.35">
      <c r="A60" s="99" t="s">
        <v>137</v>
      </c>
      <c r="B60" s="270" t="s">
        <v>138</v>
      </c>
      <c r="C60" s="271"/>
      <c r="D60" s="271"/>
      <c r="E60" s="272"/>
      <c r="F60" s="273">
        <f>SUM(F52:F59)</f>
        <v>1605.588731203967</v>
      </c>
      <c r="G60" s="273">
        <f t="shared" ref="G60:J60" si="32">SUM(G52:G59)</f>
        <v>1668.0794108422801</v>
      </c>
      <c r="H60" s="273">
        <f t="shared" si="32"/>
        <v>1732.0747236221516</v>
      </c>
      <c r="I60" s="273">
        <f t="shared" si="32"/>
        <v>1797.6175584717541</v>
      </c>
      <c r="J60" s="273">
        <f t="shared" si="32"/>
        <v>1864.7523997579101</v>
      </c>
      <c r="K60" s="5"/>
    </row>
    <row r="61" spans="1:11" x14ac:dyDescent="0.35">
      <c r="E61" s="55"/>
      <c r="F61" s="68"/>
      <c r="G61" s="68"/>
      <c r="H61" s="68"/>
      <c r="I61" s="68"/>
      <c r="J61" s="68"/>
    </row>
    <row r="62" spans="1:11" x14ac:dyDescent="0.35">
      <c r="B62" s="103" t="s">
        <v>252</v>
      </c>
      <c r="C62" s="104"/>
      <c r="D62" s="104"/>
      <c r="E62" s="272"/>
      <c r="F62" s="273">
        <f>SUM(F35,F47,F60)</f>
        <v>6357.8306543866056</v>
      </c>
      <c r="G62" s="273">
        <f>SUM(G35,G47,G60)</f>
        <v>7064.5018535657528</v>
      </c>
      <c r="H62" s="273">
        <f>SUM(H35,H47,H60)</f>
        <v>7788.188084628433</v>
      </c>
      <c r="I62" s="273">
        <f>SUM(I35,I47,I60)</f>
        <v>8529.3743538264443</v>
      </c>
      <c r="J62" s="273">
        <f>SUM(J35,J47,J60)</f>
        <v>9288.5637093107835</v>
      </c>
    </row>
    <row r="85" x14ac:dyDescent="0.35"/>
  </sheetData>
  <mergeCells count="2">
    <mergeCell ref="C1:E1"/>
    <mergeCell ref="F1:J1"/>
  </mergeCells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8"/>
  <sheetViews>
    <sheetView showGridLines="0" zoomScale="85" zoomScaleNormal="85" workbookViewId="0">
      <pane ySplit="2" topLeftCell="A9" activePane="bottomLeft" state="frozen"/>
      <selection pane="bottomLeft" activeCell="C20" sqref="C20"/>
    </sheetView>
  </sheetViews>
  <sheetFormatPr defaultColWidth="0" defaultRowHeight="14.5" zeroHeight="1" x14ac:dyDescent="0.35"/>
  <cols>
    <col min="1" max="1" width="3.54296875" customWidth="1"/>
    <col min="2" max="2" width="62.6328125" bestFit="1" customWidth="1"/>
    <col min="3" max="10" width="12.54296875" customWidth="1"/>
    <col min="11" max="11" width="9.1796875" customWidth="1"/>
  </cols>
  <sheetData>
    <row r="1" spans="1:10" ht="31.5" customHeight="1" x14ac:dyDescent="0.6">
      <c r="A1" s="316" t="str">
        <f>Index!A1</f>
        <v>P&amp;G Financial Modeling</v>
      </c>
      <c r="B1" s="316"/>
      <c r="C1" s="329" t="s">
        <v>18</v>
      </c>
      <c r="D1" s="329"/>
      <c r="E1" s="329"/>
      <c r="F1" s="329" t="s">
        <v>73</v>
      </c>
      <c r="G1" s="329"/>
      <c r="H1" s="329"/>
      <c r="I1" s="329"/>
      <c r="J1" s="329"/>
    </row>
    <row r="2" spans="1:10" x14ac:dyDescent="0.35">
      <c r="A2" s="317" t="s">
        <v>74</v>
      </c>
      <c r="B2" s="317"/>
      <c r="C2" s="321">
        <f>'Income Statement'!C2</f>
        <v>2022</v>
      </c>
      <c r="D2" s="321">
        <f>'Income Statement'!D2</f>
        <v>2023</v>
      </c>
      <c r="E2" s="321">
        <f>'Income Statement'!E2</f>
        <v>2024</v>
      </c>
      <c r="F2" s="321">
        <f>'Income Statement'!F2</f>
        <v>2025</v>
      </c>
      <c r="G2" s="321">
        <f>'Income Statement'!G2</f>
        <v>2026</v>
      </c>
      <c r="H2" s="321">
        <f>'Income Statement'!H2</f>
        <v>2027</v>
      </c>
      <c r="I2" s="321">
        <f>'Income Statement'!I2</f>
        <v>2028</v>
      </c>
      <c r="J2" s="321">
        <f>'Income Statement'!J2</f>
        <v>2029</v>
      </c>
    </row>
    <row r="3" spans="1:10" x14ac:dyDescent="0.35">
      <c r="B3" s="55" t="s">
        <v>44</v>
      </c>
      <c r="C3" s="55"/>
      <c r="D3" s="55"/>
      <c r="E3" s="55"/>
      <c r="F3" s="55"/>
      <c r="G3" s="55"/>
      <c r="H3" s="55"/>
      <c r="I3" s="55"/>
      <c r="J3" s="55"/>
    </row>
    <row r="4" spans="1:10" x14ac:dyDescent="0.35">
      <c r="B4" s="55" t="s">
        <v>45</v>
      </c>
      <c r="C4" s="1">
        <v>46654</v>
      </c>
      <c r="D4" s="1">
        <v>46854</v>
      </c>
      <c r="E4" s="1">
        <v>47065</v>
      </c>
      <c r="F4" s="1">
        <v>50559</v>
      </c>
      <c r="G4" s="1">
        <v>50559</v>
      </c>
      <c r="H4" s="1">
        <v>50559</v>
      </c>
      <c r="I4" s="1">
        <v>50559</v>
      </c>
      <c r="J4" s="1">
        <v>50559</v>
      </c>
    </row>
    <row r="5" spans="1:10" x14ac:dyDescent="0.35">
      <c r="B5" s="55" t="s">
        <v>46</v>
      </c>
      <c r="C5" s="177">
        <v>0</v>
      </c>
      <c r="D5" s="177">
        <v>0</v>
      </c>
      <c r="E5" s="177">
        <v>0</v>
      </c>
      <c r="F5" s="177">
        <v>0</v>
      </c>
      <c r="G5" s="177">
        <v>0</v>
      </c>
      <c r="H5" s="177">
        <v>0</v>
      </c>
      <c r="I5" s="177">
        <v>0</v>
      </c>
      <c r="J5" s="177">
        <v>0</v>
      </c>
    </row>
    <row r="6" spans="1:10" x14ac:dyDescent="0.35">
      <c r="B6" s="55" t="s">
        <v>49</v>
      </c>
      <c r="C6" s="177">
        <v>0</v>
      </c>
      <c r="D6" s="177">
        <v>0</v>
      </c>
      <c r="E6" s="177">
        <v>0</v>
      </c>
      <c r="F6" s="177">
        <v>0</v>
      </c>
      <c r="G6" s="177">
        <v>0</v>
      </c>
      <c r="H6" s="177">
        <v>0</v>
      </c>
      <c r="I6" s="177">
        <v>0</v>
      </c>
      <c r="J6" s="177">
        <v>0</v>
      </c>
    </row>
    <row r="7" spans="1:10" x14ac:dyDescent="0.35">
      <c r="B7" s="55" t="s">
        <v>47</v>
      </c>
      <c r="C7" s="177">
        <v>0</v>
      </c>
      <c r="D7" s="177">
        <v>0</v>
      </c>
      <c r="E7" s="177">
        <v>0</v>
      </c>
      <c r="F7" s="177">
        <v>0</v>
      </c>
      <c r="G7" s="177">
        <v>0</v>
      </c>
      <c r="H7" s="177">
        <v>0</v>
      </c>
      <c r="I7" s="177">
        <v>0</v>
      </c>
      <c r="J7" s="177">
        <v>0</v>
      </c>
    </row>
    <row r="8" spans="1:10" s="2" customFormat="1" x14ac:dyDescent="0.35">
      <c r="B8" s="27" t="s">
        <v>48</v>
      </c>
      <c r="C8" s="280">
        <v>46654</v>
      </c>
      <c r="D8" s="280">
        <v>47065</v>
      </c>
      <c r="E8" s="280">
        <v>50559</v>
      </c>
      <c r="F8" s="280">
        <f>SUM(F4:F7)</f>
        <v>50559</v>
      </c>
      <c r="G8" s="280">
        <f t="shared" ref="G8:J8" si="0">SUM(G4:G7)</f>
        <v>50559</v>
      </c>
      <c r="H8" s="280">
        <f t="shared" si="0"/>
        <v>50559</v>
      </c>
      <c r="I8" s="280">
        <f t="shared" si="0"/>
        <v>50559</v>
      </c>
      <c r="J8" s="280">
        <f t="shared" si="0"/>
        <v>50559</v>
      </c>
    </row>
    <row r="9" spans="1:10" x14ac:dyDescent="0.35">
      <c r="B9" s="55"/>
      <c r="C9" s="178"/>
      <c r="D9" s="178"/>
      <c r="E9" s="178"/>
      <c r="F9" s="178"/>
      <c r="G9" s="178"/>
      <c r="H9" s="178"/>
      <c r="I9" s="178"/>
      <c r="J9" s="178"/>
    </row>
    <row r="10" spans="1:10" x14ac:dyDescent="0.35">
      <c r="B10" s="55" t="s">
        <v>50</v>
      </c>
      <c r="C10" s="178"/>
      <c r="D10" s="178"/>
      <c r="E10" s="178"/>
      <c r="F10" s="178"/>
      <c r="G10" s="178"/>
      <c r="H10" s="178"/>
      <c r="I10" s="178"/>
      <c r="J10" s="178"/>
    </row>
    <row r="11" spans="1:10" x14ac:dyDescent="0.35">
      <c r="B11" s="55" t="s">
        <v>45</v>
      </c>
      <c r="C11" s="1">
        <v>106374</v>
      </c>
      <c r="D11" s="1">
        <f>C17</f>
        <v>112480</v>
      </c>
      <c r="E11" s="1">
        <f>D17</f>
        <v>118306</v>
      </c>
      <c r="F11" s="1">
        <f>E17</f>
        <v>124043</v>
      </c>
      <c r="G11" s="1">
        <f t="shared" ref="G11:J11" si="1">F17</f>
        <v>142862.316521</v>
      </c>
      <c r="H11" s="1">
        <f t="shared" si="1"/>
        <v>162133.78547236999</v>
      </c>
      <c r="I11" s="1">
        <f t="shared" si="1"/>
        <v>181870.24129384526</v>
      </c>
      <c r="J11" s="1">
        <f t="shared" si="1"/>
        <v>202084.99221163109</v>
      </c>
    </row>
    <row r="12" spans="1:10" x14ac:dyDescent="0.35">
      <c r="B12" s="55" t="s">
        <v>12</v>
      </c>
      <c r="C12" s="177">
        <f>'Income Statement'!C26</f>
        <v>14793</v>
      </c>
      <c r="D12" s="177">
        <f>'Income Statement'!D26</f>
        <v>14738</v>
      </c>
      <c r="E12" s="177">
        <f>'Income Statement'!E26</f>
        <v>14975</v>
      </c>
      <c r="F12" s="276">
        <f>'Income Statement'!F26</f>
        <v>18819.316521000001</v>
      </c>
      <c r="G12" s="276">
        <f>'Income Statement'!G26</f>
        <v>19271.468951369996</v>
      </c>
      <c r="H12" s="276">
        <f>'Income Statement'!H26</f>
        <v>19736.455821475269</v>
      </c>
      <c r="I12" s="276">
        <f>'Income Statement'!I26</f>
        <v>20214.750917785837</v>
      </c>
      <c r="J12" s="276">
        <f>'Income Statement'!J26</f>
        <v>20706.852943035803</v>
      </c>
    </row>
    <row r="13" spans="1:10" x14ac:dyDescent="0.35">
      <c r="B13" s="55" t="s">
        <v>49</v>
      </c>
      <c r="C13" s="177">
        <v>-8514</v>
      </c>
      <c r="D13" s="177">
        <v>-8742</v>
      </c>
      <c r="E13" s="177">
        <v>-9053</v>
      </c>
      <c r="F13" s="178"/>
      <c r="G13" s="178"/>
      <c r="H13" s="178"/>
      <c r="I13" s="178"/>
      <c r="J13" s="178"/>
    </row>
    <row r="14" spans="1:10" x14ac:dyDescent="0.35">
      <c r="B14" s="55"/>
      <c r="C14" s="1"/>
      <c r="D14" s="1"/>
      <c r="E14" s="1"/>
      <c r="F14" s="178"/>
      <c r="G14" s="178"/>
      <c r="H14" s="178"/>
      <c r="I14" s="178"/>
      <c r="J14" s="178"/>
    </row>
    <row r="15" spans="1:10" x14ac:dyDescent="0.35">
      <c r="B15" s="55" t="s">
        <v>51</v>
      </c>
      <c r="C15" s="177">
        <v>-281</v>
      </c>
      <c r="D15" s="177">
        <v>-282</v>
      </c>
      <c r="E15" s="177">
        <v>-284</v>
      </c>
      <c r="F15" s="178"/>
      <c r="G15" s="178"/>
      <c r="H15" s="178"/>
      <c r="I15" s="178"/>
      <c r="J15" s="178"/>
    </row>
    <row r="16" spans="1:10" x14ac:dyDescent="0.35">
      <c r="B16" s="55" t="s">
        <v>52</v>
      </c>
      <c r="C16" s="177">
        <v>108</v>
      </c>
      <c r="D16" s="177">
        <v>112</v>
      </c>
      <c r="E16" s="177">
        <v>99</v>
      </c>
      <c r="F16" s="178"/>
      <c r="G16" s="178"/>
      <c r="H16" s="178"/>
      <c r="I16" s="178"/>
      <c r="J16" s="178"/>
    </row>
    <row r="17" spans="2:10" x14ac:dyDescent="0.35">
      <c r="B17" s="27" t="s">
        <v>48</v>
      </c>
      <c r="C17" s="280">
        <f t="shared" ref="C17:J17" si="2">SUM(C11:C16)</f>
        <v>112480</v>
      </c>
      <c r="D17" s="280">
        <f t="shared" si="2"/>
        <v>118306</v>
      </c>
      <c r="E17" s="280">
        <f t="shared" si="2"/>
        <v>124043</v>
      </c>
      <c r="F17" s="280">
        <f t="shared" si="2"/>
        <v>142862.316521</v>
      </c>
      <c r="G17" s="280">
        <f t="shared" si="2"/>
        <v>162133.78547236999</v>
      </c>
      <c r="H17" s="280">
        <f t="shared" si="2"/>
        <v>181870.24129384526</v>
      </c>
      <c r="I17" s="280">
        <f t="shared" si="2"/>
        <v>202084.99221163109</v>
      </c>
      <c r="J17" s="280">
        <f t="shared" si="2"/>
        <v>222791.84515466689</v>
      </c>
    </row>
    <row r="18" spans="2:10" x14ac:dyDescent="0.35">
      <c r="B18" s="55"/>
      <c r="C18" s="178"/>
      <c r="D18" s="178"/>
      <c r="E18" s="178"/>
      <c r="F18" s="178"/>
      <c r="G18" s="178"/>
      <c r="H18" s="178"/>
      <c r="I18" s="178"/>
      <c r="J18" s="178"/>
    </row>
    <row r="19" spans="2:10" x14ac:dyDescent="0.35">
      <c r="B19" s="277" t="s">
        <v>53</v>
      </c>
      <c r="C19" s="278"/>
      <c r="D19" s="278"/>
      <c r="E19" s="278"/>
      <c r="F19" s="278"/>
      <c r="G19" s="278"/>
      <c r="H19" s="278"/>
      <c r="I19" s="278"/>
      <c r="J19" s="278"/>
    </row>
    <row r="20" spans="2:10" x14ac:dyDescent="0.35">
      <c r="B20" s="277" t="s">
        <v>45</v>
      </c>
      <c r="C20" s="279"/>
      <c r="D20" s="278"/>
      <c r="E20" s="278"/>
      <c r="F20" s="279"/>
      <c r="G20" s="278"/>
      <c r="H20" s="278"/>
      <c r="I20" s="279"/>
      <c r="J20" s="278"/>
    </row>
    <row r="21" spans="2:10" x14ac:dyDescent="0.35">
      <c r="B21" s="277" t="s">
        <v>54</v>
      </c>
      <c r="C21" s="279"/>
      <c r="D21" s="279"/>
      <c r="E21" s="279"/>
      <c r="F21" s="279"/>
      <c r="G21" s="279"/>
      <c r="H21" s="279"/>
      <c r="I21" s="279"/>
      <c r="J21" s="279"/>
    </row>
    <row r="22" spans="2:10" x14ac:dyDescent="0.35">
      <c r="B22" s="277" t="s">
        <v>52</v>
      </c>
      <c r="C22" s="279"/>
      <c r="D22" s="279"/>
      <c r="E22" s="279"/>
      <c r="F22" s="279"/>
      <c r="G22" s="279"/>
      <c r="H22" s="279"/>
      <c r="I22" s="279"/>
      <c r="J22" s="279"/>
    </row>
    <row r="23" spans="2:10" s="2" customFormat="1" x14ac:dyDescent="0.35">
      <c r="B23" s="27" t="s">
        <v>48</v>
      </c>
      <c r="C23" s="179"/>
      <c r="D23" s="179"/>
      <c r="E23" s="179"/>
      <c r="F23" s="179"/>
      <c r="G23" s="179"/>
      <c r="H23" s="179"/>
      <c r="I23" s="179"/>
      <c r="J23" s="179"/>
    </row>
    <row r="24" spans="2:10" x14ac:dyDescent="0.35">
      <c r="B24" s="55"/>
      <c r="C24" s="178"/>
      <c r="D24" s="178"/>
      <c r="E24" s="178"/>
      <c r="F24" s="178"/>
      <c r="G24" s="178"/>
      <c r="H24" s="178"/>
      <c r="I24" s="178"/>
      <c r="J24" s="178"/>
    </row>
    <row r="25" spans="2:10" s="2" customFormat="1" x14ac:dyDescent="0.35">
      <c r="B25" s="27" t="s">
        <v>55</v>
      </c>
      <c r="C25" s="179">
        <v>46854</v>
      </c>
      <c r="D25" s="179">
        <v>47065</v>
      </c>
      <c r="E25" s="179">
        <v>50559</v>
      </c>
      <c r="F25" s="179">
        <v>50559</v>
      </c>
      <c r="G25" s="179">
        <v>50559</v>
      </c>
      <c r="H25" s="179">
        <v>50559</v>
      </c>
      <c r="I25" s="179">
        <v>50559</v>
      </c>
      <c r="J25" s="179">
        <v>50559</v>
      </c>
    </row>
    <row r="26" spans="2:10" x14ac:dyDescent="0.35">
      <c r="B26" s="55"/>
      <c r="C26" s="178"/>
      <c r="D26" s="178"/>
      <c r="E26" s="178"/>
      <c r="F26" s="178"/>
      <c r="G26" s="178"/>
      <c r="H26" s="178"/>
      <c r="I26" s="178"/>
      <c r="J26" s="178"/>
    </row>
    <row r="27" spans="2:10" x14ac:dyDescent="0.35">
      <c r="B27" s="55" t="s">
        <v>56</v>
      </c>
      <c r="C27" s="180">
        <v>0.85</v>
      </c>
      <c r="D27" s="180">
        <v>0.79500000000000004</v>
      </c>
      <c r="E27" s="180">
        <v>0.85</v>
      </c>
      <c r="F27" s="180">
        <v>0.85</v>
      </c>
      <c r="G27" s="180">
        <v>0.85</v>
      </c>
      <c r="H27" s="180">
        <v>0.85</v>
      </c>
      <c r="I27" s="180">
        <v>0.85</v>
      </c>
      <c r="J27" s="180">
        <v>0.85</v>
      </c>
    </row>
    <row r="28" spans="2:10" x14ac:dyDescent="0.35"/>
  </sheetData>
  <mergeCells count="2">
    <mergeCell ref="F1:J1"/>
    <mergeCell ref="C1:E1"/>
  </mergeCells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24"/>
  <sheetViews>
    <sheetView showGridLines="0" zoomScale="90" zoomScaleNormal="90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ColWidth="9.1796875" defaultRowHeight="14.5" x14ac:dyDescent="0.35"/>
  <cols>
    <col min="1" max="1" width="3.54296875" customWidth="1"/>
    <col min="2" max="2" width="54.54296875" customWidth="1"/>
    <col min="3" max="5" width="12.54296875" customWidth="1"/>
    <col min="6" max="6" width="14.453125" bestFit="1" customWidth="1"/>
    <col min="7" max="10" width="12.54296875" customWidth="1"/>
    <col min="11" max="11" width="9.1796875" customWidth="1"/>
    <col min="12" max="16384" width="9.1796875" style="5"/>
  </cols>
  <sheetData>
    <row r="1" spans="1:10" ht="31.5" customHeight="1" x14ac:dyDescent="0.6">
      <c r="A1" s="316" t="str">
        <f>Index!A1</f>
        <v>P&amp;G Financial Modeling</v>
      </c>
      <c r="B1" s="316"/>
      <c r="C1" s="330" t="s">
        <v>18</v>
      </c>
      <c r="D1" s="329"/>
      <c r="E1" s="329"/>
      <c r="F1" s="329" t="s">
        <v>73</v>
      </c>
      <c r="G1" s="329"/>
      <c r="H1" s="329"/>
      <c r="I1" s="329"/>
      <c r="J1" s="329"/>
    </row>
    <row r="2" spans="1:10" x14ac:dyDescent="0.35">
      <c r="A2" s="317" t="s">
        <v>74</v>
      </c>
      <c r="B2" s="317"/>
      <c r="C2" s="321">
        <f>'Income Statement'!C2</f>
        <v>2022</v>
      </c>
      <c r="D2" s="321">
        <f>'Income Statement'!D2</f>
        <v>2023</v>
      </c>
      <c r="E2" s="321">
        <f>'Income Statement'!E2</f>
        <v>2024</v>
      </c>
      <c r="F2" s="321">
        <f>'Income Statement'!F2</f>
        <v>2025</v>
      </c>
      <c r="G2" s="321">
        <f>'Income Statement'!G2</f>
        <v>2026</v>
      </c>
      <c r="H2" s="321">
        <f>'Income Statement'!H2</f>
        <v>2027</v>
      </c>
      <c r="I2" s="321">
        <f>'Income Statement'!I2</f>
        <v>2028</v>
      </c>
      <c r="J2" s="321">
        <f>'Income Statement'!J2</f>
        <v>2029</v>
      </c>
    </row>
    <row r="3" spans="1:10" x14ac:dyDescent="0.35">
      <c r="B3" s="122" t="s">
        <v>201</v>
      </c>
      <c r="C3" s="181"/>
      <c r="D3" s="181"/>
      <c r="E3" s="181"/>
      <c r="F3" s="282">
        <f>'Cash Flow'!F20+'Cash Flow'!F31</f>
        <v>19891.866501528155</v>
      </c>
      <c r="G3" s="282">
        <f>'Cash Flow'!G20+'Cash Flow'!G31</f>
        <v>22358.152510006908</v>
      </c>
      <c r="H3" s="282">
        <f>'Cash Flow'!H20+'Cash Flow'!H31</f>
        <v>23494.1927420514</v>
      </c>
      <c r="I3" s="282">
        <f>'Cash Flow'!I20+'Cash Flow'!I31</f>
        <v>24573.856814750234</v>
      </c>
      <c r="J3" s="282">
        <f>'Cash Flow'!J20+'Cash Flow'!J31</f>
        <v>25729.469648467159</v>
      </c>
    </row>
    <row r="4" spans="1:10" x14ac:dyDescent="0.35">
      <c r="B4" s="121" t="s">
        <v>202</v>
      </c>
      <c r="C4" s="181"/>
      <c r="D4" s="181"/>
      <c r="E4" s="181"/>
      <c r="F4" s="182"/>
      <c r="G4" s="182"/>
      <c r="H4" s="182"/>
      <c r="I4" s="182"/>
      <c r="J4" s="182"/>
    </row>
    <row r="5" spans="1:10" x14ac:dyDescent="0.35">
      <c r="B5" s="121" t="s">
        <v>203</v>
      </c>
      <c r="C5" s="181"/>
      <c r="D5" s="181"/>
      <c r="E5" s="181"/>
      <c r="F5" s="182">
        <f>'Cash Flow'!F45</f>
        <v>9484</v>
      </c>
      <c r="G5" s="182">
        <f>'Cash Flow'!G45</f>
        <v>16863.866501528155</v>
      </c>
      <c r="H5" s="182">
        <f>'Cash Flow'!H45</f>
        <v>26710.019011535063</v>
      </c>
      <c r="I5" s="182">
        <f>'Cash Flow'!I45</f>
        <v>37692.211753586467</v>
      </c>
      <c r="J5" s="182">
        <f>'Cash Flow'!J45</f>
        <v>49754.068568336705</v>
      </c>
    </row>
    <row r="6" spans="1:10" x14ac:dyDescent="0.35">
      <c r="B6" s="121" t="s">
        <v>204</v>
      </c>
      <c r="C6" s="181"/>
      <c r="D6" s="181"/>
      <c r="E6" s="181"/>
      <c r="F6" s="183">
        <v>-10000</v>
      </c>
      <c r="G6" s="183">
        <v>-10000</v>
      </c>
      <c r="H6" s="183">
        <v>-10000</v>
      </c>
      <c r="I6" s="183">
        <v>-10000</v>
      </c>
      <c r="J6" s="183">
        <v>-10000</v>
      </c>
    </row>
    <row r="7" spans="1:10" x14ac:dyDescent="0.35">
      <c r="B7" s="123" t="s">
        <v>205</v>
      </c>
      <c r="C7" s="285"/>
      <c r="D7" s="285"/>
      <c r="E7" s="285"/>
      <c r="F7" s="287">
        <f>SUM(F3:F6)</f>
        <v>19375.866501528155</v>
      </c>
      <c r="G7" s="287">
        <f t="shared" ref="G7:J7" si="0">SUM(G3:G6)</f>
        <v>29222.019011535063</v>
      </c>
      <c r="H7" s="287">
        <f t="shared" si="0"/>
        <v>40204.211753586467</v>
      </c>
      <c r="I7" s="287">
        <f t="shared" si="0"/>
        <v>52266.068568336705</v>
      </c>
      <c r="J7" s="287">
        <f t="shared" si="0"/>
        <v>65483.538216803863</v>
      </c>
    </row>
    <row r="8" spans="1:10" x14ac:dyDescent="0.35">
      <c r="B8" s="120"/>
      <c r="C8" s="181"/>
      <c r="D8" s="181"/>
      <c r="E8" s="181"/>
      <c r="F8" s="181"/>
      <c r="G8" s="181"/>
      <c r="H8" s="181"/>
      <c r="I8" s="181"/>
      <c r="J8" s="181"/>
    </row>
    <row r="9" spans="1:10" x14ac:dyDescent="0.35">
      <c r="B9" s="122" t="s">
        <v>206</v>
      </c>
      <c r="C9" s="181"/>
      <c r="D9" s="181"/>
      <c r="E9" s="181"/>
      <c r="F9" s="181"/>
      <c r="G9" s="181"/>
      <c r="H9" s="181"/>
      <c r="I9" s="181"/>
      <c r="J9" s="181"/>
    </row>
    <row r="10" spans="1:10" x14ac:dyDescent="0.35">
      <c r="B10" s="121" t="s">
        <v>207</v>
      </c>
      <c r="C10" s="181"/>
      <c r="D10" s="181"/>
      <c r="E10" s="181">
        <f>D13</f>
        <v>24378</v>
      </c>
      <c r="F10" s="181">
        <f t="shared" ref="F10:J10" si="1">E13</f>
        <v>25269</v>
      </c>
      <c r="G10" s="181">
        <f t="shared" si="1"/>
        <v>22069</v>
      </c>
      <c r="H10" s="181">
        <f t="shared" si="1"/>
        <v>18869</v>
      </c>
      <c r="I10" s="181">
        <f t="shared" si="1"/>
        <v>15669</v>
      </c>
      <c r="J10" s="181">
        <f t="shared" si="1"/>
        <v>12469</v>
      </c>
    </row>
    <row r="11" spans="1:10" x14ac:dyDescent="0.35">
      <c r="B11" s="121" t="s">
        <v>208</v>
      </c>
      <c r="C11" s="181"/>
      <c r="D11" s="181"/>
      <c r="E11" s="181"/>
      <c r="F11" s="184"/>
      <c r="G11" s="184"/>
      <c r="H11" s="184"/>
      <c r="I11" s="184"/>
      <c r="J11" s="184"/>
    </row>
    <row r="12" spans="1:10" x14ac:dyDescent="0.35">
      <c r="B12" s="121" t="s">
        <v>209</v>
      </c>
      <c r="C12" s="181"/>
      <c r="D12" s="181"/>
      <c r="E12" s="181"/>
      <c r="F12" s="181">
        <v>-3200</v>
      </c>
      <c r="G12" s="181">
        <v>-3200</v>
      </c>
      <c r="H12" s="181">
        <v>-3200</v>
      </c>
      <c r="I12" s="181">
        <v>-3200</v>
      </c>
      <c r="J12" s="181">
        <v>-3200</v>
      </c>
    </row>
    <row r="13" spans="1:10" s="44" customFormat="1" x14ac:dyDescent="0.3">
      <c r="A13" s="45"/>
      <c r="B13" s="123" t="s">
        <v>210</v>
      </c>
      <c r="C13" s="285"/>
      <c r="D13" s="285">
        <f>'Balance Sheet'!D29</f>
        <v>24378</v>
      </c>
      <c r="E13" s="285">
        <f>'Balance Sheet'!E29</f>
        <v>25269</v>
      </c>
      <c r="F13" s="287">
        <f>SUM(F10:F12)</f>
        <v>22069</v>
      </c>
      <c r="G13" s="287">
        <f t="shared" ref="G13:J13" si="2">SUM(G10:G12)</f>
        <v>18869</v>
      </c>
      <c r="H13" s="287">
        <f t="shared" si="2"/>
        <v>15669</v>
      </c>
      <c r="I13" s="287">
        <f t="shared" si="2"/>
        <v>12469</v>
      </c>
      <c r="J13" s="287">
        <f t="shared" si="2"/>
        <v>9269</v>
      </c>
    </row>
    <row r="14" spans="1:10" x14ac:dyDescent="0.35">
      <c r="B14" s="120"/>
      <c r="C14" s="181"/>
      <c r="D14" s="181"/>
      <c r="E14" s="181"/>
      <c r="F14" s="181"/>
      <c r="G14" s="181"/>
      <c r="H14" s="181"/>
      <c r="I14" s="181"/>
      <c r="J14" s="181"/>
    </row>
    <row r="15" spans="1:10" x14ac:dyDescent="0.35">
      <c r="B15" s="122" t="s">
        <v>211</v>
      </c>
      <c r="C15" s="181"/>
      <c r="D15" s="181"/>
      <c r="E15" s="181"/>
      <c r="F15" s="181"/>
      <c r="G15" s="181"/>
      <c r="H15" s="181"/>
      <c r="I15" s="181"/>
      <c r="J15" s="181"/>
    </row>
    <row r="16" spans="1:10" x14ac:dyDescent="0.35">
      <c r="B16" s="125" t="s">
        <v>100</v>
      </c>
      <c r="C16" s="285">
        <f>-'Income Statement'!C43</f>
        <v>439</v>
      </c>
      <c r="D16" s="285">
        <f>-'Income Statement'!D43</f>
        <v>756</v>
      </c>
      <c r="E16" s="285">
        <f>-'Income Statement'!E43</f>
        <v>925</v>
      </c>
      <c r="F16" s="287">
        <f>AVERAGE(E13:F13)*F17</f>
        <v>946.76</v>
      </c>
      <c r="G16" s="287">
        <f t="shared" ref="G16:J16" si="3">AVERAGE(F13:G13)*G17</f>
        <v>818.76</v>
      </c>
      <c r="H16" s="287">
        <f t="shared" si="3"/>
        <v>690.76</v>
      </c>
      <c r="I16" s="287">
        <f t="shared" si="3"/>
        <v>562.76</v>
      </c>
      <c r="J16" s="287">
        <f t="shared" si="3"/>
        <v>434.76</v>
      </c>
    </row>
    <row r="17" spans="2:12" x14ac:dyDescent="0.35">
      <c r="B17" s="121" t="s">
        <v>212</v>
      </c>
      <c r="C17" s="121"/>
      <c r="D17" s="283">
        <f>D16/AVERAGE(C13:D13)</f>
        <v>3.1011567807039134E-2</v>
      </c>
      <c r="E17" s="283">
        <f>E16/AVERAGE(D13:E13)</f>
        <v>3.7263077325921004E-2</v>
      </c>
      <c r="F17" s="284">
        <v>0.04</v>
      </c>
      <c r="G17" s="284">
        <v>0.04</v>
      </c>
      <c r="H17" s="284">
        <v>0.04</v>
      </c>
      <c r="I17" s="284">
        <v>0.04</v>
      </c>
      <c r="J17" s="284">
        <v>0.04</v>
      </c>
    </row>
    <row r="18" spans="2:12" x14ac:dyDescent="0.35">
      <c r="B18" s="120"/>
      <c r="C18" s="120"/>
      <c r="D18" s="120"/>
      <c r="E18" s="120"/>
      <c r="F18" s="120"/>
      <c r="G18" s="120"/>
      <c r="H18" s="120"/>
      <c r="I18" s="120"/>
      <c r="J18" s="120"/>
    </row>
    <row r="19" spans="2:12" x14ac:dyDescent="0.35">
      <c r="B19" s="122" t="s">
        <v>213</v>
      </c>
      <c r="C19" s="122"/>
      <c r="D19" s="122"/>
      <c r="E19" s="122"/>
      <c r="F19" s="122"/>
      <c r="G19" s="122"/>
      <c r="H19" s="122"/>
      <c r="I19" s="122"/>
      <c r="J19" s="122"/>
    </row>
    <row r="20" spans="2:12" x14ac:dyDescent="0.35">
      <c r="B20" s="121" t="s">
        <v>214</v>
      </c>
      <c r="C20" s="121"/>
      <c r="D20" s="121">
        <f>AVERAGE('Balance Sheet'!C5:D5)</f>
        <v>8246</v>
      </c>
      <c r="E20" s="121">
        <f>AVERAGE('Balance Sheet'!D5:E5)</f>
        <v>8864</v>
      </c>
      <c r="F20" s="286">
        <f>AVERAGE('Balance Sheet'!E5:F5)</f>
        <v>13172.933250764077</v>
      </c>
      <c r="G20" s="286">
        <f>AVERAGE('Balance Sheet'!F5:G5)</f>
        <v>21786.942756531607</v>
      </c>
      <c r="H20" s="286">
        <f>AVERAGE('Balance Sheet'!G5:H5)</f>
        <v>32201.115382560765</v>
      </c>
      <c r="I20" s="286">
        <f>AVERAGE('Balance Sheet'!H5:I5)</f>
        <v>43723.140160961586</v>
      </c>
      <c r="J20" s="286">
        <f>AVERAGE('Balance Sheet'!I5:J5)</f>
        <v>56362.803392570284</v>
      </c>
    </row>
    <row r="21" spans="2:12" x14ac:dyDescent="0.35">
      <c r="B21" s="121" t="s">
        <v>215</v>
      </c>
      <c r="C21" s="121"/>
      <c r="D21" s="283">
        <f>D22/D20</f>
        <v>3.7230172204705314E-2</v>
      </c>
      <c r="E21" s="283">
        <f>E22/E20</f>
        <v>5.3361913357400724E-2</v>
      </c>
      <c r="F21" s="284">
        <v>3.5000000000000003E-2</v>
      </c>
      <c r="G21" s="284">
        <v>3.5000000000000003E-2</v>
      </c>
      <c r="H21" s="284">
        <v>3.5000000000000003E-2</v>
      </c>
      <c r="I21" s="284">
        <v>3.5000000000000003E-2</v>
      </c>
      <c r="J21" s="284">
        <v>3.5000000000000003E-2</v>
      </c>
      <c r="L21" s="121"/>
    </row>
    <row r="22" spans="2:12" x14ac:dyDescent="0.35">
      <c r="B22" s="125" t="s">
        <v>216</v>
      </c>
      <c r="C22" s="285">
        <f>'Income Statement'!C42</f>
        <v>51</v>
      </c>
      <c r="D22" s="285">
        <f>'Income Statement'!D42</f>
        <v>307</v>
      </c>
      <c r="E22" s="285">
        <f>'Income Statement'!E42</f>
        <v>473</v>
      </c>
      <c r="F22" s="287">
        <f>F20*F21</f>
        <v>461.05266377674275</v>
      </c>
      <c r="G22" s="287">
        <f t="shared" ref="G22:J22" si="4">G20*G21</f>
        <v>762.54299647860637</v>
      </c>
      <c r="H22" s="287">
        <f t="shared" si="4"/>
        <v>1127.039038389627</v>
      </c>
      <c r="I22" s="287">
        <f t="shared" si="4"/>
        <v>1530.3099056336557</v>
      </c>
      <c r="J22" s="287">
        <f t="shared" si="4"/>
        <v>1972.6981187399601</v>
      </c>
    </row>
    <row r="23" spans="2:12" x14ac:dyDescent="0.35">
      <c r="B23" s="120"/>
      <c r="C23" s="120"/>
      <c r="D23" s="120"/>
      <c r="E23" s="120"/>
      <c r="F23" s="120"/>
      <c r="G23" s="120"/>
      <c r="H23" s="120"/>
      <c r="I23" s="120"/>
      <c r="J23" s="120"/>
    </row>
    <row r="24" spans="2:12" x14ac:dyDescent="0.35">
      <c r="B24" s="125" t="s">
        <v>217</v>
      </c>
      <c r="C24" s="285">
        <f>C22-C16</f>
        <v>-388</v>
      </c>
      <c r="D24" s="285">
        <f>D22-D16</f>
        <v>-449</v>
      </c>
      <c r="E24" s="285">
        <f t="shared" ref="E24:J24" si="5">E22-E16</f>
        <v>-452</v>
      </c>
      <c r="F24" s="285">
        <f t="shared" si="5"/>
        <v>-485.70733622325724</v>
      </c>
      <c r="G24" s="285">
        <f t="shared" si="5"/>
        <v>-56.217003521393622</v>
      </c>
      <c r="H24" s="285">
        <f t="shared" si="5"/>
        <v>436.27903838962698</v>
      </c>
      <c r="I24" s="285">
        <f t="shared" si="5"/>
        <v>967.54990563365573</v>
      </c>
      <c r="J24" s="285">
        <f t="shared" si="5"/>
        <v>1537.9381187399601</v>
      </c>
    </row>
  </sheetData>
  <mergeCells count="2">
    <mergeCell ref="C1:E1"/>
    <mergeCell ref="F1:J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87"/>
  <sheetViews>
    <sheetView showGridLines="0" topLeftCell="A65" zoomScale="90" zoomScaleNormal="90" workbookViewId="0">
      <selection activeCell="D91" sqref="D91"/>
    </sheetView>
  </sheetViews>
  <sheetFormatPr defaultColWidth="9.1796875" defaultRowHeight="14.5" x14ac:dyDescent="0.35"/>
  <cols>
    <col min="1" max="1" width="2.81640625" style="4" customWidth="1"/>
    <col min="2" max="2" width="48" style="5" customWidth="1"/>
    <col min="3" max="3" width="17.453125" style="5" customWidth="1"/>
    <col min="4" max="4" width="19.54296875" style="5" bestFit="1" customWidth="1"/>
    <col min="5" max="7" width="13.81640625" style="5" bestFit="1" customWidth="1"/>
    <col min="8" max="8" width="14.7265625" style="5" bestFit="1" customWidth="1"/>
    <col min="9" max="9" width="15.54296875" style="5" bestFit="1" customWidth="1"/>
    <col min="10" max="25" width="15.54296875" style="5" customWidth="1"/>
    <col min="26" max="16384" width="9.1796875" style="5"/>
  </cols>
  <sheetData>
    <row r="1" spans="1:26" s="4" customFormat="1" ht="31.5" customHeight="1" x14ac:dyDescent="0.5">
      <c r="A1" s="316" t="str">
        <f>Index!A1</f>
        <v>P&amp;G Financial Modeling</v>
      </c>
      <c r="B1" s="322"/>
      <c r="C1" s="318"/>
      <c r="D1" s="333" t="s">
        <v>18</v>
      </c>
      <c r="E1" s="333"/>
      <c r="F1" s="333" t="s">
        <v>218</v>
      </c>
      <c r="G1" s="333"/>
      <c r="H1" s="333"/>
      <c r="I1" s="333"/>
      <c r="J1" s="333"/>
      <c r="K1" s="333"/>
      <c r="L1" s="333"/>
      <c r="M1" s="333"/>
      <c r="N1" s="333"/>
      <c r="O1" s="333"/>
      <c r="P1" s="333"/>
      <c r="Q1" s="333"/>
      <c r="R1" s="333"/>
      <c r="S1" s="333"/>
      <c r="T1" s="333"/>
      <c r="U1" s="333"/>
      <c r="V1" s="333"/>
      <c r="W1" s="333"/>
      <c r="X1" s="333"/>
      <c r="Y1" s="333"/>
      <c r="Z1" s="5"/>
    </row>
    <row r="2" spans="1:26" s="4" customFormat="1" x14ac:dyDescent="0.35">
      <c r="A2" s="317" t="s">
        <v>74</v>
      </c>
      <c r="B2" s="323"/>
      <c r="C2" s="320"/>
      <c r="D2" s="321">
        <v>2023</v>
      </c>
      <c r="E2" s="321">
        <f t="shared" ref="E2:Y2" si="0">D2+1</f>
        <v>2024</v>
      </c>
      <c r="F2" s="321">
        <f t="shared" si="0"/>
        <v>2025</v>
      </c>
      <c r="G2" s="321">
        <f t="shared" si="0"/>
        <v>2026</v>
      </c>
      <c r="H2" s="321">
        <f t="shared" si="0"/>
        <v>2027</v>
      </c>
      <c r="I2" s="321">
        <f t="shared" si="0"/>
        <v>2028</v>
      </c>
      <c r="J2" s="321">
        <f t="shared" si="0"/>
        <v>2029</v>
      </c>
      <c r="K2" s="321">
        <f t="shared" si="0"/>
        <v>2030</v>
      </c>
      <c r="L2" s="321">
        <f t="shared" si="0"/>
        <v>2031</v>
      </c>
      <c r="M2" s="321">
        <f t="shared" si="0"/>
        <v>2032</v>
      </c>
      <c r="N2" s="321">
        <f t="shared" si="0"/>
        <v>2033</v>
      </c>
      <c r="O2" s="321">
        <f t="shared" si="0"/>
        <v>2034</v>
      </c>
      <c r="P2" s="321">
        <f t="shared" si="0"/>
        <v>2035</v>
      </c>
      <c r="Q2" s="321">
        <f t="shared" si="0"/>
        <v>2036</v>
      </c>
      <c r="R2" s="321">
        <f t="shared" si="0"/>
        <v>2037</v>
      </c>
      <c r="S2" s="321">
        <f t="shared" si="0"/>
        <v>2038</v>
      </c>
      <c r="T2" s="321">
        <f t="shared" si="0"/>
        <v>2039</v>
      </c>
      <c r="U2" s="321">
        <f t="shared" si="0"/>
        <v>2040</v>
      </c>
      <c r="V2" s="321">
        <f t="shared" si="0"/>
        <v>2041</v>
      </c>
      <c r="W2" s="321">
        <f t="shared" si="0"/>
        <v>2042</v>
      </c>
      <c r="X2" s="321">
        <f t="shared" si="0"/>
        <v>2043</v>
      </c>
      <c r="Y2" s="321">
        <f t="shared" si="0"/>
        <v>2044</v>
      </c>
      <c r="Z2" s="5"/>
    </row>
    <row r="3" spans="1:26" s="4" customFormat="1" x14ac:dyDescent="0.3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 s="5"/>
      <c r="U3" s="5"/>
      <c r="V3" s="5"/>
      <c r="W3" s="5"/>
      <c r="X3" s="5"/>
      <c r="Y3" s="5"/>
      <c r="Z3" s="5"/>
    </row>
    <row r="4" spans="1:26" s="4" customFormat="1" x14ac:dyDescent="0.35">
      <c r="A4"/>
      <c r="B4" s="185" t="s">
        <v>145</v>
      </c>
      <c r="C4" s="67"/>
      <c r="D4" s="186"/>
      <c r="E4" s="186"/>
      <c r="F4" s="187">
        <f>'Income Statement'!F19</f>
        <v>23233.724099999999</v>
      </c>
      <c r="G4" s="187">
        <f>'Income Statement'!G19</f>
        <v>23791.936976999994</v>
      </c>
      <c r="H4" s="187">
        <f>'Income Statement'!H19</f>
        <v>24365.994841327494</v>
      </c>
      <c r="I4" s="187">
        <f>'Income Statement'!I19</f>
        <v>24956.482614550419</v>
      </c>
      <c r="J4" s="187">
        <f>'Income Statement'!J19</f>
        <v>25564.015979056549</v>
      </c>
      <c r="K4" s="187"/>
      <c r="L4" s="188"/>
      <c r="M4" s="188"/>
      <c r="N4" s="188"/>
      <c r="O4" s="188"/>
      <c r="P4" s="188"/>
      <c r="Q4" s="188"/>
      <c r="R4" s="188"/>
      <c r="S4" s="189"/>
      <c r="T4" s="190"/>
      <c r="U4" s="190"/>
      <c r="V4" s="190"/>
      <c r="W4" s="190"/>
      <c r="X4" s="190"/>
      <c r="Y4" s="190"/>
      <c r="Z4" s="5"/>
    </row>
    <row r="5" spans="1:26" s="4" customFormat="1" x14ac:dyDescent="0.35">
      <c r="A5"/>
      <c r="B5" s="191"/>
      <c r="C5" s="67"/>
      <c r="D5" s="67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189"/>
      <c r="T5" s="190"/>
      <c r="U5" s="190"/>
      <c r="V5" s="190"/>
      <c r="W5" s="190"/>
      <c r="X5" s="190"/>
      <c r="Y5" s="190"/>
      <c r="Z5" s="5"/>
    </row>
    <row r="6" spans="1:26" s="4" customFormat="1" x14ac:dyDescent="0.35">
      <c r="A6"/>
      <c r="B6" s="185" t="s">
        <v>146</v>
      </c>
      <c r="C6" s="67"/>
      <c r="D6" s="67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189"/>
      <c r="T6" s="190"/>
      <c r="U6" s="190"/>
      <c r="V6" s="190"/>
      <c r="W6" s="190"/>
      <c r="X6" s="190"/>
      <c r="Y6" s="190"/>
      <c r="Z6" s="5"/>
    </row>
    <row r="7" spans="1:26" s="4" customFormat="1" x14ac:dyDescent="0.35">
      <c r="A7"/>
      <c r="B7" s="191" t="s">
        <v>147</v>
      </c>
      <c r="C7" s="67"/>
      <c r="D7" s="186"/>
      <c r="E7" s="186"/>
      <c r="F7" s="187">
        <f>F4*(1-'Income Statement'!F25)</f>
        <v>18819.316521000001</v>
      </c>
      <c r="G7" s="187">
        <f>G4*(1-'Income Statement'!G25)</f>
        <v>19271.468951369996</v>
      </c>
      <c r="H7" s="187">
        <f>H4*(1-'Income Statement'!H25)</f>
        <v>19736.455821475272</v>
      </c>
      <c r="I7" s="187">
        <f>I4*(1-'Income Statement'!I25)</f>
        <v>20214.750917785841</v>
      </c>
      <c r="J7" s="187">
        <f>J4*(1-'Income Statement'!J25)</f>
        <v>20706.852943035807</v>
      </c>
      <c r="K7" s="187"/>
      <c r="L7" s="188"/>
      <c r="M7" s="188"/>
      <c r="N7" s="188"/>
      <c r="O7" s="188"/>
      <c r="P7" s="188"/>
      <c r="Q7" s="188"/>
      <c r="R7" s="188"/>
      <c r="S7" s="189"/>
      <c r="T7" s="190"/>
      <c r="U7" s="190"/>
      <c r="V7" s="190"/>
      <c r="W7" s="190"/>
      <c r="X7" s="190"/>
      <c r="Y7" s="190"/>
      <c r="Z7" s="5"/>
    </row>
    <row r="8" spans="1:26" s="4" customFormat="1" x14ac:dyDescent="0.35">
      <c r="A8"/>
      <c r="B8" s="192" t="s">
        <v>148</v>
      </c>
      <c r="C8" s="67"/>
      <c r="D8" s="67"/>
      <c r="E8" s="67"/>
      <c r="F8" s="187">
        <f>'Income Statement'!F38</f>
        <v>6357.8306543866056</v>
      </c>
      <c r="G8" s="187">
        <f>'Income Statement'!G38</f>
        <v>7064.5018535657528</v>
      </c>
      <c r="H8" s="187">
        <f>'Income Statement'!H38</f>
        <v>7788.188084628433</v>
      </c>
      <c r="I8" s="187">
        <f>'Income Statement'!I38</f>
        <v>8529.3743538264443</v>
      </c>
      <c r="J8" s="187">
        <f>'Income Statement'!J38</f>
        <v>9288.5637093107835</v>
      </c>
      <c r="K8" s="188"/>
      <c r="L8" s="188"/>
      <c r="M8" s="188"/>
      <c r="N8" s="188"/>
      <c r="O8" s="188"/>
      <c r="P8" s="188"/>
      <c r="Q8" s="188"/>
      <c r="R8" s="188"/>
      <c r="S8" s="189"/>
      <c r="T8" s="190"/>
      <c r="U8" s="190"/>
      <c r="V8" s="190"/>
      <c r="W8" s="190"/>
      <c r="X8" s="190"/>
      <c r="Y8" s="190"/>
      <c r="Z8" s="5"/>
    </row>
    <row r="9" spans="1:26" s="4" customFormat="1" x14ac:dyDescent="0.35">
      <c r="A9"/>
      <c r="B9" s="193" t="s">
        <v>149</v>
      </c>
      <c r="C9" s="67"/>
      <c r="D9" s="67"/>
      <c r="E9" s="67"/>
      <c r="F9" s="187">
        <f>'Income Statement'!F39</f>
        <v>0</v>
      </c>
      <c r="G9" s="187">
        <f>'Income Statement'!G39</f>
        <v>0</v>
      </c>
      <c r="H9" s="187">
        <f>'Income Statement'!H39</f>
        <v>0</v>
      </c>
      <c r="I9" s="187">
        <f>'Income Statement'!I39</f>
        <v>0</v>
      </c>
      <c r="J9" s="187">
        <f>'Income Statement'!J39</f>
        <v>0</v>
      </c>
      <c r="K9" s="194"/>
      <c r="L9" s="194"/>
      <c r="M9" s="194"/>
      <c r="N9" s="194"/>
      <c r="O9" s="194"/>
      <c r="P9" s="194"/>
      <c r="Q9" s="194"/>
      <c r="R9" s="194"/>
      <c r="S9" s="189"/>
      <c r="T9" s="190"/>
      <c r="U9" s="190"/>
      <c r="V9" s="190"/>
      <c r="W9" s="190"/>
      <c r="X9" s="190"/>
      <c r="Y9" s="190"/>
      <c r="Z9" s="5"/>
    </row>
    <row r="10" spans="1:26" s="4" customFormat="1" x14ac:dyDescent="0.35">
      <c r="A10"/>
      <c r="B10" s="191" t="s">
        <v>150</v>
      </c>
      <c r="C10" s="67"/>
      <c r="D10" s="67"/>
      <c r="E10" s="67"/>
      <c r="F10" s="187">
        <f>'Cash Flow'!F23</f>
        <v>-4302.5415000000003</v>
      </c>
      <c r="G10" s="187">
        <f>'Cash Flow'!G23</f>
        <v>-4405.9142549999997</v>
      </c>
      <c r="H10" s="187">
        <f>'Cash Flow'!H23</f>
        <v>-4512.2212669124992</v>
      </c>
      <c r="I10" s="187">
        <f>'Cash Flow'!I23</f>
        <v>-4621.570854546374</v>
      </c>
      <c r="J10" s="187">
        <f>'Cash Flow'!J23</f>
        <v>-4734.0770331586209</v>
      </c>
      <c r="K10" s="188"/>
      <c r="L10" s="188"/>
      <c r="M10" s="188"/>
      <c r="N10" s="188"/>
      <c r="O10" s="188"/>
      <c r="P10" s="188"/>
      <c r="Q10" s="188"/>
      <c r="R10" s="188"/>
      <c r="S10" s="189"/>
      <c r="T10" s="190"/>
      <c r="U10" s="190"/>
      <c r="V10" s="190"/>
      <c r="W10" s="190"/>
      <c r="X10" s="190"/>
      <c r="Y10" s="190"/>
      <c r="Z10" s="5"/>
    </row>
    <row r="11" spans="1:26" s="4" customFormat="1" x14ac:dyDescent="0.35">
      <c r="A11"/>
      <c r="B11" s="195" t="s">
        <v>151</v>
      </c>
      <c r="C11" s="196"/>
      <c r="D11" s="196"/>
      <c r="E11" s="196"/>
      <c r="F11" s="197">
        <f>'Working cap'!F16</f>
        <v>-1150.0725071917805</v>
      </c>
      <c r="G11" s="197">
        <f>'Working cap'!G16</f>
        <v>241.65151562671235</v>
      </c>
      <c r="H11" s="197">
        <f>'Working cap'!H16</f>
        <v>248.51084360093409</v>
      </c>
      <c r="I11" s="197">
        <f>'Working cap'!I16</f>
        <v>255.62338533864204</v>
      </c>
      <c r="J11" s="197">
        <f>'Working cap'!J16</f>
        <v>263.00245726273351</v>
      </c>
      <c r="K11" s="198"/>
      <c r="L11" s="198"/>
      <c r="M11" s="198"/>
      <c r="N11" s="198"/>
      <c r="O11" s="198"/>
      <c r="P11" s="198"/>
      <c r="Q11" s="198"/>
      <c r="R11" s="198"/>
      <c r="S11" s="199"/>
      <c r="T11" s="200"/>
      <c r="U11" s="200"/>
      <c r="V11" s="200"/>
      <c r="W11" s="200"/>
      <c r="X11" s="200"/>
      <c r="Y11" s="200"/>
      <c r="Z11" s="5"/>
    </row>
    <row r="12" spans="1:26" s="4" customFormat="1" ht="15" thickBot="1" x14ac:dyDescent="0.4">
      <c r="A12"/>
      <c r="B12" s="130" t="s">
        <v>152</v>
      </c>
      <c r="C12" s="131"/>
      <c r="D12" s="131"/>
      <c r="E12" s="131"/>
      <c r="F12" s="132">
        <f>SUM(F7:F11)</f>
        <v>19724.533168194826</v>
      </c>
      <c r="G12" s="132">
        <f t="shared" ref="G12:J12" si="1">SUM(G7:G11)</f>
        <v>22171.708065562463</v>
      </c>
      <c r="H12" s="132">
        <f t="shared" si="1"/>
        <v>23260.933482792141</v>
      </c>
      <c r="I12" s="132">
        <f t="shared" si="1"/>
        <v>24378.177802404549</v>
      </c>
      <c r="J12" s="132">
        <f t="shared" si="1"/>
        <v>25524.342076450703</v>
      </c>
      <c r="K12" s="138">
        <f>J12*(1+K13)</f>
        <v>26545.315759508732</v>
      </c>
      <c r="L12" s="138">
        <f t="shared" ref="L12:Y12" si="2">K12*(1+L13)</f>
        <v>27607.128389889083</v>
      </c>
      <c r="M12" s="138">
        <f t="shared" si="2"/>
        <v>28711.413525484648</v>
      </c>
      <c r="N12" s="138">
        <f t="shared" si="2"/>
        <v>29859.870066504034</v>
      </c>
      <c r="O12" s="138">
        <f t="shared" si="2"/>
        <v>31054.264869164195</v>
      </c>
      <c r="P12" s="138">
        <f t="shared" si="2"/>
        <v>32296.435463930764</v>
      </c>
      <c r="Q12" s="138">
        <f t="shared" si="2"/>
        <v>33588.292882487993</v>
      </c>
      <c r="R12" s="138">
        <f t="shared" si="2"/>
        <v>34931.824597787512</v>
      </c>
      <c r="S12" s="138">
        <f t="shared" si="2"/>
        <v>36329.09758169901</v>
      </c>
      <c r="T12" s="138">
        <f t="shared" si="2"/>
        <v>37782.26148496697</v>
      </c>
      <c r="U12" s="138">
        <f t="shared" si="2"/>
        <v>39293.551944365652</v>
      </c>
      <c r="V12" s="138">
        <f t="shared" si="2"/>
        <v>40472.358502696625</v>
      </c>
      <c r="W12" s="138">
        <f t="shared" si="2"/>
        <v>41686.529257777525</v>
      </c>
      <c r="X12" s="138">
        <f t="shared" si="2"/>
        <v>42937.125135510854</v>
      </c>
      <c r="Y12" s="138">
        <f t="shared" si="2"/>
        <v>44225.238889576183</v>
      </c>
      <c r="Z12" s="5"/>
    </row>
    <row r="13" spans="1:26" s="4" customFormat="1" ht="15" thickTop="1" x14ac:dyDescent="0.35">
      <c r="A13"/>
      <c r="B13" s="29" t="s">
        <v>153</v>
      </c>
      <c r="C13" s="49"/>
      <c r="D13" s="49"/>
      <c r="E13" s="49"/>
      <c r="F13" s="133"/>
      <c r="G13" s="134">
        <f>G12/F12-1</f>
        <v>0.12406756988873258</v>
      </c>
      <c r="H13" s="134">
        <f t="shared" ref="H13:J13" si="3">H12/G12-1</f>
        <v>4.9126815760373699E-2</v>
      </c>
      <c r="I13" s="134">
        <f t="shared" si="3"/>
        <v>4.8030932225437972E-2</v>
      </c>
      <c r="J13" s="134">
        <f t="shared" si="3"/>
        <v>4.7015994523311067E-2</v>
      </c>
      <c r="K13" s="31">
        <v>0.04</v>
      </c>
      <c r="L13" s="31">
        <v>0.04</v>
      </c>
      <c r="M13" s="31">
        <v>0.04</v>
      </c>
      <c r="N13" s="31">
        <v>0.04</v>
      </c>
      <c r="O13" s="31">
        <v>0.04</v>
      </c>
      <c r="P13" s="31">
        <v>0.04</v>
      </c>
      <c r="Q13" s="31">
        <v>0.04</v>
      </c>
      <c r="R13" s="31">
        <v>0.04</v>
      </c>
      <c r="S13" s="31">
        <v>0.04</v>
      </c>
      <c r="T13" s="31">
        <v>0.04</v>
      </c>
      <c r="U13" s="31">
        <v>0.04</v>
      </c>
      <c r="V13" s="31">
        <v>0.03</v>
      </c>
      <c r="W13" s="31">
        <v>0.03</v>
      </c>
      <c r="X13" s="31">
        <v>0.03</v>
      </c>
      <c r="Y13" s="31">
        <v>0.03</v>
      </c>
      <c r="Z13" s="5"/>
    </row>
    <row r="14" spans="1:26" s="4" customFormat="1" ht="15" thickBot="1" x14ac:dyDescent="0.4">
      <c r="A14"/>
      <c r="B14" s="135" t="s">
        <v>154</v>
      </c>
      <c r="C14" s="136"/>
      <c r="D14" s="136"/>
      <c r="E14" s="136"/>
      <c r="F14" s="136">
        <v>0</v>
      </c>
      <c r="G14" s="136">
        <v>0</v>
      </c>
      <c r="H14" s="136">
        <v>0</v>
      </c>
      <c r="I14" s="136">
        <v>0</v>
      </c>
      <c r="J14" s="136">
        <v>0</v>
      </c>
      <c r="K14" s="136">
        <v>0</v>
      </c>
      <c r="L14" s="136">
        <v>0</v>
      </c>
      <c r="M14" s="136">
        <v>0</v>
      </c>
      <c r="N14" s="136">
        <v>0</v>
      </c>
      <c r="O14" s="136">
        <v>0</v>
      </c>
      <c r="P14" s="136">
        <v>0</v>
      </c>
      <c r="Q14" s="136">
        <v>0</v>
      </c>
      <c r="R14" s="136">
        <v>0</v>
      </c>
      <c r="S14" s="136">
        <v>0</v>
      </c>
      <c r="T14" s="136">
        <v>0</v>
      </c>
      <c r="U14" s="136">
        <v>0</v>
      </c>
      <c r="V14" s="136">
        <v>0</v>
      </c>
      <c r="W14" s="136">
        <v>0</v>
      </c>
      <c r="X14" s="136">
        <v>0</v>
      </c>
      <c r="Y14" s="136">
        <f>Y12*(1+C24)/(C51-C24)</f>
        <v>956535.16310385941</v>
      </c>
      <c r="Z14" s="5"/>
    </row>
    <row r="15" spans="1:26" s="4" customFormat="1" ht="15" thickTop="1" x14ac:dyDescent="0.35">
      <c r="A15"/>
      <c r="B1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/>
      <c r="T15" s="5"/>
      <c r="U15" s="5"/>
      <c r="V15" s="5"/>
      <c r="W15" s="5"/>
      <c r="X15" s="5"/>
      <c r="Y15" s="5"/>
      <c r="Z15" s="5"/>
    </row>
    <row r="16" spans="1:26" s="4" customFormat="1" x14ac:dyDescent="0.35">
      <c r="A16"/>
      <c r="B16" s="126" t="s">
        <v>155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/>
      <c r="T16" s="5"/>
      <c r="U16" s="5"/>
      <c r="V16" s="5"/>
      <c r="W16" s="5"/>
      <c r="X16" s="5"/>
      <c r="Y16" s="5"/>
      <c r="Z16" s="5"/>
    </row>
    <row r="17" spans="2:3" x14ac:dyDescent="0.35">
      <c r="B17" s="4"/>
      <c r="C17" s="3"/>
    </row>
    <row r="18" spans="2:3" x14ac:dyDescent="0.35">
      <c r="B18" s="126" t="s">
        <v>156</v>
      </c>
      <c r="C18" s="3"/>
    </row>
    <row r="19" spans="2:3" x14ac:dyDescent="0.35">
      <c r="B19"/>
      <c r="C19" s="3"/>
    </row>
    <row r="20" spans="2:3" x14ac:dyDescent="0.35">
      <c r="B20" s="29" t="s">
        <v>157</v>
      </c>
      <c r="C20" s="34">
        <v>0.04</v>
      </c>
    </row>
    <row r="21" spans="2:3" x14ac:dyDescent="0.35">
      <c r="B21" s="29" t="s">
        <v>158</v>
      </c>
      <c r="C21" s="289">
        <v>0.44</v>
      </c>
    </row>
    <row r="22" spans="2:3" x14ac:dyDescent="0.35">
      <c r="B22" s="29" t="s">
        <v>159</v>
      </c>
      <c r="C22" s="33">
        <v>4.24E-2</v>
      </c>
    </row>
    <row r="23" spans="2:3" x14ac:dyDescent="0.35">
      <c r="B23" s="29" t="s">
        <v>160</v>
      </c>
      <c r="C23" s="34">
        <f>C20+C21*C22</f>
        <v>5.8656E-2</v>
      </c>
    </row>
    <row r="24" spans="2:3" x14ac:dyDescent="0.35">
      <c r="B24" s="30" t="s">
        <v>161</v>
      </c>
      <c r="C24" s="33">
        <v>0.01</v>
      </c>
    </row>
    <row r="25" spans="2:3" x14ac:dyDescent="0.35">
      <c r="B25"/>
      <c r="C25" s="3"/>
    </row>
    <row r="26" spans="2:3" x14ac:dyDescent="0.35">
      <c r="B26" s="126" t="s">
        <v>162</v>
      </c>
      <c r="C26" s="3"/>
    </row>
    <row r="27" spans="2:3" x14ac:dyDescent="0.35">
      <c r="B27" s="29" t="s">
        <v>163</v>
      </c>
      <c r="C27" s="290">
        <v>162.88999999999999</v>
      </c>
    </row>
    <row r="28" spans="2:3" x14ac:dyDescent="0.35">
      <c r="B28" s="29" t="s">
        <v>164</v>
      </c>
      <c r="C28" s="289">
        <f>'Income Statement'!F34</f>
        <v>2471.9</v>
      </c>
    </row>
    <row r="29" spans="2:3" x14ac:dyDescent="0.35">
      <c r="B29" s="29" t="s">
        <v>165</v>
      </c>
      <c r="C29" s="33">
        <v>0</v>
      </c>
    </row>
    <row r="30" spans="2:3" x14ac:dyDescent="0.35">
      <c r="B30" s="29" t="s">
        <v>166</v>
      </c>
      <c r="C30" s="34">
        <v>0</v>
      </c>
    </row>
    <row r="31" spans="2:3" x14ac:dyDescent="0.35">
      <c r="B31" s="30" t="s">
        <v>167</v>
      </c>
      <c r="C31" s="291">
        <f>C27*C28</f>
        <v>402647.79099999997</v>
      </c>
    </row>
    <row r="32" spans="2:3" x14ac:dyDescent="0.35">
      <c r="B32" s="4"/>
      <c r="C32" s="3"/>
    </row>
    <row r="33" spans="2:3" x14ac:dyDescent="0.35">
      <c r="B33" s="126" t="s">
        <v>168</v>
      </c>
      <c r="C33" s="3"/>
    </row>
    <row r="34" spans="2:3" x14ac:dyDescent="0.35">
      <c r="B34" s="29" t="s">
        <v>169</v>
      </c>
      <c r="C34" s="290">
        <f>'Balance Sheet'!F25</f>
        <v>7191</v>
      </c>
    </row>
    <row r="35" spans="2:3" x14ac:dyDescent="0.35">
      <c r="B35" s="29" t="s">
        <v>170</v>
      </c>
      <c r="C35" s="289">
        <f>'Balance Sheet'!F29</f>
        <v>22069</v>
      </c>
    </row>
    <row r="36" spans="2:3" x14ac:dyDescent="0.35">
      <c r="B36" s="30" t="s">
        <v>171</v>
      </c>
      <c r="C36" s="291">
        <f>SUM(C34:C35)</f>
        <v>29260</v>
      </c>
    </row>
    <row r="37" spans="2:3" x14ac:dyDescent="0.35">
      <c r="B37"/>
      <c r="C37" s="3"/>
    </row>
    <row r="38" spans="2:3" x14ac:dyDescent="0.35">
      <c r="B38" s="126" t="s">
        <v>172</v>
      </c>
      <c r="C38" s="3"/>
    </row>
    <row r="39" spans="2:3" x14ac:dyDescent="0.35">
      <c r="B39" s="29" t="s">
        <v>173</v>
      </c>
      <c r="C39" s="34">
        <f>C31/(C31+C36)</f>
        <v>0.93225405836682396</v>
      </c>
    </row>
    <row r="40" spans="2:3" x14ac:dyDescent="0.35">
      <c r="B40" s="29" t="s">
        <v>174</v>
      </c>
      <c r="C40" s="32">
        <f>1-C39</f>
        <v>6.7745941633176043E-2</v>
      </c>
    </row>
    <row r="41" spans="2:3" x14ac:dyDescent="0.35">
      <c r="B41" s="30" t="s">
        <v>96</v>
      </c>
      <c r="C41" s="291">
        <f>C40/C39</f>
        <v>7.2668969392160401E-2</v>
      </c>
    </row>
    <row r="42" spans="2:3" x14ac:dyDescent="0.35">
      <c r="B42"/>
      <c r="C42" s="3"/>
    </row>
    <row r="43" spans="2:3" x14ac:dyDescent="0.35">
      <c r="B43" s="126" t="s">
        <v>175</v>
      </c>
      <c r="C43" s="3"/>
    </row>
    <row r="44" spans="2:3" x14ac:dyDescent="0.35">
      <c r="B44" s="29" t="s">
        <v>176</v>
      </c>
      <c r="C44" s="34">
        <f>C20</f>
        <v>0.04</v>
      </c>
    </row>
    <row r="45" spans="2:3" x14ac:dyDescent="0.35">
      <c r="B45" s="29" t="s">
        <v>177</v>
      </c>
      <c r="C45" s="32">
        <f>C22</f>
        <v>4.24E-2</v>
      </c>
    </row>
    <row r="46" spans="2:3" x14ac:dyDescent="0.35">
      <c r="B46" s="29" t="s">
        <v>178</v>
      </c>
      <c r="C46" s="33">
        <f>C21</f>
        <v>0.44</v>
      </c>
    </row>
    <row r="47" spans="2:3" x14ac:dyDescent="0.35">
      <c r="B47" s="29" t="s">
        <v>160</v>
      </c>
      <c r="C47" s="34">
        <f>C23</f>
        <v>5.8656E-2</v>
      </c>
    </row>
    <row r="48" spans="2:3" x14ac:dyDescent="0.35">
      <c r="B48" s="29" t="s">
        <v>179</v>
      </c>
      <c r="C48" s="32">
        <f>'Debt Schedule'!E17</f>
        <v>3.7263077325921004E-2</v>
      </c>
    </row>
    <row r="49" spans="2:26" s="4" customFormat="1" x14ac:dyDescent="0.35">
      <c r="B49" s="29" t="s">
        <v>17</v>
      </c>
      <c r="C49" s="34">
        <f>'Income Statement'!E25</f>
        <v>0.2018441530753651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/>
      <c r="T49" s="5"/>
      <c r="U49" s="5"/>
      <c r="V49" s="5"/>
      <c r="W49" s="5"/>
      <c r="X49" s="5"/>
      <c r="Y49" s="5"/>
      <c r="Z49" s="5"/>
    </row>
    <row r="50" spans="2:26" s="4" customFormat="1" x14ac:dyDescent="0.35">
      <c r="B50" s="29" t="s">
        <v>180</v>
      </c>
      <c r="C50" s="32">
        <f>C48*(1-C49)</f>
        <v>2.9741743042088639E-2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/>
      <c r="T50" s="5"/>
      <c r="U50" s="5"/>
      <c r="V50" s="5"/>
      <c r="W50" s="5"/>
      <c r="X50" s="5"/>
      <c r="Y50" s="5"/>
      <c r="Z50" s="5"/>
    </row>
    <row r="51" spans="2:26" s="4" customFormat="1" x14ac:dyDescent="0.35">
      <c r="B51" s="30" t="s">
        <v>181</v>
      </c>
      <c r="C51" s="33">
        <f>C39*C47+C40*C50</f>
        <v>5.6697176435762678E-2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/>
      <c r="T51" s="5"/>
      <c r="U51" s="5"/>
      <c r="V51" s="5"/>
      <c r="W51" s="5"/>
      <c r="X51" s="5"/>
      <c r="Y51" s="5"/>
      <c r="Z51" s="5"/>
    </row>
    <row r="52" spans="2:26" s="4" customFormat="1" x14ac:dyDescent="0.35">
      <c r="B5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/>
      <c r="T52" s="5"/>
      <c r="U52" s="5"/>
      <c r="V52" s="5"/>
      <c r="W52" s="5"/>
      <c r="X52" s="5"/>
      <c r="Y52" s="5"/>
      <c r="Z52" s="5"/>
    </row>
    <row r="53" spans="2:26" s="4" customFormat="1" x14ac:dyDescent="0.3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 s="5"/>
      <c r="U53" s="5"/>
      <c r="V53" s="5"/>
      <c r="W53" s="5"/>
      <c r="X53" s="5"/>
      <c r="Y53" s="5"/>
      <c r="Z53" s="5"/>
    </row>
    <row r="54" spans="2:26" s="4" customFormat="1" x14ac:dyDescent="0.35">
      <c r="B54" s="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5"/>
      <c r="U54" s="5"/>
      <c r="V54" s="5"/>
      <c r="W54" s="5"/>
      <c r="X54" s="5"/>
      <c r="Y54" s="5"/>
      <c r="Z54" s="5"/>
    </row>
    <row r="55" spans="2:26" s="4" customFormat="1" x14ac:dyDescent="0.35">
      <c r="B55" s="127" t="s">
        <v>182</v>
      </c>
      <c r="C55" s="36"/>
      <c r="D55" s="36"/>
      <c r="E55" s="36"/>
      <c r="F55" s="13">
        <v>2025</v>
      </c>
      <c r="G55" s="13">
        <f>F55+1</f>
        <v>2026</v>
      </c>
      <c r="H55" s="13">
        <f t="shared" ref="H55:Y55" si="4">G55+1</f>
        <v>2027</v>
      </c>
      <c r="I55" s="13">
        <f t="shared" si="4"/>
        <v>2028</v>
      </c>
      <c r="J55" s="13">
        <f t="shared" si="4"/>
        <v>2029</v>
      </c>
      <c r="K55" s="13">
        <f t="shared" si="4"/>
        <v>2030</v>
      </c>
      <c r="L55" s="13">
        <f t="shared" si="4"/>
        <v>2031</v>
      </c>
      <c r="M55" s="13">
        <f t="shared" si="4"/>
        <v>2032</v>
      </c>
      <c r="N55" s="13">
        <f t="shared" si="4"/>
        <v>2033</v>
      </c>
      <c r="O55" s="13">
        <f t="shared" si="4"/>
        <v>2034</v>
      </c>
      <c r="P55" s="13">
        <f t="shared" si="4"/>
        <v>2035</v>
      </c>
      <c r="Q55" s="13">
        <f t="shared" si="4"/>
        <v>2036</v>
      </c>
      <c r="R55" s="13">
        <f t="shared" si="4"/>
        <v>2037</v>
      </c>
      <c r="S55" s="13">
        <f t="shared" si="4"/>
        <v>2038</v>
      </c>
      <c r="T55" s="13">
        <f t="shared" si="4"/>
        <v>2039</v>
      </c>
      <c r="U55" s="13">
        <f t="shared" si="4"/>
        <v>2040</v>
      </c>
      <c r="V55" s="13">
        <f t="shared" si="4"/>
        <v>2041</v>
      </c>
      <c r="W55" s="13">
        <f t="shared" si="4"/>
        <v>2042</v>
      </c>
      <c r="X55" s="13">
        <f t="shared" si="4"/>
        <v>2043</v>
      </c>
      <c r="Y55" s="13">
        <f t="shared" si="4"/>
        <v>2044</v>
      </c>
      <c r="Z55" s="5"/>
    </row>
    <row r="56" spans="2:26" s="4" customFormat="1" x14ac:dyDescent="0.35">
      <c r="B56" t="s">
        <v>183</v>
      </c>
      <c r="C56" s="34"/>
      <c r="D56"/>
      <c r="E56"/>
      <c r="F56" s="37">
        <f>F12</f>
        <v>19724.533168194826</v>
      </c>
      <c r="G56" s="37">
        <f t="shared" ref="G56:Y56" si="5">G12</f>
        <v>22171.708065562463</v>
      </c>
      <c r="H56" s="37">
        <f t="shared" si="5"/>
        <v>23260.933482792141</v>
      </c>
      <c r="I56" s="37">
        <f t="shared" si="5"/>
        <v>24378.177802404549</v>
      </c>
      <c r="J56" s="37">
        <f t="shared" si="5"/>
        <v>25524.342076450703</v>
      </c>
      <c r="K56" s="37">
        <f t="shared" si="5"/>
        <v>26545.315759508732</v>
      </c>
      <c r="L56" s="37">
        <f t="shared" si="5"/>
        <v>27607.128389889083</v>
      </c>
      <c r="M56" s="37">
        <f t="shared" si="5"/>
        <v>28711.413525484648</v>
      </c>
      <c r="N56" s="37">
        <f t="shared" si="5"/>
        <v>29859.870066504034</v>
      </c>
      <c r="O56" s="37">
        <f t="shared" si="5"/>
        <v>31054.264869164195</v>
      </c>
      <c r="P56" s="37">
        <f t="shared" si="5"/>
        <v>32296.435463930764</v>
      </c>
      <c r="Q56" s="37">
        <f t="shared" si="5"/>
        <v>33588.292882487993</v>
      </c>
      <c r="R56" s="37">
        <f t="shared" si="5"/>
        <v>34931.824597787512</v>
      </c>
      <c r="S56" s="37">
        <f t="shared" si="5"/>
        <v>36329.09758169901</v>
      </c>
      <c r="T56" s="37">
        <f t="shared" si="5"/>
        <v>37782.26148496697</v>
      </c>
      <c r="U56" s="37">
        <f t="shared" si="5"/>
        <v>39293.551944365652</v>
      </c>
      <c r="V56" s="37">
        <f t="shared" si="5"/>
        <v>40472.358502696625</v>
      </c>
      <c r="W56" s="37">
        <f t="shared" si="5"/>
        <v>41686.529257777525</v>
      </c>
      <c r="X56" s="37">
        <f t="shared" si="5"/>
        <v>42937.125135510854</v>
      </c>
      <c r="Y56" s="37">
        <f t="shared" si="5"/>
        <v>44225.238889576183</v>
      </c>
      <c r="Z56" s="5"/>
    </row>
    <row r="57" spans="2:26" s="4" customFormat="1" x14ac:dyDescent="0.35">
      <c r="B57" t="s">
        <v>184</v>
      </c>
      <c r="C57" s="293">
        <f>NPV(C51,F56:Y56)</f>
        <v>352124.07643759146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 s="5"/>
      <c r="U57" s="5"/>
      <c r="V57" s="5"/>
      <c r="W57" s="5"/>
      <c r="X57" s="5"/>
      <c r="Y57" s="5"/>
      <c r="Z57" s="5"/>
    </row>
    <row r="58" spans="2:26" s="4" customFormat="1" x14ac:dyDescent="0.3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 s="5"/>
      <c r="U58" s="5"/>
      <c r="V58" s="5"/>
      <c r="W58" s="5"/>
      <c r="X58" s="5"/>
      <c r="Y58" s="5"/>
      <c r="Z58" s="5"/>
    </row>
    <row r="59" spans="2:26" s="4" customFormat="1" x14ac:dyDescent="0.3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 s="5"/>
      <c r="U59" s="5"/>
      <c r="V59" s="5"/>
      <c r="W59" s="5"/>
      <c r="X59" s="5"/>
      <c r="Y59" s="5"/>
      <c r="Z59" s="5"/>
    </row>
    <row r="60" spans="2:26" s="4" customFormat="1" x14ac:dyDescent="0.35">
      <c r="B60" s="127" t="s">
        <v>185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/>
      <c r="T60" s="5"/>
      <c r="U60" s="5"/>
      <c r="V60" s="5"/>
      <c r="W60" s="5"/>
      <c r="X60" s="5"/>
      <c r="Y60" s="5"/>
      <c r="Z60" s="5"/>
    </row>
    <row r="61" spans="2:26" s="4" customFormat="1" x14ac:dyDescent="0.35">
      <c r="B61" t="s">
        <v>186</v>
      </c>
      <c r="C61" s="34"/>
      <c r="D61"/>
      <c r="E61"/>
      <c r="F61" s="292">
        <v>0</v>
      </c>
      <c r="G61" s="292">
        <v>0</v>
      </c>
      <c r="H61" s="292">
        <v>0</v>
      </c>
      <c r="I61" s="292">
        <v>0</v>
      </c>
      <c r="J61" s="292">
        <v>0</v>
      </c>
      <c r="K61" s="292">
        <v>0</v>
      </c>
      <c r="L61" s="292">
        <v>0</v>
      </c>
      <c r="M61" s="292">
        <v>0</v>
      </c>
      <c r="N61" s="292">
        <v>0</v>
      </c>
      <c r="O61" s="292">
        <v>0</v>
      </c>
      <c r="P61" s="292">
        <v>0</v>
      </c>
      <c r="Q61" s="292">
        <v>0</v>
      </c>
      <c r="R61" s="292">
        <v>0</v>
      </c>
      <c r="S61" s="292">
        <v>0</v>
      </c>
      <c r="T61" s="292">
        <v>0</v>
      </c>
      <c r="U61" s="292">
        <v>0</v>
      </c>
      <c r="V61" s="292">
        <v>0</v>
      </c>
      <c r="W61" s="292">
        <v>0</v>
      </c>
      <c r="X61" s="292">
        <v>0</v>
      </c>
      <c r="Y61" s="292">
        <f t="shared" ref="Y61" si="6">Y14</f>
        <v>956535.16310385941</v>
      </c>
      <c r="Z61" s="5"/>
    </row>
    <row r="62" spans="2:26" s="4" customFormat="1" x14ac:dyDescent="0.35">
      <c r="B62" t="s">
        <v>187</v>
      </c>
      <c r="C62" s="293">
        <f>NPV(C51,F61:Y61)</f>
        <v>317460.72262473131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 s="5"/>
      <c r="U62" s="5"/>
      <c r="V62" s="5"/>
      <c r="W62" s="5"/>
      <c r="X62" s="5"/>
      <c r="Y62" s="5"/>
      <c r="Z62" s="5"/>
    </row>
    <row r="63" spans="2:26" s="4" customFormat="1" x14ac:dyDescent="0.3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 s="5"/>
      <c r="U63" s="5"/>
      <c r="V63" s="5"/>
      <c r="W63" s="5"/>
      <c r="X63" s="5"/>
      <c r="Y63" s="5"/>
      <c r="Z63" s="5"/>
    </row>
    <row r="64" spans="2:26" s="4" customFormat="1" x14ac:dyDescent="0.35">
      <c r="B64" s="334" t="s">
        <v>188</v>
      </c>
      <c r="C64" s="334"/>
      <c r="D64" s="33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 s="5"/>
      <c r="U64" s="5"/>
      <c r="V64" s="5"/>
      <c r="W64" s="5"/>
      <c r="X64" s="5"/>
      <c r="Y64" s="5"/>
      <c r="Z64" s="5"/>
    </row>
    <row r="65" spans="2:26" s="4" customFormat="1" x14ac:dyDescent="0.35">
      <c r="T65" s="5"/>
      <c r="U65" s="5"/>
      <c r="V65" s="5"/>
      <c r="W65" s="5"/>
      <c r="X65" s="5"/>
      <c r="Y65" s="5"/>
      <c r="Z65" s="5"/>
    </row>
    <row r="66" spans="2:26" s="4" customFormat="1" x14ac:dyDescent="0.35">
      <c r="B66" s="127" t="s">
        <v>189</v>
      </c>
      <c r="C66" s="128" t="s">
        <v>190</v>
      </c>
      <c r="D66" s="128" t="s">
        <v>191</v>
      </c>
      <c r="E66" s="5"/>
      <c r="F66"/>
      <c r="G66"/>
      <c r="H66"/>
      <c r="I66"/>
      <c r="T66" s="5"/>
      <c r="U66" s="5"/>
      <c r="V66" s="5"/>
      <c r="W66" s="5"/>
      <c r="X66" s="5"/>
      <c r="Y66" s="5"/>
      <c r="Z66" s="5"/>
    </row>
    <row r="67" spans="2:26" s="4" customFormat="1" x14ac:dyDescent="0.35">
      <c r="B67" t="s">
        <v>184</v>
      </c>
      <c r="C67" s="293">
        <f>C57</f>
        <v>352124.07643759146</v>
      </c>
      <c r="D67" s="293">
        <f>NPV(C51,G56:Y56)</f>
        <v>352363.98415845883</v>
      </c>
      <c r="E67" s="39"/>
      <c r="F67"/>
      <c r="G67"/>
      <c r="H67"/>
      <c r="I67"/>
      <c r="T67" s="5"/>
      <c r="U67" s="5"/>
      <c r="V67" s="5"/>
      <c r="W67" s="5"/>
      <c r="X67" s="5"/>
      <c r="Y67" s="5"/>
      <c r="Z67" s="5"/>
    </row>
    <row r="68" spans="2:26" s="4" customFormat="1" x14ac:dyDescent="0.35">
      <c r="B68" t="s">
        <v>187</v>
      </c>
      <c r="C68" s="293">
        <f>C62</f>
        <v>317460.72262473131</v>
      </c>
      <c r="D68" s="293">
        <f>NPV(C51,G61:Y61)</f>
        <v>335459.84922681039</v>
      </c>
      <c r="E68" s="40"/>
      <c r="F68"/>
      <c r="G68"/>
      <c r="H68"/>
      <c r="I68"/>
      <c r="T68" s="5"/>
      <c r="U68" s="5"/>
      <c r="V68" s="5"/>
      <c r="W68" s="5"/>
      <c r="X68" s="5"/>
      <c r="Y68" s="5"/>
      <c r="Z68" s="5"/>
    </row>
    <row r="69" spans="2:26" s="4" customFormat="1" x14ac:dyDescent="0.35">
      <c r="B69" t="s">
        <v>192</v>
      </c>
      <c r="C69" s="294">
        <f>SUM(C67:C68)</f>
        <v>669584.79906232283</v>
      </c>
      <c r="D69" s="294">
        <f>SUM(D67:D68)</f>
        <v>687823.83338526916</v>
      </c>
      <c r="E69" s="41"/>
      <c r="F69"/>
      <c r="G69"/>
      <c r="H69"/>
      <c r="I69"/>
      <c r="T69" s="5"/>
      <c r="U69" s="5"/>
      <c r="V69" s="5"/>
      <c r="W69" s="5"/>
      <c r="X69" s="5"/>
      <c r="Y69" s="5"/>
      <c r="Z69" s="5"/>
    </row>
    <row r="70" spans="2:26" s="4" customFormat="1" x14ac:dyDescent="0.35">
      <c r="B70" s="42" t="s">
        <v>193</v>
      </c>
      <c r="C70" s="293">
        <f>'Balance Sheet'!E5</f>
        <v>9482</v>
      </c>
      <c r="D70" s="293">
        <f>'Balance Sheet'!F5</f>
        <v>16863.866501528155</v>
      </c>
      <c r="E70" s="5"/>
      <c r="F70"/>
      <c r="G70"/>
      <c r="H70"/>
      <c r="I70"/>
      <c r="T70" s="5"/>
      <c r="U70" s="5"/>
      <c r="V70" s="5"/>
      <c r="W70" s="5"/>
      <c r="X70" s="5"/>
      <c r="Y70" s="5"/>
      <c r="Z70" s="5"/>
    </row>
    <row r="71" spans="2:26" s="4" customFormat="1" x14ac:dyDescent="0.35">
      <c r="B71" s="42" t="s">
        <v>194</v>
      </c>
      <c r="C71" s="293">
        <f>-('Balance Sheet'!E25+'Balance Sheet'!E29)</f>
        <v>-32460</v>
      </c>
      <c r="D71" s="293">
        <f>-SUM('Balance Sheet'!F25+'Balance Sheet'!F29)</f>
        <v>-29260</v>
      </c>
      <c r="E71" s="5"/>
      <c r="F71"/>
      <c r="G71"/>
      <c r="H71"/>
      <c r="I71"/>
      <c r="T71" s="5"/>
      <c r="U71" s="5"/>
      <c r="V71" s="5"/>
      <c r="W71" s="5"/>
      <c r="X71" s="5"/>
      <c r="Y71" s="5"/>
      <c r="Z71" s="5"/>
    </row>
    <row r="72" spans="2:26" s="4" customFormat="1" x14ac:dyDescent="0.35">
      <c r="B72" s="2" t="s">
        <v>195</v>
      </c>
      <c r="C72" s="294">
        <f>SUM(C69:C71)</f>
        <v>646606.79906232283</v>
      </c>
      <c r="D72" s="294">
        <f>SUM(D69:D71)</f>
        <v>675427.69988679735</v>
      </c>
      <c r="E72" s="5"/>
      <c r="F72"/>
      <c r="G72"/>
      <c r="H72"/>
      <c r="I72"/>
      <c r="T72" s="5"/>
      <c r="U72" s="5"/>
      <c r="V72" s="5"/>
      <c r="W72" s="5"/>
      <c r="X72" s="5"/>
      <c r="Y72" s="5"/>
      <c r="Z72" s="5"/>
    </row>
    <row r="73" spans="2:26" s="4" customFormat="1" x14ac:dyDescent="0.35">
      <c r="B73" s="42" t="s">
        <v>196</v>
      </c>
      <c r="C73" s="293">
        <v>0</v>
      </c>
      <c r="D73" s="293">
        <v>0</v>
      </c>
      <c r="E73" s="5"/>
      <c r="F73"/>
      <c r="G73"/>
      <c r="H73"/>
      <c r="I73"/>
      <c r="T73" s="5"/>
      <c r="U73" s="5"/>
      <c r="V73" s="5"/>
      <c r="W73" s="5"/>
      <c r="X73" s="5"/>
      <c r="Y73" s="5"/>
      <c r="Z73" s="5"/>
    </row>
    <row r="74" spans="2:26" s="4" customFormat="1" x14ac:dyDescent="0.35">
      <c r="B74" s="137" t="s">
        <v>197</v>
      </c>
      <c r="C74" s="294">
        <f>SUM(C72:C73)</f>
        <v>646606.79906232283</v>
      </c>
      <c r="D74" s="294">
        <f>SUM(D72:D73)</f>
        <v>675427.69988679735</v>
      </c>
      <c r="E74" s="5"/>
      <c r="F74"/>
      <c r="G74"/>
      <c r="H74"/>
      <c r="I74"/>
      <c r="T74" s="5"/>
      <c r="U74" s="5"/>
      <c r="V74" s="5"/>
      <c r="W74" s="5"/>
      <c r="X74" s="5"/>
      <c r="Y74" s="5"/>
      <c r="Z74" s="5"/>
    </row>
    <row r="75" spans="2:26" s="4" customFormat="1" x14ac:dyDescent="0.35">
      <c r="B75" s="127" t="s">
        <v>198</v>
      </c>
      <c r="C75" s="129">
        <f>C74/$C$28</f>
        <v>261.58291155075966</v>
      </c>
      <c r="D75" s="129">
        <f>D74/$C$28</f>
        <v>273.24232367280121</v>
      </c>
      <c r="E75" s="5"/>
      <c r="F75"/>
      <c r="G75"/>
      <c r="H75"/>
      <c r="I75"/>
      <c r="T75" s="5"/>
      <c r="U75" s="5"/>
      <c r="V75" s="5"/>
      <c r="W75" s="5"/>
      <c r="X75" s="5"/>
      <c r="Y75" s="5"/>
      <c r="Z75" s="5"/>
    </row>
    <row r="76" spans="2:26" s="4" customFormat="1" x14ac:dyDescent="0.35">
      <c r="B76" s="2"/>
      <c r="C76" s="38"/>
      <c r="D76"/>
      <c r="E76" s="43"/>
      <c r="F76"/>
      <c r="G76"/>
      <c r="H76"/>
      <c r="I76"/>
      <c r="T76" s="5"/>
      <c r="U76" s="5"/>
      <c r="V76" s="5"/>
      <c r="W76" s="5"/>
      <c r="X76" s="5"/>
      <c r="Y76" s="5"/>
      <c r="Z76" s="5"/>
    </row>
    <row r="77" spans="2:26" s="4" customFormat="1" x14ac:dyDescent="0.35">
      <c r="B77" s="2"/>
      <c r="C77"/>
      <c r="D77" s="5"/>
      <c r="E77" s="295"/>
      <c r="F77" s="295"/>
      <c r="G77" s="295" t="s">
        <v>199</v>
      </c>
      <c r="H77" s="295"/>
      <c r="I77" s="295"/>
      <c r="T77" s="5"/>
      <c r="U77" s="5"/>
      <c r="V77" s="5"/>
      <c r="W77" s="5"/>
      <c r="X77" s="5"/>
      <c r="Y77" s="5"/>
      <c r="Z77" s="5"/>
    </row>
    <row r="78" spans="2:26" s="4" customFormat="1" ht="16" x14ac:dyDescent="0.5">
      <c r="B78"/>
      <c r="C78"/>
      <c r="D78" s="5"/>
      <c r="E78" s="331" t="s">
        <v>181</v>
      </c>
      <c r="F78" s="331"/>
      <c r="G78" s="331"/>
      <c r="H78" s="331"/>
      <c r="I78" s="331"/>
      <c r="T78" s="5"/>
      <c r="U78" s="5"/>
      <c r="V78" s="5"/>
      <c r="W78" s="5"/>
      <c r="X78" s="5"/>
      <c r="Y78" s="5"/>
      <c r="Z78" s="5"/>
    </row>
    <row r="79" spans="2:26" s="4" customFormat="1" ht="15" thickBot="1" x14ac:dyDescent="0.4">
      <c r="B79"/>
      <c r="C79"/>
      <c r="D79" s="296">
        <f>C75</f>
        <v>261.58291155075966</v>
      </c>
      <c r="E79" s="297">
        <v>3.6700000000000003E-2</v>
      </c>
      <c r="F79" s="297">
        <v>4.6699999999999998E-2</v>
      </c>
      <c r="G79" s="297">
        <v>5.67E-2</v>
      </c>
      <c r="H79" s="297">
        <v>6.6699999999999995E-2</v>
      </c>
      <c r="I79" s="297">
        <v>7.7700000000000005E-2</v>
      </c>
      <c r="T79" s="5"/>
      <c r="U79" s="5"/>
      <c r="V79" s="5"/>
      <c r="W79" s="5"/>
      <c r="X79" s="5"/>
      <c r="Y79" s="5"/>
      <c r="Z79" s="5"/>
    </row>
    <row r="80" spans="2:26" ht="15" thickTop="1" x14ac:dyDescent="0.35">
      <c r="C80" s="332" t="s">
        <v>200</v>
      </c>
      <c r="D80" s="298">
        <v>2.5000000000000001E-3</v>
      </c>
      <c r="E80" s="324">
        <f t="dataTable" ref="E80:I86" dt2D="1" dtr="1" r1="C51" r2="C24"/>
        <v>419.23945281697104</v>
      </c>
      <c r="F80" s="325">
        <v>310.47124157775534</v>
      </c>
      <c r="G80" s="328">
        <v>242.97351108349497</v>
      </c>
      <c r="H80" s="325">
        <v>197.3275664205643</v>
      </c>
      <c r="I80" s="325">
        <v>161.83706851336655</v>
      </c>
    </row>
    <row r="81" spans="3:9" x14ac:dyDescent="0.35">
      <c r="C81" s="332"/>
      <c r="D81" s="299">
        <v>5.0000000000000001E-3</v>
      </c>
      <c r="E81" s="326">
        <v>440.04049325109526</v>
      </c>
      <c r="F81" s="327">
        <v>320.6665111907555</v>
      </c>
      <c r="G81" s="327">
        <v>248.57117768206166</v>
      </c>
      <c r="H81" s="327">
        <v>200.63853835784585</v>
      </c>
      <c r="I81" s="327">
        <v>163.81115998782744</v>
      </c>
    </row>
    <row r="82" spans="3:9" x14ac:dyDescent="0.35">
      <c r="C82" s="332"/>
      <c r="D82" s="299">
        <v>0.01</v>
      </c>
      <c r="E82" s="326">
        <v>493.32855189132374</v>
      </c>
      <c r="F82" s="327">
        <v>345.22405434577507</v>
      </c>
      <c r="G82" s="327">
        <v>261.56447659607949</v>
      </c>
      <c r="H82" s="327">
        <v>208.13640073433527</v>
      </c>
      <c r="I82" s="327">
        <v>168.1967339576785</v>
      </c>
    </row>
    <row r="83" spans="3:9" x14ac:dyDescent="0.35">
      <c r="C83" s="332"/>
      <c r="D83" s="299">
        <v>1.4999999999999999E-2</v>
      </c>
      <c r="E83" s="326">
        <v>571.17331958234843</v>
      </c>
      <c r="F83" s="327">
        <v>377.52845654023292</v>
      </c>
      <c r="G83" s="327">
        <v>277.67367453024536</v>
      </c>
      <c r="H83" s="327">
        <v>217.08452662658664</v>
      </c>
      <c r="I83" s="327">
        <v>173.28176151123787</v>
      </c>
    </row>
    <row r="84" spans="3:9" x14ac:dyDescent="0.35">
      <c r="C84" s="332"/>
      <c r="D84" s="299">
        <v>0.02</v>
      </c>
      <c r="E84" s="326">
        <v>695.6317206212924</v>
      </c>
      <c r="F84" s="327">
        <v>421.93188577381369</v>
      </c>
      <c r="G84" s="327">
        <v>298.17229969442923</v>
      </c>
      <c r="H84" s="327">
        <v>227.94873943366704</v>
      </c>
      <c r="I84" s="327">
        <v>179.24807633577805</v>
      </c>
    </row>
    <row r="85" spans="3:9" x14ac:dyDescent="0.35">
      <c r="C85" s="332"/>
      <c r="D85" s="299">
        <v>2.5000000000000001E-2</v>
      </c>
      <c r="E85" s="326">
        <v>926.46482340292368</v>
      </c>
      <c r="F85" s="327">
        <v>486.79772479245452</v>
      </c>
      <c r="G85" s="327">
        <v>325.13736812807178</v>
      </c>
      <c r="H85" s="327">
        <v>241.41827905299692</v>
      </c>
      <c r="I85" s="327">
        <v>186.34651921051562</v>
      </c>
    </row>
    <row r="86" spans="3:9" x14ac:dyDescent="0.35">
      <c r="D86" s="299">
        <v>1.5E-3</v>
      </c>
      <c r="E86" s="326">
        <v>411.74635075149678</v>
      </c>
      <c r="F86" s="327">
        <v>306.70891641968359</v>
      </c>
      <c r="G86" s="327">
        <v>240.87641424910444</v>
      </c>
      <c r="H86" s="327">
        <v>196.07427213510249</v>
      </c>
      <c r="I86" s="327">
        <v>161.08370132075081</v>
      </c>
    </row>
    <row r="87" spans="3:9" x14ac:dyDescent="0.35">
      <c r="E87" s="300"/>
      <c r="F87" s="300"/>
      <c r="G87" s="300"/>
      <c r="H87" s="300"/>
      <c r="I87" s="300"/>
    </row>
  </sheetData>
  <mergeCells count="5">
    <mergeCell ref="E78:I78"/>
    <mergeCell ref="C80:C85"/>
    <mergeCell ref="D1:E1"/>
    <mergeCell ref="B64:D64"/>
    <mergeCell ref="F1:Y1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50EDE1DF228F46BAF4C12EE09B4D16" ma:contentTypeVersion="17" ma:contentTypeDescription="Crée un document." ma:contentTypeScope="" ma:versionID="3275caf69704babf474d72e225a3b5e4">
  <xsd:schema xmlns:xsd="http://www.w3.org/2001/XMLSchema" xmlns:xs="http://www.w3.org/2001/XMLSchema" xmlns:p="http://schemas.microsoft.com/office/2006/metadata/properties" xmlns:ns3="aec1504d-d676-45b7-874c-f7330110ce63" xmlns:ns4="60e15093-03b5-4ff1-acb2-8a88b4d58a56" targetNamespace="http://schemas.microsoft.com/office/2006/metadata/properties" ma:root="true" ma:fieldsID="bb15fbef5d0ef079134ecc9bb59e1618" ns3:_="" ns4:_="">
    <xsd:import namespace="aec1504d-d676-45b7-874c-f7330110ce63"/>
    <xsd:import namespace="60e15093-03b5-4ff1-acb2-8a88b4d58a5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  <xsd:element ref="ns4:MediaLengthInSeconds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1504d-d676-45b7-874c-f7330110ce6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15093-03b5-4ff1-acb2-8a88b4d58a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0e15093-03b5-4ff1-acb2-8a88b4d58a56" xsi:nil="true"/>
  </documentManagement>
</p:properties>
</file>

<file path=customXml/itemProps1.xml><?xml version="1.0" encoding="utf-8"?>
<ds:datastoreItem xmlns:ds="http://schemas.openxmlformats.org/officeDocument/2006/customXml" ds:itemID="{E6FBB826-0CF7-49DB-96F2-4ECE423F2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c1504d-d676-45b7-874c-f7330110ce63"/>
    <ds:schemaRef ds:uri="60e15093-03b5-4ff1-acb2-8a88b4d58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C4FA71-0E2D-4CCC-9C31-2492826E21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EF7A9B-927D-48B6-BF90-1E5CC8863A9E}">
  <ds:schemaRefs>
    <ds:schemaRef ds:uri="http://purl.org/dc/terms/"/>
    <ds:schemaRef ds:uri="http://schemas.microsoft.com/office/2006/documentManagement/types"/>
    <ds:schemaRef ds:uri="http://purl.org/dc/elements/1.1/"/>
    <ds:schemaRef ds:uri="aec1504d-d676-45b7-874c-f7330110ce63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60e15093-03b5-4ff1-acb2-8a88b4d58a5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Income Statement</vt:lpstr>
      <vt:lpstr>Balance Sheet</vt:lpstr>
      <vt:lpstr>Cash Flow</vt:lpstr>
      <vt:lpstr>Ratio Analysis</vt:lpstr>
      <vt:lpstr>Revenue Build Up</vt:lpstr>
      <vt:lpstr>Cost Sheet</vt:lpstr>
      <vt:lpstr>Working cap</vt:lpstr>
      <vt:lpstr>Depreciation Schedule</vt:lpstr>
      <vt:lpstr>Shareholders Equity</vt:lpstr>
      <vt:lpstr>Debt Schedule</vt:lpstr>
      <vt:lpstr>DCF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Kale</dc:creator>
  <cp:lastModifiedBy>Sukumar (X)</cp:lastModifiedBy>
  <dcterms:created xsi:type="dcterms:W3CDTF">2022-09-06T09:25:48Z</dcterms:created>
  <dcterms:modified xsi:type="dcterms:W3CDTF">2025-02-18T18:12:56Z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0x010100A850EDE1DF228F46BAF4C12EE09B4D16</vt:lpwstr>
  </property>
</Properties>
</file>