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64011"/>
  <bookViews>
    <workbookView xWindow="0" yWindow="0" windowWidth="19368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0" i="1" l="1"/>
  <c r="C160" i="1"/>
  <c r="C114" i="1"/>
  <c r="C95" i="1"/>
  <c r="C87" i="1"/>
  <c r="C86" i="1" l="1"/>
  <c r="C70" i="1"/>
  <c r="C122" i="1" l="1"/>
  <c r="I76" i="1"/>
  <c r="J77" i="1"/>
  <c r="J78" i="1"/>
  <c r="J79" i="1"/>
  <c r="J80" i="1"/>
  <c r="J81" i="1"/>
  <c r="J82" i="1"/>
  <c r="J83" i="1"/>
  <c r="J84" i="1"/>
  <c r="J76" i="1"/>
  <c r="I77" i="1" l="1"/>
  <c r="I78" i="1"/>
  <c r="I79" i="1"/>
  <c r="I80" i="1"/>
  <c r="I81" i="1"/>
  <c r="I82" i="1"/>
  <c r="I83" i="1"/>
  <c r="I84" i="1"/>
  <c r="H76" i="1" l="1"/>
  <c r="H83" i="1"/>
  <c r="H84" i="1"/>
  <c r="H77" i="1"/>
  <c r="H78" i="1"/>
  <c r="H79" i="1"/>
  <c r="H80" i="1"/>
  <c r="H81" i="1"/>
  <c r="H82" i="1"/>
  <c r="C46" i="1" l="1"/>
  <c r="C36" i="1" l="1"/>
  <c r="C39" i="1"/>
  <c r="C128" i="1" l="1"/>
  <c r="C120" i="1"/>
  <c r="C119" i="1"/>
  <c r="C112" i="1"/>
  <c r="C69" i="1" l="1"/>
  <c r="C58" i="1"/>
  <c r="C53" i="1"/>
  <c r="C54" i="1" l="1"/>
  <c r="C48" i="1"/>
  <c r="C49" i="1" l="1"/>
  <c r="C67" i="1" s="1"/>
  <c r="C68" i="1" s="1"/>
  <c r="C71" i="1" s="1"/>
  <c r="C126" i="1" s="1"/>
  <c r="C59" i="1"/>
  <c r="C136" i="1" s="1"/>
  <c r="C141" i="1" l="1"/>
  <c r="C104" i="1" l="1"/>
  <c r="C167" i="1"/>
  <c r="C252" i="1" l="1"/>
  <c r="C113" i="1"/>
  <c r="C147" i="1"/>
  <c r="C255" i="1" s="1"/>
  <c r="C129" i="1"/>
  <c r="C130" i="1" s="1"/>
  <c r="C219" i="1" l="1"/>
  <c r="C166" i="1"/>
  <c r="C215" i="1" s="1"/>
  <c r="C137" i="1"/>
  <c r="C152" i="1" s="1"/>
  <c r="C171" i="1" l="1"/>
  <c r="C251" i="1"/>
  <c r="C168" i="1"/>
  <c r="C155" i="1"/>
  <c r="C169" i="1" s="1"/>
  <c r="C230" i="1" s="1"/>
  <c r="C239" i="1" l="1"/>
  <c r="C254" i="1"/>
  <c r="C256" i="1"/>
  <c r="C220" i="1"/>
  <c r="C181" i="1"/>
  <c r="C176" i="1"/>
  <c r="C225" i="1"/>
  <c r="C253" i="1" s="1"/>
  <c r="C243" i="1" l="1"/>
  <c r="C247" i="1" s="1"/>
  <c r="C207" i="1"/>
  <c r="C217" i="1"/>
  <c r="C203" i="1"/>
  <c r="C218" i="1"/>
  <c r="C211" i="1" l="1"/>
  <c r="C216" i="1" s="1"/>
</calcChain>
</file>

<file path=xl/comments1.xml><?xml version="1.0" encoding="utf-8"?>
<comments xmlns="http://schemas.openxmlformats.org/spreadsheetml/2006/main">
  <authors>
    <author>Author</author>
  </authors>
  <commentList>
    <comment ref="F31" authorId="0" shapeId="0">
      <text>
        <r>
          <rPr>
            <b/>
            <sz val="8"/>
            <color indexed="81"/>
            <rFont val="Tahoma"/>
            <family val="2"/>
          </rPr>
          <t>Optional, if  moisture is present the do the last portion ash colour computation.If SSD condition don’t correct this (11). 
1Three condition may arise
1)SSD
2)wet
3)dry</t>
        </r>
      </text>
    </comment>
    <comment ref="C42" authorId="0" shapeId="0">
      <text>
        <r>
          <rPr>
            <b/>
            <sz val="8"/>
            <color indexed="81"/>
            <rFont val="Tahoma"/>
            <family val="2"/>
          </rPr>
          <t>Here new page should open have to give sieve analysis result.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This value can be adjusted (optional)</t>
        </r>
      </text>
    </comment>
    <comment ref="C104" authorId="0" shapeId="0">
      <text>
        <r>
          <rPr>
            <b/>
            <sz val="8"/>
            <color indexed="81"/>
            <rFont val="Tahoma"/>
            <family val="2"/>
          </rPr>
          <t>This value in first trial is to be keep as it come. Second trial it has to be increased or decreased (optional)=COS((LN((((-3.268982)+I67)-(I67/(-7.648316))))/(-3.268982)))</t>
        </r>
      </text>
    </comment>
  </commentList>
</comments>
</file>

<file path=xl/sharedStrings.xml><?xml version="1.0" encoding="utf-8"?>
<sst xmlns="http://schemas.openxmlformats.org/spreadsheetml/2006/main" count="347" uniqueCount="225">
  <si>
    <t>a)</t>
  </si>
  <si>
    <t>Grade Designation (M)</t>
  </si>
  <si>
    <t>b)</t>
  </si>
  <si>
    <t>c)</t>
  </si>
  <si>
    <t xml:space="preserve"> Maximum Nominal size of the aggregate</t>
  </si>
  <si>
    <t>mm</t>
  </si>
  <si>
    <t>d)</t>
  </si>
  <si>
    <t>Minimum Cement Content and Maximum water-Cement ratio to be adopted and/or Exposure conditions as per Table-3 of IS 456</t>
  </si>
  <si>
    <t>Severe</t>
  </si>
  <si>
    <t>Reiforcement Concrete)</t>
  </si>
  <si>
    <t>e)</t>
  </si>
  <si>
    <t>Workibility</t>
  </si>
  <si>
    <t>mm (slump)</t>
  </si>
  <si>
    <t>f)</t>
  </si>
  <si>
    <t>Method of Concrete Placing</t>
  </si>
  <si>
    <t>g)</t>
  </si>
  <si>
    <t xml:space="preserve">Degree of Site Control </t>
  </si>
  <si>
    <t>Good</t>
  </si>
  <si>
    <t>h)</t>
  </si>
  <si>
    <t>Type of aggregate</t>
  </si>
  <si>
    <t>Crushed Anguler Aggregate</t>
  </si>
  <si>
    <t>j)</t>
  </si>
  <si>
    <t xml:space="preserve">a) </t>
  </si>
  <si>
    <t>Specific Gravity of Cement</t>
  </si>
  <si>
    <t>Chemical Admixture</t>
  </si>
  <si>
    <t>1) Coarse Grregate [at saturated surface dry (SSD) condition]</t>
  </si>
  <si>
    <t>2) FIne Grregate [at saturated surface dry (SSD) condition]</t>
  </si>
  <si>
    <t>3) Chemical admixture</t>
  </si>
  <si>
    <t xml:space="preserve">Water absorption </t>
  </si>
  <si>
    <t>percent</t>
  </si>
  <si>
    <t>1)Coarse Aggregate</t>
  </si>
  <si>
    <t>2)Fine Aggregate</t>
  </si>
  <si>
    <t>Moisture Content of aggregate [As per IS 2386 (part(3)</t>
  </si>
  <si>
    <t>Seive analysis</t>
  </si>
  <si>
    <t>II</t>
  </si>
  <si>
    <t>Confirming to grading Zone of Table 9 of IS 383</t>
  </si>
  <si>
    <t>M10-M15</t>
  </si>
  <si>
    <t>M20-M25</t>
  </si>
  <si>
    <t>M30-M60</t>
  </si>
  <si>
    <t>&gt;M65</t>
  </si>
  <si>
    <t>X</t>
  </si>
  <si>
    <t>S</t>
  </si>
  <si>
    <t>M65-M80</t>
  </si>
  <si>
    <t>Nominal maximum size</t>
  </si>
  <si>
    <t>Entrapped Air (%)</t>
  </si>
  <si>
    <t>Free water cement ratio</t>
  </si>
  <si>
    <t>Symbols 7 x</t>
  </si>
  <si>
    <t>Symbols 7 y</t>
  </si>
  <si>
    <t>Compressive strength</t>
  </si>
  <si>
    <t xml:space="preserve">Aggregate Size </t>
  </si>
  <si>
    <t>water content</t>
  </si>
  <si>
    <t>reduce</t>
  </si>
  <si>
    <t>Super plasticeser used</t>
  </si>
  <si>
    <t>Yes</t>
  </si>
  <si>
    <t xml:space="preserve">Plasticeser used </t>
  </si>
  <si>
    <t>No</t>
  </si>
  <si>
    <t>Modified water content</t>
  </si>
  <si>
    <t>reduce 20-30% of cement</t>
  </si>
  <si>
    <t>reduce 5-10% of cement</t>
  </si>
  <si>
    <t>23% reduction done</t>
  </si>
  <si>
    <t xml:space="preserve">reduction </t>
  </si>
  <si>
    <t>%</t>
  </si>
  <si>
    <t>Cement content</t>
  </si>
  <si>
    <t>Mild</t>
  </si>
  <si>
    <t>Moderate</t>
  </si>
  <si>
    <t>Very severe</t>
  </si>
  <si>
    <t>Extreme</t>
  </si>
  <si>
    <t>Minimum cement content</t>
  </si>
  <si>
    <t>From Table</t>
  </si>
  <si>
    <t>a)Total Volume</t>
  </si>
  <si>
    <t>m^3</t>
  </si>
  <si>
    <t>b)Volume of entrapped air in wet concrete</t>
  </si>
  <si>
    <t>c)Volume of cement</t>
  </si>
  <si>
    <t>mass of cement</t>
  </si>
  <si>
    <t>Specific gravity of cement</t>
  </si>
  <si>
    <t>mass of water</t>
  </si>
  <si>
    <t>Specific gravity of water</t>
  </si>
  <si>
    <t>(superplasticizer)@1.0 percent by mass</t>
  </si>
  <si>
    <t>of cementitous material)</t>
  </si>
  <si>
    <t>mass of admixture</t>
  </si>
  <si>
    <t xml:space="preserve">Percent of admixture used </t>
  </si>
  <si>
    <t>Xspecific gravity of coarse aggregate</t>
  </si>
  <si>
    <t>X1000</t>
  </si>
  <si>
    <t xml:space="preserve">Specific Gravity of </t>
  </si>
  <si>
    <t>kg</t>
  </si>
  <si>
    <t>Cement</t>
  </si>
  <si>
    <t>Water</t>
  </si>
  <si>
    <t>Fine Aggregate (SSD)</t>
  </si>
  <si>
    <t>Coarse Aggregate (SSD)</t>
  </si>
  <si>
    <t>kg/m^3</t>
  </si>
  <si>
    <t>Adjustment of water, fine aggregate and coarse aggregate (if the coarse aggregate is in dry condition)</t>
  </si>
  <si>
    <t>Fine aggregate (Dry)</t>
  </si>
  <si>
    <t>Coarse aggregate (Dry)</t>
  </si>
  <si>
    <t xml:space="preserve">The extra water to be added for absorption by coarse and fine aggregate </t>
  </si>
  <si>
    <t>The estimated requirement for added water, there of becomes</t>
  </si>
  <si>
    <t>Fine Aggregate (Dry)</t>
  </si>
  <si>
    <t>Coarse Aggregate (Dry)</t>
  </si>
  <si>
    <t xml:space="preserve">where, </t>
  </si>
  <si>
    <t>Higher value of the two is taken as fck'=</t>
  </si>
  <si>
    <t>fck'=Target mean compressive strength at 28 days in N/mm^2</t>
  </si>
  <si>
    <t>fck=charecteristics compressivestrength at 28 days in N/mm^2</t>
  </si>
  <si>
    <t>S=Standard deviatian in N/mm^2 (Table 2 IS 10262)</t>
  </si>
  <si>
    <t>X=factor based on grade of concrete  (Table 1 IS 10262)</t>
  </si>
  <si>
    <t>Approximate air to be entrapped air to be expected in normal</t>
  </si>
  <si>
    <t>`</t>
  </si>
  <si>
    <t xml:space="preserve"> (non-air-entrained) concrete is given in Table 3 is=</t>
  </si>
  <si>
    <t>1 STIPULATIONS FOR PROPORTIONING</t>
  </si>
  <si>
    <t>2 Test Data for Materials</t>
  </si>
  <si>
    <t>From Fig.1 the free water cement ratio required for the target strength</t>
  </si>
  <si>
    <t>grade confirming to IS 269</t>
  </si>
  <si>
    <t>Type of mineral admixture</t>
  </si>
  <si>
    <t>Maximum Cement Content (OPC content)</t>
  </si>
  <si>
    <t>As per IS 456</t>
  </si>
  <si>
    <t>k)</t>
  </si>
  <si>
    <t>m)</t>
  </si>
  <si>
    <t>Super plasticiser - normal</t>
  </si>
  <si>
    <t>Chemical Admixture Type</t>
  </si>
  <si>
    <t>Clause/Table</t>
  </si>
  <si>
    <t>Cement Used                                                                               (OPC)</t>
  </si>
  <si>
    <t>Fly ash</t>
  </si>
  <si>
    <t>Confirming to IS 3812 (part 1)</t>
  </si>
  <si>
    <t xml:space="preserve">Super plasticiser </t>
  </si>
  <si>
    <t>Confirming to IS 9103</t>
  </si>
  <si>
    <t>Specific Gravity of Fly ash</t>
  </si>
  <si>
    <t>Free Surface Moisture</t>
  </si>
  <si>
    <t>Total Moisture Content- Water Absorption</t>
  </si>
  <si>
    <t>1) Coarse aggregate                                                                                  =</t>
  </si>
  <si>
    <t>2) Fine aggregate                                                                                      =</t>
  </si>
  <si>
    <t>Table 2 IS 10262</t>
  </si>
  <si>
    <t>Table 1 of IS 10262</t>
  </si>
  <si>
    <t>Clause 4.2 of IS 10262</t>
  </si>
  <si>
    <t>Table 3 of IS 10262</t>
  </si>
  <si>
    <t>Fig. 1 of IS 10262</t>
  </si>
  <si>
    <t>According to IS 456 for weather condition</t>
  </si>
  <si>
    <t>The water cement ratio=</t>
  </si>
  <si>
    <t>Thus water cement ratio adopted=</t>
  </si>
  <si>
    <t xml:space="preserve">Table 4 IS 10262 </t>
  </si>
  <si>
    <t>(Increase @3% for every 25 mm slump)</t>
  </si>
  <si>
    <t>Minimum cement content=</t>
  </si>
  <si>
    <t>Table 5 IS 456</t>
  </si>
  <si>
    <t>Thus, final cement content=</t>
  </si>
  <si>
    <t>Thus, for water cement ratio 0.5 the volume of coarse aggregate to</t>
  </si>
  <si>
    <t>Table 5 of IS 10262</t>
  </si>
  <si>
    <t>total aggregate is=</t>
  </si>
  <si>
    <t>aggregate tototal aggregate is=</t>
  </si>
  <si>
    <t xml:space="preserve">For the above mentioned water cement ratio volume of coarse </t>
  </si>
  <si>
    <t>Volume of coarse aggregate is increased@-+0.01 for every +-0.05 change in water-cement ratio</t>
  </si>
  <si>
    <t>Clause 5.5.2 for pumpable concrete</t>
  </si>
  <si>
    <t>The concrete placing method is =</t>
  </si>
  <si>
    <t>(If pumpable the value may be reduced 10%)</t>
  </si>
  <si>
    <t>Thus, volume of coarse aggregate=</t>
  </si>
  <si>
    <t>Volume of fine aggregate=</t>
  </si>
  <si>
    <t>(Clause 5.3)</t>
  </si>
  <si>
    <t xml:space="preserve">For the type of aggregate the modified water content= </t>
  </si>
  <si>
    <t xml:space="preserve">(Water may be reduced 10 kg for sub angular aggregate, 15 kg for </t>
  </si>
  <si>
    <t>gravel, 20 kg for rounded gravel)</t>
  </si>
  <si>
    <t>k</t>
  </si>
  <si>
    <t>Mass of the fine aggregate in SSD conditionX</t>
  </si>
  <si>
    <t>(1+Water absorption/100)</t>
  </si>
  <si>
    <t>Mass of the Coarse aggregate in SSD conditionX</t>
  </si>
  <si>
    <t>If the coarse and fine aggregate , it contribute water to the extent of</t>
  </si>
  <si>
    <t xml:space="preserve">free moisture over SSD condition. The quantity of the water required </t>
  </si>
  <si>
    <t>is to be substracted from the calculated water content.</t>
  </si>
  <si>
    <t>Mass of coarse aggregate in dry condition-</t>
  </si>
  <si>
    <t>Mass of coarse aggregate in SSD condition</t>
  </si>
  <si>
    <t>1) Water content contributed by  coarse aggregate =</t>
  </si>
  <si>
    <t>1) Water content contributed by fine aggregate =</t>
  </si>
  <si>
    <t>Pumpable</t>
  </si>
  <si>
    <t>Chute/manual</t>
  </si>
  <si>
    <t>CONCRETE MIX PROPORTIONING</t>
  </si>
  <si>
    <t>Company name</t>
  </si>
  <si>
    <t>Client Name</t>
  </si>
  <si>
    <t>Date of casting</t>
  </si>
  <si>
    <t>Date of testing</t>
  </si>
  <si>
    <t>By default</t>
  </si>
  <si>
    <t xml:space="preserve">Fly ash </t>
  </si>
  <si>
    <t>confirming to IS 3812 (part 1))</t>
  </si>
  <si>
    <t>Option</t>
  </si>
  <si>
    <t>sub-angular</t>
  </si>
  <si>
    <t>gravel</t>
  </si>
  <si>
    <t>rounded gravel</t>
  </si>
  <si>
    <t>give value</t>
  </si>
  <si>
    <t>plasticiser</t>
  </si>
  <si>
    <t>Polycarboxylate ether based</t>
  </si>
  <si>
    <t>other</t>
  </si>
  <si>
    <t>By default this value or give option</t>
  </si>
  <si>
    <t>By default 0 value or give option</t>
  </si>
  <si>
    <t>By default 0value or give option</t>
  </si>
  <si>
    <t>There should be another page which will show aggregate zone</t>
  </si>
  <si>
    <t>Formula</t>
  </si>
  <si>
    <t>If, 33/43/53 grade</t>
  </si>
  <si>
    <t>SELECTION OF WATER CEMENT RATIO</t>
  </si>
  <si>
    <t>APPROXIMATE AIR CONTENT</t>
  </si>
  <si>
    <t>TARGET STRENGTH OF MIX PROPORTIONING</t>
  </si>
  <si>
    <t>Water cement ratio=</t>
  </si>
  <si>
    <t>d)Volume of water</t>
  </si>
  <si>
    <t>e)Volume of chemical admixture</t>
  </si>
  <si>
    <t xml:space="preserve">f)Volume of all in aggregate </t>
  </si>
  <si>
    <t>[(a-b)-(c+d+e)]</t>
  </si>
  <si>
    <t>CALCULATION OF CEMENT CONTENT</t>
  </si>
  <si>
    <t>PROPORTION VOLUME OF COARSE AGGREGATE AND FINE AGGREGATE</t>
  </si>
  <si>
    <t>MIX CALCULATION</t>
  </si>
  <si>
    <t>MIX PROPORTION OF TRIAL NUMBER 1</t>
  </si>
  <si>
    <t>Adjustment of water, fine aggregate and coarse aggregate (if the coarse aggregate is in wet condition)</t>
  </si>
  <si>
    <t>Mass of the fine aggregate in SSD conditionX(1+Water absorption/100)</t>
  </si>
  <si>
    <t>Mass of the Coarse aggregate in SSD conditionX(1+Water absorption/100)</t>
  </si>
  <si>
    <t xml:space="preserve">Mix prportions after adjustment for wet aggregate  </t>
  </si>
  <si>
    <t>Mass of coarse aggregate in SSD condition-</t>
  </si>
  <si>
    <t>Mass of coarse aggregate in dry condition</t>
  </si>
  <si>
    <t>checkbox</t>
  </si>
  <si>
    <t>Type of Cement                                                                        /OthersOPC /PSC/PPC (dropdown)</t>
  </si>
  <si>
    <t>dropdown</t>
  </si>
  <si>
    <t>checkbox   (dropdown)</t>
  </si>
  <si>
    <t>dropdown(Table 5 )</t>
  </si>
  <si>
    <t>bad/meiu</t>
  </si>
  <si>
    <t>Table 5 of IS 456(maximum ta nebo)</t>
  </si>
  <si>
    <t>RCCor PCC</t>
  </si>
  <si>
    <t>user defined (20 theke 30)</t>
  </si>
  <si>
    <t>user defined</t>
  </si>
  <si>
    <t xml:space="preserve">add logic if not pumpable </t>
  </si>
  <si>
    <t>Specific gravity of admixture</t>
  </si>
  <si>
    <t>g)Mass of coarse aggregate</t>
  </si>
  <si>
    <t>Xvolume of corase aggregate</t>
  </si>
  <si>
    <t>h)Mass of fine aggregate</t>
  </si>
  <si>
    <t>Xvolume of fine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</si>
</sst>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0" xfId="0" applyNumberFormat="1"/>
    <xf numFmtId="2" fontId="0" fillId="0" borderId="1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3" borderId="0" xfId="0" applyFill="1"/>
    <xf numFmtId="0" fontId="0" fillId="3" borderId="1" xfId="0" applyFill="1" applyBorder="1" applyAlignment="1">
      <alignment wrapText="1"/>
    </xf>
    <xf numFmtId="2" fontId="0" fillId="3" borderId="1" xfId="0" applyNumberFormat="1" applyFill="1" applyBorder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3" borderId="2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wrapText="1"/>
    </xf>
    <xf numFmtId="0" fontId="0" fillId="9" borderId="0" xfId="0" applyFill="1"/>
    <xf numFmtId="0" fontId="1" fillId="9" borderId="0" xfId="0" applyFont="1" applyFill="1" applyAlignment="1"/>
    <xf numFmtId="0" fontId="1" fillId="9" borderId="0" xfId="0" applyFont="1" applyFill="1" applyAlignment="1">
      <alignment horizontal="center"/>
    </xf>
    <xf numFmtId="0" fontId="0" fillId="9" borderId="2" xfId="0" applyFill="1" applyBorder="1"/>
    <xf numFmtId="2" fontId="0" fillId="9" borderId="0" xfId="0" applyNumberFormat="1" applyFill="1"/>
    <xf numFmtId="0" fontId="0" fillId="10" borderId="0" xfId="0" applyFill="1"/>
    <xf numFmtId="0" fontId="1" fillId="10" borderId="0" xfId="0" applyFont="1" applyFill="1" applyAlignment="1"/>
    <xf numFmtId="0" fontId="1" fillId="10" borderId="0" xfId="0" applyFont="1" applyFill="1" applyAlignment="1">
      <alignment horizontal="center"/>
    </xf>
    <xf numFmtId="0" fontId="0" fillId="10" borderId="2" xfId="0" applyFill="1" applyBorder="1"/>
    <xf numFmtId="2" fontId="0" fillId="10" borderId="0" xfId="0" applyNumberFormat="1" applyFill="1"/>
    <xf numFmtId="0" fontId="4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 wrapText="1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45</xdr:row>
      <xdr:rowOff>114300</xdr:rowOff>
    </xdr:from>
    <xdr:to>
      <xdr:col>17</xdr:col>
      <xdr:colOff>66675</xdr:colOff>
      <xdr:row>49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8425" y="7000875"/>
          <a:ext cx="17049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342900</xdr:colOff>
      <xdr:row>43</xdr:row>
      <xdr:rowOff>171451</xdr:rowOff>
    </xdr:from>
    <xdr:to>
      <xdr:col>24</xdr:col>
      <xdr:colOff>552450</xdr:colOff>
      <xdr:row>55</xdr:row>
      <xdr:rowOff>136404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0" y="6677026"/>
          <a:ext cx="2647950" cy="2622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180975</xdr:colOff>
      <xdr:row>45</xdr:row>
      <xdr:rowOff>0</xdr:rowOff>
    </xdr:from>
    <xdr:to>
      <xdr:col>30</xdr:col>
      <xdr:colOff>485775</xdr:colOff>
      <xdr:row>63</xdr:row>
      <xdr:rowOff>21129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5075" y="6886575"/>
          <a:ext cx="2743200" cy="3859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428625</xdr:colOff>
      <xdr:row>53</xdr:row>
      <xdr:rowOff>161925</xdr:rowOff>
    </xdr:from>
    <xdr:to>
      <xdr:col>20</xdr:col>
      <xdr:colOff>419100</xdr:colOff>
      <xdr:row>61</xdr:row>
      <xdr:rowOff>57149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8572500"/>
          <a:ext cx="364807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514350</xdr:colOff>
      <xdr:row>66</xdr:row>
      <xdr:rowOff>434568</xdr:rowOff>
    </xdr:from>
    <xdr:to>
      <xdr:col>21</xdr:col>
      <xdr:colOff>495300</xdr:colOff>
      <xdr:row>83</xdr:row>
      <xdr:rowOff>100336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0" y="11121618"/>
          <a:ext cx="4248150" cy="3590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542924</xdr:colOff>
      <xdr:row>66</xdr:row>
      <xdr:rowOff>523875</xdr:rowOff>
    </xdr:from>
    <xdr:to>
      <xdr:col>39</xdr:col>
      <xdr:colOff>460347</xdr:colOff>
      <xdr:row>80</xdr:row>
      <xdr:rowOff>1680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2771" t="29170" r="20707" b="11708"/>
        <a:stretch/>
      </xdr:blipFill>
      <xdr:spPr>
        <a:xfrm>
          <a:off x="21155024" y="11210925"/>
          <a:ext cx="4794223" cy="2819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20</xdr:col>
      <xdr:colOff>295275</xdr:colOff>
      <xdr:row>98</xdr:row>
      <xdr:rowOff>38100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14992350"/>
          <a:ext cx="3343275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88</xdr:row>
      <xdr:rowOff>0</xdr:rowOff>
    </xdr:from>
    <xdr:to>
      <xdr:col>27</xdr:col>
      <xdr:colOff>180975</xdr:colOff>
      <xdr:row>94</xdr:row>
      <xdr:rowOff>47625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0625" y="15392400"/>
          <a:ext cx="322897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114</xdr:row>
      <xdr:rowOff>0</xdr:rowOff>
    </xdr:from>
    <xdr:to>
      <xdr:col>24</xdr:col>
      <xdr:colOff>264405</xdr:colOff>
      <xdr:row>125</xdr:row>
      <xdr:rowOff>76200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63425" y="19011900"/>
          <a:ext cx="5750805" cy="2486025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44</xdr:row>
      <xdr:rowOff>180975</xdr:rowOff>
    </xdr:from>
    <xdr:to>
      <xdr:col>1</xdr:col>
      <xdr:colOff>1695450</xdr:colOff>
      <xdr:row>47</xdr:row>
      <xdr:rowOff>125741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877050"/>
          <a:ext cx="1200150" cy="51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56"/>
  <sheetViews>
    <sheetView tabSelected="1" topLeftCell="A85" zoomScale="85" zoomScaleNormal="85" workbookViewId="0">
      <selection activeCell="C114" sqref="C114"/>
    </sheetView>
  </sheetViews>
  <sheetFormatPr defaultRowHeight="14.4" x14ac:dyDescent="0.3"/>
  <cols>
    <col min="2" max="2" width="66.44140625" customWidth="1"/>
    <col min="3" max="3" width="40.6640625" bestFit="1" customWidth="1"/>
    <col min="4" max="4" width="23" customWidth="1"/>
    <col min="5" max="5" width="36.109375" style="10" bestFit="1" customWidth="1"/>
    <col min="6" max="6" width="17.88671875" customWidth="1"/>
    <col min="7" max="7" width="24.109375" customWidth="1"/>
    <col min="8" max="8" width="27.5546875" bestFit="1" customWidth="1"/>
    <col min="14" max="14" width="9.109375" style="2"/>
  </cols>
  <sheetData>
    <row r="1" spans="1:13" x14ac:dyDescent="0.3">
      <c r="B1" s="7" t="s">
        <v>169</v>
      </c>
      <c r="F1" s="43" t="s">
        <v>177</v>
      </c>
      <c r="G1" s="43"/>
      <c r="H1" s="43"/>
      <c r="I1" s="43"/>
      <c r="J1" s="43"/>
      <c r="K1" s="43"/>
      <c r="M1" t="s">
        <v>174</v>
      </c>
    </row>
    <row r="2" spans="1:13" x14ac:dyDescent="0.3">
      <c r="B2" s="7" t="s">
        <v>170</v>
      </c>
      <c r="C2" s="23"/>
    </row>
    <row r="3" spans="1:13" x14ac:dyDescent="0.3">
      <c r="B3" s="7" t="s">
        <v>171</v>
      </c>
      <c r="C3" s="23"/>
    </row>
    <row r="4" spans="1:13" x14ac:dyDescent="0.3">
      <c r="B4" s="7" t="s">
        <v>172</v>
      </c>
      <c r="C4" s="23"/>
    </row>
    <row r="5" spans="1:13" x14ac:dyDescent="0.3">
      <c r="B5" s="7" t="s">
        <v>173</v>
      </c>
      <c r="C5" s="23"/>
    </row>
    <row r="6" spans="1:13" x14ac:dyDescent="0.3">
      <c r="A6" s="7" t="s">
        <v>106</v>
      </c>
      <c r="B6" s="7"/>
      <c r="E6" s="10" t="s">
        <v>117</v>
      </c>
    </row>
    <row r="7" spans="1:13" x14ac:dyDescent="0.3">
      <c r="A7" t="s">
        <v>0</v>
      </c>
      <c r="B7" t="s">
        <v>1</v>
      </c>
      <c r="C7" s="24">
        <v>40</v>
      </c>
    </row>
    <row r="8" spans="1:13" x14ac:dyDescent="0.3">
      <c r="A8" t="s">
        <v>2</v>
      </c>
      <c r="B8" t="s">
        <v>210</v>
      </c>
      <c r="C8" s="24">
        <v>43</v>
      </c>
      <c r="D8" t="s">
        <v>109</v>
      </c>
      <c r="E8" s="10" t="s">
        <v>212</v>
      </c>
      <c r="F8">
        <v>33</v>
      </c>
      <c r="G8">
        <v>43</v>
      </c>
      <c r="H8">
        <v>53</v>
      </c>
      <c r="M8">
        <v>43</v>
      </c>
    </row>
    <row r="9" spans="1:13" x14ac:dyDescent="0.3">
      <c r="A9" t="s">
        <v>3</v>
      </c>
      <c r="B9" t="s">
        <v>110</v>
      </c>
      <c r="C9" s="24" t="s">
        <v>175</v>
      </c>
      <c r="D9" t="s">
        <v>176</v>
      </c>
      <c r="E9" s="10" t="s">
        <v>209</v>
      </c>
    </row>
    <row r="10" spans="1:13" x14ac:dyDescent="0.3">
      <c r="A10" t="s">
        <v>6</v>
      </c>
      <c r="B10" t="s">
        <v>4</v>
      </c>
      <c r="C10" s="24">
        <v>20</v>
      </c>
      <c r="D10" t="s">
        <v>5</v>
      </c>
      <c r="E10" s="10" t="s">
        <v>211</v>
      </c>
      <c r="F10">
        <v>10</v>
      </c>
      <c r="G10">
        <v>12.5</v>
      </c>
      <c r="H10">
        <v>20</v>
      </c>
      <c r="I10">
        <v>40</v>
      </c>
      <c r="J10">
        <v>80</v>
      </c>
      <c r="K10">
        <v>150</v>
      </c>
    </row>
    <row r="11" spans="1:13" ht="65.25" customHeight="1" x14ac:dyDescent="0.3">
      <c r="A11" t="s">
        <v>10</v>
      </c>
      <c r="B11" s="1" t="s">
        <v>7</v>
      </c>
      <c r="C11" s="15" t="s">
        <v>8</v>
      </c>
      <c r="D11" t="s">
        <v>9</v>
      </c>
      <c r="E11" s="10" t="s">
        <v>213</v>
      </c>
    </row>
    <row r="12" spans="1:13" x14ac:dyDescent="0.3">
      <c r="A12" t="s">
        <v>13</v>
      </c>
      <c r="B12" t="s">
        <v>11</v>
      </c>
      <c r="C12">
        <v>120</v>
      </c>
      <c r="D12" t="s">
        <v>12</v>
      </c>
    </row>
    <row r="13" spans="1:13" x14ac:dyDescent="0.3">
      <c r="A13" t="s">
        <v>15</v>
      </c>
      <c r="B13" t="s">
        <v>14</v>
      </c>
      <c r="C13" s="15" t="s">
        <v>167</v>
      </c>
      <c r="E13" s="10" t="s">
        <v>211</v>
      </c>
      <c r="F13" t="s">
        <v>167</v>
      </c>
      <c r="G13" t="s">
        <v>168</v>
      </c>
    </row>
    <row r="14" spans="1:13" x14ac:dyDescent="0.3">
      <c r="A14" t="s">
        <v>18</v>
      </c>
      <c r="B14" t="s">
        <v>16</v>
      </c>
      <c r="C14" s="15" t="s">
        <v>17</v>
      </c>
      <c r="D14" t="s">
        <v>214</v>
      </c>
      <c r="E14" s="10" t="s">
        <v>211</v>
      </c>
    </row>
    <row r="15" spans="1:13" x14ac:dyDescent="0.3">
      <c r="A15" t="s">
        <v>21</v>
      </c>
      <c r="B15" t="s">
        <v>19</v>
      </c>
      <c r="C15" s="15" t="s">
        <v>20</v>
      </c>
      <c r="E15" s="10" t="s">
        <v>211</v>
      </c>
      <c r="F15" t="s">
        <v>178</v>
      </c>
      <c r="G15" t="s">
        <v>179</v>
      </c>
      <c r="H15" t="s">
        <v>180</v>
      </c>
    </row>
    <row r="16" spans="1:13" ht="30" customHeight="1" x14ac:dyDescent="0.3">
      <c r="A16" t="s">
        <v>113</v>
      </c>
      <c r="B16" s="1" t="s">
        <v>111</v>
      </c>
      <c r="C16" s="15" t="s">
        <v>112</v>
      </c>
      <c r="E16" s="10" t="s">
        <v>211</v>
      </c>
      <c r="F16" t="s">
        <v>112</v>
      </c>
      <c r="G16" t="s">
        <v>181</v>
      </c>
    </row>
    <row r="17" spans="1:9" ht="30" customHeight="1" x14ac:dyDescent="0.3">
      <c r="A17" t="s">
        <v>114</v>
      </c>
      <c r="B17" s="1" t="s">
        <v>116</v>
      </c>
      <c r="C17" t="s">
        <v>115</v>
      </c>
      <c r="E17" s="10" t="s">
        <v>211</v>
      </c>
      <c r="F17" t="s">
        <v>182</v>
      </c>
      <c r="G17" t="s">
        <v>115</v>
      </c>
      <c r="H17" t="s">
        <v>183</v>
      </c>
      <c r="I17" t="s">
        <v>184</v>
      </c>
    </row>
    <row r="18" spans="1:9" x14ac:dyDescent="0.3">
      <c r="A18" s="46" t="s">
        <v>107</v>
      </c>
      <c r="B18" s="46"/>
    </row>
    <row r="19" spans="1:9" x14ac:dyDescent="0.3">
      <c r="A19" t="s">
        <v>22</v>
      </c>
      <c r="B19" t="s">
        <v>118</v>
      </c>
      <c r="C19" s="24">
        <v>43</v>
      </c>
      <c r="D19" t="s">
        <v>109</v>
      </c>
      <c r="F19" t="s">
        <v>185</v>
      </c>
    </row>
    <row r="20" spans="1:9" x14ac:dyDescent="0.3">
      <c r="A20" t="s">
        <v>2</v>
      </c>
      <c r="B20" t="s">
        <v>23</v>
      </c>
      <c r="C20" s="24">
        <v>3.15</v>
      </c>
      <c r="F20" t="s">
        <v>185</v>
      </c>
    </row>
    <row r="21" spans="1:9" x14ac:dyDescent="0.3">
      <c r="A21" t="s">
        <v>3</v>
      </c>
      <c r="B21" t="s">
        <v>119</v>
      </c>
      <c r="C21" s="24" t="s">
        <v>120</v>
      </c>
      <c r="F21" t="s">
        <v>185</v>
      </c>
    </row>
    <row r="22" spans="1:9" x14ac:dyDescent="0.3">
      <c r="A22" t="s">
        <v>6</v>
      </c>
      <c r="B22" t="s">
        <v>123</v>
      </c>
      <c r="C22" s="24">
        <v>2.2000000000000002</v>
      </c>
      <c r="F22" t="s">
        <v>185</v>
      </c>
    </row>
    <row r="23" spans="1:9" x14ac:dyDescent="0.3">
      <c r="A23" t="s">
        <v>10</v>
      </c>
      <c r="B23" t="s">
        <v>24</v>
      </c>
      <c r="C23" s="24" t="s">
        <v>121</v>
      </c>
      <c r="D23" t="s">
        <v>122</v>
      </c>
      <c r="F23" t="s">
        <v>185</v>
      </c>
    </row>
    <row r="24" spans="1:9" x14ac:dyDescent="0.3">
      <c r="A24" t="s">
        <v>13</v>
      </c>
      <c r="B24" t="s">
        <v>83</v>
      </c>
      <c r="C24" s="24"/>
      <c r="F24" t="s">
        <v>185</v>
      </c>
    </row>
    <row r="25" spans="1:9" x14ac:dyDescent="0.3">
      <c r="B25" s="1" t="s">
        <v>25</v>
      </c>
      <c r="C25" s="24">
        <v>2.74</v>
      </c>
      <c r="F25" t="s">
        <v>185</v>
      </c>
    </row>
    <row r="26" spans="1:9" x14ac:dyDescent="0.3">
      <c r="B26" s="1" t="s">
        <v>26</v>
      </c>
      <c r="C26" s="24">
        <v>2.65</v>
      </c>
      <c r="F26" t="s">
        <v>185</v>
      </c>
    </row>
    <row r="27" spans="1:9" x14ac:dyDescent="0.3">
      <c r="B27" t="s">
        <v>27</v>
      </c>
      <c r="C27" s="24">
        <v>1.145</v>
      </c>
      <c r="F27" t="s">
        <v>185</v>
      </c>
    </row>
    <row r="28" spans="1:9" x14ac:dyDescent="0.3">
      <c r="A28" t="s">
        <v>15</v>
      </c>
      <c r="B28" t="s">
        <v>28</v>
      </c>
      <c r="C28" s="25"/>
      <c r="F28" t="s">
        <v>185</v>
      </c>
    </row>
    <row r="29" spans="1:9" x14ac:dyDescent="0.3">
      <c r="B29" t="s">
        <v>30</v>
      </c>
      <c r="C29" s="24">
        <v>0.5</v>
      </c>
      <c r="D29" t="s">
        <v>29</v>
      </c>
      <c r="F29" t="s">
        <v>186</v>
      </c>
    </row>
    <row r="30" spans="1:9" x14ac:dyDescent="0.3">
      <c r="B30" t="s">
        <v>31</v>
      </c>
      <c r="C30" s="24">
        <v>1</v>
      </c>
      <c r="D30" t="s">
        <v>29</v>
      </c>
      <c r="F30" t="s">
        <v>187</v>
      </c>
    </row>
    <row r="31" spans="1:9" x14ac:dyDescent="0.3">
      <c r="A31" t="s">
        <v>18</v>
      </c>
      <c r="B31" s="26" t="s">
        <v>32</v>
      </c>
      <c r="C31" s="27"/>
      <c r="F31" s="44"/>
    </row>
    <row r="32" spans="1:9" x14ac:dyDescent="0.3">
      <c r="B32" s="27" t="s">
        <v>30</v>
      </c>
      <c r="C32" s="27">
        <v>2</v>
      </c>
      <c r="D32" t="s">
        <v>61</v>
      </c>
      <c r="F32" s="44"/>
    </row>
    <row r="33" spans="1:9" x14ac:dyDescent="0.3">
      <c r="B33" s="27" t="s">
        <v>31</v>
      </c>
      <c r="C33" s="27">
        <v>5</v>
      </c>
      <c r="D33" t="s">
        <v>61</v>
      </c>
      <c r="F33" s="44"/>
    </row>
    <row r="34" spans="1:9" x14ac:dyDescent="0.3">
      <c r="A34" t="s">
        <v>21</v>
      </c>
      <c r="B34" s="27" t="s">
        <v>124</v>
      </c>
      <c r="C34" s="27"/>
      <c r="F34" s="44"/>
    </row>
    <row r="35" spans="1:9" x14ac:dyDescent="0.3">
      <c r="B35" s="27" t="s">
        <v>126</v>
      </c>
      <c r="C35" s="27" t="s">
        <v>125</v>
      </c>
      <c r="F35" s="44"/>
    </row>
    <row r="36" spans="1:9" x14ac:dyDescent="0.3">
      <c r="B36" s="27"/>
      <c r="C36" s="27">
        <f>C32-C29</f>
        <v>1.5</v>
      </c>
      <c r="F36" s="44"/>
    </row>
    <row r="37" spans="1:9" x14ac:dyDescent="0.3">
      <c r="B37" s="27"/>
      <c r="C37" s="27"/>
      <c r="F37" s="44"/>
    </row>
    <row r="38" spans="1:9" x14ac:dyDescent="0.3">
      <c r="B38" s="27" t="s">
        <v>127</v>
      </c>
      <c r="C38" s="27" t="s">
        <v>125</v>
      </c>
      <c r="F38" s="44"/>
    </row>
    <row r="39" spans="1:9" x14ac:dyDescent="0.3">
      <c r="B39" s="27"/>
      <c r="C39" s="27">
        <f>C33-C30</f>
        <v>4</v>
      </c>
      <c r="F39" s="44"/>
    </row>
    <row r="40" spans="1:9" x14ac:dyDescent="0.3">
      <c r="C40" t="s">
        <v>216</v>
      </c>
      <c r="F40" s="44"/>
    </row>
    <row r="41" spans="1:9" x14ac:dyDescent="0.3">
      <c r="A41" t="s">
        <v>15</v>
      </c>
      <c r="B41" t="s">
        <v>33</v>
      </c>
    </row>
    <row r="42" spans="1:9" x14ac:dyDescent="0.3">
      <c r="B42" t="s">
        <v>30</v>
      </c>
      <c r="C42" s="18">
        <v>20</v>
      </c>
      <c r="D42" t="s">
        <v>5</v>
      </c>
      <c r="F42" t="s">
        <v>186</v>
      </c>
      <c r="H42" s="28" t="s">
        <v>188</v>
      </c>
    </row>
    <row r="43" spans="1:9" x14ac:dyDescent="0.3">
      <c r="B43" t="s">
        <v>31</v>
      </c>
      <c r="C43" s="19" t="s">
        <v>34</v>
      </c>
      <c r="D43" t="s">
        <v>35</v>
      </c>
      <c r="F43" t="s">
        <v>187</v>
      </c>
    </row>
    <row r="45" spans="1:9" x14ac:dyDescent="0.3">
      <c r="A45" s="7">
        <v>3</v>
      </c>
      <c r="B45" s="7" t="s">
        <v>193</v>
      </c>
    </row>
    <row r="46" spans="1:9" x14ac:dyDescent="0.3">
      <c r="C46">
        <f>(C7+1.65*H49)</f>
        <v>48.25</v>
      </c>
      <c r="E46" s="10" t="s">
        <v>130</v>
      </c>
    </row>
    <row r="47" spans="1:9" x14ac:dyDescent="0.3">
      <c r="F47" s="47" t="s">
        <v>41</v>
      </c>
      <c r="G47" s="47"/>
      <c r="H47" s="47"/>
      <c r="I47" s="47"/>
    </row>
    <row r="48" spans="1:9" x14ac:dyDescent="0.3">
      <c r="C48">
        <f>(C7+H53)</f>
        <v>46.5</v>
      </c>
      <c r="F48" s="3" t="s">
        <v>36</v>
      </c>
      <c r="G48" s="3" t="s">
        <v>37</v>
      </c>
      <c r="H48" s="3" t="s">
        <v>38</v>
      </c>
      <c r="I48" s="3" t="s">
        <v>42</v>
      </c>
    </row>
    <row r="49" spans="1:9" x14ac:dyDescent="0.3">
      <c r="B49" s="7" t="s">
        <v>98</v>
      </c>
      <c r="C49">
        <f>MAX(C46,C48)</f>
        <v>48.25</v>
      </c>
      <c r="F49" s="3">
        <v>3.5</v>
      </c>
      <c r="G49" s="3">
        <v>4</v>
      </c>
      <c r="H49" s="3">
        <v>5</v>
      </c>
      <c r="I49" s="3">
        <v>6</v>
      </c>
    </row>
    <row r="50" spans="1:9" x14ac:dyDescent="0.3">
      <c r="B50" t="s">
        <v>97</v>
      </c>
    </row>
    <row r="51" spans="1:9" x14ac:dyDescent="0.3">
      <c r="B51" t="s">
        <v>99</v>
      </c>
      <c r="F51" s="47" t="s">
        <v>40</v>
      </c>
      <c r="G51" s="47"/>
      <c r="H51" s="47"/>
      <c r="I51" s="47"/>
    </row>
    <row r="52" spans="1:9" x14ac:dyDescent="0.3">
      <c r="B52" t="s">
        <v>100</v>
      </c>
      <c r="F52" s="3" t="s">
        <v>36</v>
      </c>
      <c r="G52" s="3" t="s">
        <v>37</v>
      </c>
      <c r="H52" s="3" t="s">
        <v>38</v>
      </c>
      <c r="I52" s="3" t="s">
        <v>39</v>
      </c>
    </row>
    <row r="53" spans="1:9" x14ac:dyDescent="0.3">
      <c r="B53" t="s">
        <v>101</v>
      </c>
      <c r="C53">
        <f>H49</f>
        <v>5</v>
      </c>
      <c r="E53" s="10" t="s">
        <v>129</v>
      </c>
      <c r="F53" s="3">
        <v>5</v>
      </c>
      <c r="G53" s="3">
        <v>5.5</v>
      </c>
      <c r="H53" s="3">
        <v>6.5</v>
      </c>
      <c r="I53" s="3">
        <v>8</v>
      </c>
    </row>
    <row r="54" spans="1:9" x14ac:dyDescent="0.3">
      <c r="B54" t="s">
        <v>102</v>
      </c>
      <c r="C54">
        <f>H53</f>
        <v>6.5</v>
      </c>
      <c r="E54" s="10" t="s">
        <v>128</v>
      </c>
    </row>
    <row r="55" spans="1:9" ht="44.25" customHeight="1" x14ac:dyDescent="0.3">
      <c r="A55" s="7">
        <v>4</v>
      </c>
      <c r="B55" s="7" t="s">
        <v>192</v>
      </c>
      <c r="G55" s="4" t="s">
        <v>43</v>
      </c>
      <c r="H55" s="4" t="s">
        <v>44</v>
      </c>
    </row>
    <row r="56" spans="1:9" ht="17.25" customHeight="1" x14ac:dyDescent="0.3">
      <c r="G56" s="3">
        <v>10</v>
      </c>
      <c r="H56" s="3">
        <v>1.5</v>
      </c>
    </row>
    <row r="57" spans="1:9" ht="15" customHeight="1" x14ac:dyDescent="0.3">
      <c r="B57" t="s">
        <v>103</v>
      </c>
      <c r="G57" s="3">
        <v>20</v>
      </c>
      <c r="H57" s="3">
        <v>1</v>
      </c>
    </row>
    <row r="58" spans="1:9" ht="15.75" customHeight="1" x14ac:dyDescent="0.3">
      <c r="B58" t="s">
        <v>105</v>
      </c>
      <c r="C58">
        <f>H57</f>
        <v>1</v>
      </c>
      <c r="D58" t="s">
        <v>61</v>
      </c>
      <c r="E58" s="10" t="s">
        <v>131</v>
      </c>
      <c r="G58" s="3">
        <v>40</v>
      </c>
      <c r="H58" s="3">
        <v>0.8</v>
      </c>
    </row>
    <row r="59" spans="1:9" x14ac:dyDescent="0.3">
      <c r="B59" t="s">
        <v>104</v>
      </c>
      <c r="C59">
        <f>H57/100</f>
        <v>0.01</v>
      </c>
      <c r="D59" t="s">
        <v>70</v>
      </c>
    </row>
    <row r="65" spans="1:31" x14ac:dyDescent="0.3">
      <c r="F65" s="52" t="s">
        <v>45</v>
      </c>
      <c r="G65" s="49" t="s">
        <v>48</v>
      </c>
      <c r="H65" s="50"/>
      <c r="I65" s="50"/>
      <c r="J65" s="51"/>
    </row>
    <row r="66" spans="1:31" ht="30" customHeight="1" x14ac:dyDescent="0.3">
      <c r="A66" s="7">
        <v>5</v>
      </c>
      <c r="B66" s="7" t="s">
        <v>191</v>
      </c>
      <c r="F66" s="53"/>
      <c r="G66" s="11"/>
      <c r="H66" s="3">
        <v>33</v>
      </c>
      <c r="I66" s="3">
        <v>43</v>
      </c>
      <c r="J66" s="3">
        <v>53</v>
      </c>
    </row>
    <row r="67" spans="1:31" ht="69" customHeight="1" x14ac:dyDescent="0.3">
      <c r="B67" s="1" t="s">
        <v>108</v>
      </c>
      <c r="C67">
        <f>C49</f>
        <v>48.25</v>
      </c>
      <c r="F67" s="6">
        <v>0.2492822707613</v>
      </c>
      <c r="G67" s="12"/>
      <c r="H67" s="6">
        <v>60.276130266460001</v>
      </c>
      <c r="I67" s="6">
        <v>66.114313043050004</v>
      </c>
      <c r="J67" s="6">
        <v>74.477115398709998</v>
      </c>
    </row>
    <row r="68" spans="1:31" x14ac:dyDescent="0.3">
      <c r="C68" s="5">
        <f>COS((LN((((-3.268982)+C67)-(C67/(-7.648316))))/(-3.268982)))</f>
        <v>0.35816017791654869</v>
      </c>
      <c r="E68" s="10" t="s">
        <v>132</v>
      </c>
      <c r="F68" s="6">
        <v>0.29988218209239997</v>
      </c>
      <c r="G68" s="12"/>
      <c r="H68" s="6">
        <v>50.828635162449999</v>
      </c>
      <c r="I68" s="6">
        <v>56.35124049166</v>
      </c>
      <c r="J68" s="6">
        <v>65.029899566780003</v>
      </c>
    </row>
    <row r="69" spans="1:31" x14ac:dyDescent="0.3">
      <c r="B69" t="s">
        <v>133</v>
      </c>
      <c r="C69" t="str">
        <f>C11</f>
        <v>Severe</v>
      </c>
      <c r="F69" s="6">
        <v>0.35113419372409999</v>
      </c>
      <c r="G69" s="12"/>
      <c r="H69" s="6">
        <v>42.959306567429998</v>
      </c>
      <c r="I69" s="6">
        <v>48.166334449259999</v>
      </c>
      <c r="J69" s="6">
        <v>56.52885753284</v>
      </c>
      <c r="X69" t="s">
        <v>46</v>
      </c>
      <c r="Y69" t="s">
        <v>47</v>
      </c>
      <c r="AA69" t="s">
        <v>46</v>
      </c>
      <c r="AB69" t="s">
        <v>47</v>
      </c>
      <c r="AD69" t="s">
        <v>46</v>
      </c>
      <c r="AE69" t="s">
        <v>47</v>
      </c>
    </row>
    <row r="70" spans="1:31" x14ac:dyDescent="0.3">
      <c r="B70" t="s">
        <v>134</v>
      </c>
      <c r="C70">
        <f>0.4</f>
        <v>0.4</v>
      </c>
      <c r="E70" s="10" t="s">
        <v>215</v>
      </c>
      <c r="F70" s="6">
        <v>0.40093678327440002</v>
      </c>
      <c r="G70" s="12"/>
      <c r="H70" s="6">
        <v>36.036151770410001</v>
      </c>
      <c r="I70" s="6">
        <v>42.031843998619998</v>
      </c>
      <c r="J70" s="6">
        <v>49.132615836820001</v>
      </c>
      <c r="X70" s="5">
        <v>0.2492822707613</v>
      </c>
      <c r="Y70" s="5">
        <v>60.276130266460001</v>
      </c>
      <c r="AA70" s="5">
        <v>0.24907560942400001</v>
      </c>
      <c r="AB70" s="5">
        <v>66.114313043050004</v>
      </c>
      <c r="AD70" s="5">
        <v>0.24877958102209999</v>
      </c>
      <c r="AE70" s="5">
        <v>74.477115398709998</v>
      </c>
    </row>
    <row r="71" spans="1:31" x14ac:dyDescent="0.3">
      <c r="B71" t="s">
        <v>135</v>
      </c>
      <c r="C71" s="5">
        <f>MIN(C68,C70)</f>
        <v>0.35816017791654869</v>
      </c>
      <c r="F71" s="6">
        <v>0.44786845586980001</v>
      </c>
      <c r="G71" s="12"/>
      <c r="H71" s="6">
        <v>30.216400950920001</v>
      </c>
      <c r="I71" s="6">
        <v>35.581776100589998</v>
      </c>
      <c r="J71" s="6">
        <v>43.313423561489998</v>
      </c>
      <c r="X71" s="5">
        <v>0.29988218209239997</v>
      </c>
      <c r="Y71" s="5">
        <v>50.828635162449999</v>
      </c>
      <c r="AA71" s="5">
        <v>0.2996866916382</v>
      </c>
      <c r="AB71" s="5">
        <v>56.35124049166</v>
      </c>
      <c r="AD71" s="5">
        <v>0.30008744706919999</v>
      </c>
      <c r="AE71" s="5">
        <v>65.029899566780003</v>
      </c>
    </row>
    <row r="72" spans="1:31" x14ac:dyDescent="0.3">
      <c r="F72" s="6">
        <v>0.49901992955359997</v>
      </c>
      <c r="G72" s="12"/>
      <c r="H72" s="6">
        <v>25.187269382349999</v>
      </c>
      <c r="I72" s="6">
        <v>30.23622926841</v>
      </c>
      <c r="J72" s="6">
        <v>37.652857826080002</v>
      </c>
      <c r="X72" s="5">
        <v>0.35113419372409999</v>
      </c>
      <c r="Y72" s="5">
        <v>42.959306567429998</v>
      </c>
      <c r="AA72" s="5">
        <v>0.350949874153</v>
      </c>
      <c r="AB72" s="5">
        <v>48.166334449259999</v>
      </c>
      <c r="AD72" s="5">
        <v>0.34994589103500001</v>
      </c>
      <c r="AE72" s="5">
        <v>56.52885753284</v>
      </c>
    </row>
    <row r="73" spans="1:31" x14ac:dyDescent="0.3">
      <c r="F73" s="6">
        <v>0.54800844099849999</v>
      </c>
      <c r="G73" s="12"/>
      <c r="H73" s="6">
        <v>21.261821063399999</v>
      </c>
      <c r="I73" s="6">
        <v>25.996041318300001</v>
      </c>
      <c r="J73" s="6">
        <v>33.412111331810003</v>
      </c>
      <c r="X73" s="5">
        <v>0.40093678327440002</v>
      </c>
      <c r="Y73" s="5">
        <v>36.036151770410001</v>
      </c>
      <c r="AA73" s="5">
        <v>0.40001658177959998</v>
      </c>
      <c r="AB73" s="5">
        <v>42.031843998619998</v>
      </c>
      <c r="AD73" s="5">
        <v>0.40047319162599998</v>
      </c>
      <c r="AE73" s="5">
        <v>49.132615836820001</v>
      </c>
    </row>
    <row r="74" spans="1:31" x14ac:dyDescent="0.3">
      <c r="F74" s="6">
        <v>0.5991040602669</v>
      </c>
      <c r="G74" s="12"/>
      <c r="H74" s="6">
        <v>17.81057673175</v>
      </c>
      <c r="I74" s="6">
        <v>22.228940267190001</v>
      </c>
      <c r="J74" s="6">
        <v>28.85634593432</v>
      </c>
      <c r="X74" s="5">
        <v>0.44786845586980001</v>
      </c>
      <c r="Y74" s="5">
        <v>30.216400950920001</v>
      </c>
      <c r="AA74" s="5">
        <v>0.4490944602893</v>
      </c>
      <c r="AB74" s="5">
        <v>35.581776100589998</v>
      </c>
      <c r="AD74" s="5">
        <v>0.44882077365349998</v>
      </c>
      <c r="AE74" s="5">
        <v>43.313423561489998</v>
      </c>
    </row>
    <row r="75" spans="1:31" x14ac:dyDescent="0.3">
      <c r="F75" s="6">
        <v>0.64948055393619997</v>
      </c>
      <c r="G75" s="12"/>
      <c r="H75" s="6">
        <v>14.674630575409999</v>
      </c>
      <c r="I75" s="6">
        <v>18.93548465924</v>
      </c>
      <c r="J75" s="6">
        <v>25.08952415529</v>
      </c>
      <c r="X75" s="5">
        <v>0.49901992955359997</v>
      </c>
      <c r="Y75" s="5">
        <v>25.187269382349999</v>
      </c>
      <c r="AA75" s="5">
        <v>0.4981332407081</v>
      </c>
      <c r="AB75" s="5">
        <v>30.23622926841</v>
      </c>
      <c r="AD75" s="5">
        <v>0.49928663438749998</v>
      </c>
      <c r="AE75" s="5">
        <v>37.652857826080002</v>
      </c>
    </row>
    <row r="76" spans="1:31" x14ac:dyDescent="0.3">
      <c r="G76" s="29" t="s">
        <v>189</v>
      </c>
      <c r="H76">
        <f>(COS(LN(LN(H67)))-COS((ATAN(0.922638)+0.922638)))</f>
        <v>0.25625813608619274</v>
      </c>
      <c r="I76">
        <f>COS((LN((((-3.268982)+I67)-(I67/(-7.648316))))/(-3.268982)))</f>
        <v>0.261635379673196</v>
      </c>
      <c r="J76">
        <f>ATAN((COS(LN(SQRT(J67)))+SIN(0.922638)))</f>
        <v>0.24069793369386716</v>
      </c>
      <c r="X76" s="5">
        <v>0.54800844099849999</v>
      </c>
      <c r="Y76" s="5">
        <v>21.261821063399999</v>
      </c>
      <c r="AA76" s="5">
        <v>0.54925678718420001</v>
      </c>
      <c r="AB76" s="5">
        <v>25.996041318300001</v>
      </c>
      <c r="AD76" s="5">
        <v>0.54899427143150004</v>
      </c>
      <c r="AE76" s="5">
        <v>33.412111331810003</v>
      </c>
    </row>
    <row r="77" spans="1:31" x14ac:dyDescent="0.3">
      <c r="G77" s="29" t="s">
        <v>190</v>
      </c>
      <c r="H77">
        <f t="shared" ref="H77:H84" si="0">(COS(LN(LN(H68)))-COS((ATAN(0.922638)+0.922638)))</f>
        <v>0.29803869410794409</v>
      </c>
      <c r="I77">
        <f t="shared" ref="I77:I84" si="1">COS((LN((((-3.268982)+I68)-(I68/(-7.648316))))/(-3.268982)))</f>
        <v>0.31079302172050766</v>
      </c>
      <c r="J77">
        <f t="shared" ref="J77:J84" si="2">ATAN((COS(LN(SQRT(J68)))+SIN(0.922638)))</f>
        <v>0.2944326784803159</v>
      </c>
      <c r="X77" s="5">
        <v>0.5991040602669</v>
      </c>
      <c r="Y77" s="5">
        <v>17.81057673175</v>
      </c>
      <c r="AA77" s="5">
        <v>0.59965562261960004</v>
      </c>
      <c r="AB77" s="5">
        <v>22.228940267190001</v>
      </c>
      <c r="AD77" s="5">
        <v>0.60012898879069998</v>
      </c>
      <c r="AE77" s="5">
        <v>28.85634593432</v>
      </c>
    </row>
    <row r="78" spans="1:31" x14ac:dyDescent="0.3">
      <c r="H78">
        <f t="shared" si="0"/>
        <v>0.3406989516878795</v>
      </c>
      <c r="I78">
        <f t="shared" si="1"/>
        <v>0.35868742378680846</v>
      </c>
      <c r="J78">
        <f t="shared" si="2"/>
        <v>0.35025205764799339</v>
      </c>
      <c r="X78" s="5">
        <v>0.64948055393619997</v>
      </c>
      <c r="Y78" s="5">
        <v>14.674630575409999</v>
      </c>
      <c r="AA78" s="5">
        <v>0.65074565644649995</v>
      </c>
      <c r="AB78" s="5">
        <v>18.93548465924</v>
      </c>
      <c r="AD78" s="5">
        <v>0.65123577894219997</v>
      </c>
      <c r="AE78" s="5">
        <v>25.08952415529</v>
      </c>
    </row>
    <row r="79" spans="1:31" x14ac:dyDescent="0.3">
      <c r="H79">
        <f t="shared" si="0"/>
        <v>0.38681852750930529</v>
      </c>
      <c r="I79">
        <f t="shared" si="1"/>
        <v>0.3998928644581109</v>
      </c>
      <c r="J79">
        <f t="shared" si="2"/>
        <v>0.40572790259998509</v>
      </c>
    </row>
    <row r="80" spans="1:31" x14ac:dyDescent="0.3">
      <c r="H80">
        <f t="shared" si="0"/>
        <v>0.43465245134972924</v>
      </c>
      <c r="I80">
        <f t="shared" si="1"/>
        <v>0.44975004095734572</v>
      </c>
      <c r="J80">
        <f t="shared" si="2"/>
        <v>0.4547031683011995</v>
      </c>
    </row>
    <row r="81" spans="1:23" x14ac:dyDescent="0.3">
      <c r="H81">
        <f t="shared" si="0"/>
        <v>0.48578214866346581</v>
      </c>
      <c r="I81">
        <f t="shared" si="1"/>
        <v>0.49783891534659569</v>
      </c>
      <c r="J81">
        <f t="shared" si="2"/>
        <v>0.50757963034883524</v>
      </c>
    </row>
    <row r="82" spans="1:23" x14ac:dyDescent="0.3">
      <c r="H82">
        <f t="shared" si="0"/>
        <v>0.53488815863351158</v>
      </c>
      <c r="I82">
        <f t="shared" si="1"/>
        <v>0.54185914355603482</v>
      </c>
      <c r="J82">
        <f t="shared" si="2"/>
        <v>0.55106022219479323</v>
      </c>
    </row>
    <row r="83" spans="1:23" x14ac:dyDescent="0.3">
      <c r="H83">
        <f>(COS(LN(LN(H74)))-COS((ATAN(0.922638)+0.922638)))</f>
        <v>0.58773327029687372</v>
      </c>
      <c r="I83">
        <f t="shared" si="1"/>
        <v>0.58679349315871199</v>
      </c>
      <c r="J83">
        <f t="shared" si="2"/>
        <v>0.60198327340684388</v>
      </c>
    </row>
    <row r="84" spans="1:23" x14ac:dyDescent="0.3">
      <c r="H84">
        <f t="shared" si="0"/>
        <v>0.64715107159773078</v>
      </c>
      <c r="I84">
        <f t="shared" si="1"/>
        <v>0.63205863509798998</v>
      </c>
      <c r="J84">
        <f t="shared" si="2"/>
        <v>0.64782566278042975</v>
      </c>
    </row>
    <row r="86" spans="1:23" ht="31.5" customHeight="1" x14ac:dyDescent="0.3">
      <c r="A86" s="7">
        <v>6</v>
      </c>
      <c r="B86" s="7" t="s">
        <v>191</v>
      </c>
      <c r="C86">
        <f>G88+(3*((C12-50)/25)*(G88/100))</f>
        <v>201.624</v>
      </c>
      <c r="E86" s="10" t="s">
        <v>136</v>
      </c>
      <c r="F86" s="1" t="s">
        <v>49</v>
      </c>
      <c r="G86" s="1" t="s">
        <v>50</v>
      </c>
    </row>
    <row r="87" spans="1:23" x14ac:dyDescent="0.3">
      <c r="B87" t="s">
        <v>153</v>
      </c>
      <c r="C87">
        <f>C86*1</f>
        <v>201.624</v>
      </c>
      <c r="E87" s="10" t="s">
        <v>137</v>
      </c>
      <c r="F87">
        <v>10</v>
      </c>
      <c r="G87">
        <v>208</v>
      </c>
    </row>
    <row r="88" spans="1:23" x14ac:dyDescent="0.3">
      <c r="B88" t="s">
        <v>154</v>
      </c>
      <c r="E88" s="10" t="s">
        <v>152</v>
      </c>
      <c r="F88">
        <v>20</v>
      </c>
      <c r="G88">
        <v>186</v>
      </c>
      <c r="W88" t="s">
        <v>51</v>
      </c>
    </row>
    <row r="89" spans="1:23" x14ac:dyDescent="0.3">
      <c r="B89" t="s">
        <v>155</v>
      </c>
      <c r="F89">
        <v>40</v>
      </c>
      <c r="G89">
        <v>165</v>
      </c>
    </row>
    <row r="90" spans="1:23" x14ac:dyDescent="0.3">
      <c r="B90" s="42" t="s">
        <v>52</v>
      </c>
      <c r="C90" s="42" t="s">
        <v>53</v>
      </c>
      <c r="D90" t="s">
        <v>60</v>
      </c>
      <c r="E90" s="2"/>
      <c r="F90" s="42">
        <v>23</v>
      </c>
      <c r="G90" t="s">
        <v>61</v>
      </c>
      <c r="H90" t="s">
        <v>57</v>
      </c>
    </row>
    <row r="91" spans="1:23" x14ac:dyDescent="0.3">
      <c r="B91" t="s">
        <v>54</v>
      </c>
      <c r="C91" t="s">
        <v>55</v>
      </c>
      <c r="F91" t="s">
        <v>217</v>
      </c>
      <c r="H91" t="s">
        <v>58</v>
      </c>
    </row>
    <row r="92" spans="1:23" x14ac:dyDescent="0.3">
      <c r="B92" s="41" t="s">
        <v>80</v>
      </c>
      <c r="C92" s="42">
        <v>1</v>
      </c>
      <c r="D92" t="s">
        <v>61</v>
      </c>
      <c r="E92" s="2" t="s">
        <v>218</v>
      </c>
    </row>
    <row r="95" spans="1:23" x14ac:dyDescent="0.3">
      <c r="B95" t="s">
        <v>56</v>
      </c>
      <c r="C95">
        <f>C87*(1-(F90*C92)/100)</f>
        <v>155.25048000000001</v>
      </c>
      <c r="D95" t="s">
        <v>89</v>
      </c>
      <c r="F95" t="s">
        <v>59</v>
      </c>
    </row>
    <row r="103" spans="1:8" x14ac:dyDescent="0.3">
      <c r="A103" s="7">
        <v>7</v>
      </c>
      <c r="B103" s="7" t="s">
        <v>199</v>
      </c>
      <c r="H103" t="s">
        <v>67</v>
      </c>
    </row>
    <row r="104" spans="1:8" x14ac:dyDescent="0.3">
      <c r="B104" t="s">
        <v>62</v>
      </c>
      <c r="C104" s="16">
        <f>((C95/C71))</f>
        <v>433.46661514160115</v>
      </c>
      <c r="D104" t="s">
        <v>89</v>
      </c>
      <c r="G104" t="s">
        <v>63</v>
      </c>
      <c r="H104">
        <v>300</v>
      </c>
    </row>
    <row r="105" spans="1:8" x14ac:dyDescent="0.3">
      <c r="D105" t="s">
        <v>89</v>
      </c>
      <c r="G105" t="s">
        <v>64</v>
      </c>
      <c r="H105">
        <v>300</v>
      </c>
    </row>
    <row r="106" spans="1:8" x14ac:dyDescent="0.3">
      <c r="G106" t="s">
        <v>8</v>
      </c>
      <c r="H106">
        <v>320</v>
      </c>
    </row>
    <row r="107" spans="1:8" x14ac:dyDescent="0.3">
      <c r="G107" t="s">
        <v>65</v>
      </c>
      <c r="H107">
        <v>340</v>
      </c>
    </row>
    <row r="108" spans="1:8" x14ac:dyDescent="0.3">
      <c r="G108" t="s">
        <v>66</v>
      </c>
      <c r="H108">
        <v>360</v>
      </c>
    </row>
    <row r="112" spans="1:8" x14ac:dyDescent="0.3">
      <c r="B112" t="s">
        <v>138</v>
      </c>
      <c r="C112">
        <f>H106</f>
        <v>320</v>
      </c>
      <c r="D112" t="s">
        <v>89</v>
      </c>
      <c r="E112" s="10" t="s">
        <v>139</v>
      </c>
    </row>
    <row r="113" spans="1:6" x14ac:dyDescent="0.3">
      <c r="B113" t="s">
        <v>140</v>
      </c>
      <c r="C113" s="5">
        <f>MAX(C104,C112)</f>
        <v>433.46661514160115</v>
      </c>
      <c r="D113" t="s">
        <v>89</v>
      </c>
    </row>
    <row r="114" spans="1:6" x14ac:dyDescent="0.3">
      <c r="B114" t="s">
        <v>194</v>
      </c>
      <c r="C114" s="5">
        <f>C95/C113</f>
        <v>0.35816017791654869</v>
      </c>
    </row>
    <row r="115" spans="1:6" ht="39.75" customHeight="1" x14ac:dyDescent="0.3">
      <c r="A115" s="7">
        <v>8</v>
      </c>
      <c r="B115" s="30" t="s">
        <v>200</v>
      </c>
    </row>
    <row r="116" spans="1:6" x14ac:dyDescent="0.3">
      <c r="F116" t="s">
        <v>68</v>
      </c>
    </row>
    <row r="117" spans="1:6" x14ac:dyDescent="0.3">
      <c r="C117" s="5"/>
      <c r="F117">
        <v>0.62</v>
      </c>
    </row>
    <row r="118" spans="1:6" x14ac:dyDescent="0.3">
      <c r="C118" s="5" t="s">
        <v>156</v>
      </c>
    </row>
    <row r="119" spans="1:6" x14ac:dyDescent="0.3">
      <c r="B119" t="s">
        <v>30</v>
      </c>
      <c r="C119" s="18">
        <f>C42</f>
        <v>20</v>
      </c>
      <c r="D119" t="s">
        <v>5</v>
      </c>
    </row>
    <row r="120" spans="1:6" x14ac:dyDescent="0.3">
      <c r="B120" t="s">
        <v>31</v>
      </c>
      <c r="C120" s="19" t="str">
        <f>C43</f>
        <v>II</v>
      </c>
      <c r="D120" t="s">
        <v>35</v>
      </c>
    </row>
    <row r="121" spans="1:6" x14ac:dyDescent="0.3">
      <c r="B121" t="s">
        <v>141</v>
      </c>
    </row>
    <row r="122" spans="1:6" x14ac:dyDescent="0.3">
      <c r="B122" t="s">
        <v>143</v>
      </c>
      <c r="C122">
        <f>0.62</f>
        <v>0.62</v>
      </c>
      <c r="E122" s="10" t="s">
        <v>142</v>
      </c>
    </row>
    <row r="124" spans="1:6" x14ac:dyDescent="0.3">
      <c r="B124" s="43" t="s">
        <v>146</v>
      </c>
      <c r="C124" s="43"/>
    </row>
    <row r="125" spans="1:6" x14ac:dyDescent="0.3">
      <c r="B125" t="s">
        <v>145</v>
      </c>
    </row>
    <row r="126" spans="1:6" x14ac:dyDescent="0.3">
      <c r="B126" t="s">
        <v>144</v>
      </c>
      <c r="C126">
        <f>C122+(0.5-C71)*0.01/0.05</f>
        <v>0.6483679644166902</v>
      </c>
    </row>
    <row r="128" spans="1:6" x14ac:dyDescent="0.3">
      <c r="B128" t="s">
        <v>148</v>
      </c>
      <c r="C128" t="str">
        <f>C13</f>
        <v>Pumpable</v>
      </c>
      <c r="D128" s="28" t="s">
        <v>219</v>
      </c>
      <c r="E128" s="10" t="s">
        <v>147</v>
      </c>
    </row>
    <row r="129" spans="1:8" x14ac:dyDescent="0.3">
      <c r="B129" t="s">
        <v>150</v>
      </c>
      <c r="C129">
        <f>C126*0.9</f>
        <v>0.58353116797502125</v>
      </c>
      <c r="D129" t="s">
        <v>70</v>
      </c>
      <c r="E129" s="10" t="s">
        <v>149</v>
      </c>
    </row>
    <row r="130" spans="1:8" x14ac:dyDescent="0.3">
      <c r="B130" t="s">
        <v>151</v>
      </c>
      <c r="C130">
        <f>1-C129</f>
        <v>0.41646883202497875</v>
      </c>
      <c r="D130" t="s">
        <v>70</v>
      </c>
    </row>
    <row r="134" spans="1:8" x14ac:dyDescent="0.3">
      <c r="A134" s="7">
        <v>9</v>
      </c>
      <c r="B134" s="7" t="s">
        <v>201</v>
      </c>
    </row>
    <row r="135" spans="1:8" x14ac:dyDescent="0.3">
      <c r="B135" t="s">
        <v>69</v>
      </c>
      <c r="C135">
        <v>1</v>
      </c>
      <c r="D135" t="s">
        <v>70</v>
      </c>
    </row>
    <row r="136" spans="1:8" x14ac:dyDescent="0.3">
      <c r="B136" t="s">
        <v>71</v>
      </c>
      <c r="C136">
        <f>C59</f>
        <v>0.01</v>
      </c>
      <c r="D136" t="s">
        <v>70</v>
      </c>
      <c r="F136" s="10"/>
      <c r="G136" s="10"/>
    </row>
    <row r="137" spans="1:8" x14ac:dyDescent="0.3">
      <c r="B137" t="s">
        <v>72</v>
      </c>
      <c r="C137">
        <f>C113/(C20*1000)</f>
        <v>0.13760844925130195</v>
      </c>
      <c r="D137" t="s">
        <v>70</v>
      </c>
      <c r="E137" s="20" t="s">
        <v>73</v>
      </c>
      <c r="F137" s="10" t="s">
        <v>40</v>
      </c>
      <c r="G137" s="20">
        <v>1</v>
      </c>
      <c r="H137" s="9"/>
    </row>
    <row r="138" spans="1:8" x14ac:dyDescent="0.3">
      <c r="E138" s="10" t="s">
        <v>74</v>
      </c>
      <c r="F138" s="10"/>
      <c r="G138" s="10">
        <v>1000</v>
      </c>
    </row>
    <row r="139" spans="1:8" x14ac:dyDescent="0.3">
      <c r="F139" s="10"/>
      <c r="G139" s="10"/>
    </row>
    <row r="140" spans="1:8" x14ac:dyDescent="0.3">
      <c r="F140" s="10"/>
      <c r="G140" s="10"/>
    </row>
    <row r="141" spans="1:8" x14ac:dyDescent="0.3">
      <c r="B141" t="s">
        <v>195</v>
      </c>
      <c r="C141">
        <f>C95/(1*1000)</f>
        <v>0.15525048000000002</v>
      </c>
      <c r="D141" t="s">
        <v>70</v>
      </c>
      <c r="E141" s="20" t="s">
        <v>75</v>
      </c>
      <c r="F141" s="10" t="s">
        <v>40</v>
      </c>
      <c r="G141" s="20">
        <v>1</v>
      </c>
      <c r="H141" s="9"/>
    </row>
    <row r="142" spans="1:8" x14ac:dyDescent="0.3">
      <c r="E142" s="10" t="s">
        <v>76</v>
      </c>
      <c r="F142" s="10"/>
      <c r="G142" s="10">
        <v>1000</v>
      </c>
    </row>
    <row r="143" spans="1:8" x14ac:dyDescent="0.3">
      <c r="F143" s="10"/>
      <c r="G143" s="10"/>
    </row>
    <row r="144" spans="1:8" x14ac:dyDescent="0.3">
      <c r="F144" s="10"/>
      <c r="G144" s="10"/>
    </row>
    <row r="145" spans="2:8" x14ac:dyDescent="0.3">
      <c r="F145" s="10"/>
      <c r="G145" s="10"/>
    </row>
    <row r="146" spans="2:8" x14ac:dyDescent="0.3">
      <c r="B146" t="s">
        <v>196</v>
      </c>
      <c r="E146" s="20" t="s">
        <v>79</v>
      </c>
      <c r="F146" s="10" t="s">
        <v>40</v>
      </c>
      <c r="G146" s="20">
        <v>1</v>
      </c>
      <c r="H146" s="9"/>
    </row>
    <row r="147" spans="2:8" x14ac:dyDescent="0.3">
      <c r="B147" t="s">
        <v>77</v>
      </c>
      <c r="C147">
        <f>(C92*C104)/(1.145*1000*100)</f>
        <v>3.7857346300576521E-3</v>
      </c>
      <c r="D147" t="s">
        <v>70</v>
      </c>
      <c r="E147" s="10" t="s">
        <v>220</v>
      </c>
      <c r="F147" s="10"/>
      <c r="G147" s="10">
        <v>1000</v>
      </c>
    </row>
    <row r="148" spans="2:8" x14ac:dyDescent="0.3">
      <c r="B148" t="s">
        <v>78</v>
      </c>
    </row>
    <row r="151" spans="2:8" x14ac:dyDescent="0.3">
      <c r="B151" t="s">
        <v>197</v>
      </c>
    </row>
    <row r="152" spans="2:8" x14ac:dyDescent="0.3">
      <c r="B152" t="s">
        <v>198</v>
      </c>
      <c r="C152">
        <f>((C135-C136)-(C137+C141+C147))</f>
        <v>0.69335533611864042</v>
      </c>
      <c r="D152" t="s">
        <v>70</v>
      </c>
    </row>
    <row r="155" spans="2:8" x14ac:dyDescent="0.3">
      <c r="B155" t="s">
        <v>221</v>
      </c>
      <c r="C155">
        <f>C25*C152*C129*1000</f>
        <v>1108.588790553245</v>
      </c>
      <c r="D155" t="s">
        <v>84</v>
      </c>
    </row>
    <row r="156" spans="2:8" x14ac:dyDescent="0.3">
      <c r="B156" t="s">
        <v>222</v>
      </c>
    </row>
    <row r="157" spans="2:8" x14ac:dyDescent="0.3">
      <c r="B157" t="s">
        <v>81</v>
      </c>
    </row>
    <row r="158" spans="2:8" x14ac:dyDescent="0.3">
      <c r="B158" t="s">
        <v>82</v>
      </c>
    </row>
    <row r="160" spans="2:8" x14ac:dyDescent="0.3">
      <c r="B160" t="s">
        <v>223</v>
      </c>
      <c r="C160">
        <f>C26*C152*C130*1000</f>
        <v>765.21635058078425</v>
      </c>
      <c r="D160" t="s">
        <v>84</v>
      </c>
    </row>
    <row r="161" spans="1:6" x14ac:dyDescent="0.3">
      <c r="B161" t="s">
        <v>224</v>
      </c>
    </row>
    <row r="162" spans="1:6" x14ac:dyDescent="0.3">
      <c r="B162" t="s">
        <v>81</v>
      </c>
    </row>
    <row r="163" spans="1:6" x14ac:dyDescent="0.3">
      <c r="B163" t="s">
        <v>82</v>
      </c>
    </row>
    <row r="165" spans="1:6" x14ac:dyDescent="0.3">
      <c r="A165" s="7">
        <v>10</v>
      </c>
      <c r="B165" s="7" t="s">
        <v>202</v>
      </c>
    </row>
    <row r="166" spans="1:6" x14ac:dyDescent="0.3">
      <c r="B166" t="s">
        <v>85</v>
      </c>
      <c r="C166" s="5">
        <f>C113</f>
        <v>433.46661514160115</v>
      </c>
      <c r="D166" t="s">
        <v>89</v>
      </c>
    </row>
    <row r="167" spans="1:6" x14ac:dyDescent="0.3">
      <c r="B167" t="s">
        <v>86</v>
      </c>
      <c r="C167">
        <f>C95</f>
        <v>155.25048000000001</v>
      </c>
      <c r="D167" t="s">
        <v>89</v>
      </c>
    </row>
    <row r="168" spans="1:6" x14ac:dyDescent="0.3">
      <c r="B168" t="s">
        <v>87</v>
      </c>
      <c r="C168">
        <f>C160</f>
        <v>765.21635058078425</v>
      </c>
      <c r="D168" t="s">
        <v>89</v>
      </c>
    </row>
    <row r="169" spans="1:6" x14ac:dyDescent="0.3">
      <c r="B169" t="s">
        <v>88</v>
      </c>
      <c r="C169">
        <f>C155</f>
        <v>1108.588790553245</v>
      </c>
      <c r="D169" t="s">
        <v>89</v>
      </c>
    </row>
    <row r="170" spans="1:6" x14ac:dyDescent="0.3">
      <c r="B170" t="s">
        <v>24</v>
      </c>
      <c r="C170">
        <f>C147*1000*C27</f>
        <v>4.3346661514160116</v>
      </c>
      <c r="D170" t="s">
        <v>89</v>
      </c>
    </row>
    <row r="171" spans="1:6" x14ac:dyDescent="0.3">
      <c r="B171" t="s">
        <v>45</v>
      </c>
      <c r="C171">
        <f>C167/(C166)</f>
        <v>0.35816017791654869</v>
      </c>
    </row>
    <row r="173" spans="1:6" x14ac:dyDescent="0.3">
      <c r="A173" s="31">
        <v>11</v>
      </c>
      <c r="B173" s="32" t="s">
        <v>203</v>
      </c>
      <c r="C173" s="33"/>
      <c r="D173" s="8"/>
      <c r="E173" s="13"/>
      <c r="F173" s="8"/>
    </row>
    <row r="174" spans="1:6" x14ac:dyDescent="0.3">
      <c r="A174" s="31"/>
      <c r="B174" s="31"/>
      <c r="C174" s="31"/>
    </row>
    <row r="175" spans="1:6" x14ac:dyDescent="0.3">
      <c r="A175" s="31" t="s">
        <v>22</v>
      </c>
      <c r="B175" s="31" t="s">
        <v>91</v>
      </c>
      <c r="C175" s="31"/>
    </row>
    <row r="176" spans="1:6" x14ac:dyDescent="0.3">
      <c r="A176" s="31"/>
      <c r="B176" s="34" t="s">
        <v>204</v>
      </c>
      <c r="C176" s="31">
        <f>C168*(1+C39/100)</f>
        <v>795.8250046040157</v>
      </c>
      <c r="D176" t="s">
        <v>89</v>
      </c>
    </row>
    <row r="177" spans="1:4" x14ac:dyDescent="0.3">
      <c r="A177" s="31"/>
      <c r="B177" s="31"/>
      <c r="C177" s="31"/>
    </row>
    <row r="178" spans="1:4" x14ac:dyDescent="0.3">
      <c r="A178" s="31"/>
      <c r="B178" s="31"/>
      <c r="C178" s="31"/>
    </row>
    <row r="179" spans="1:4" x14ac:dyDescent="0.3">
      <c r="A179" s="31"/>
      <c r="B179" s="31"/>
      <c r="C179" s="31"/>
    </row>
    <row r="180" spans="1:4" x14ac:dyDescent="0.3">
      <c r="A180" s="31"/>
      <c r="B180" s="31" t="s">
        <v>92</v>
      </c>
      <c r="C180" s="31"/>
    </row>
    <row r="181" spans="1:4" x14ac:dyDescent="0.3">
      <c r="A181" s="31"/>
      <c r="B181" s="34" t="s">
        <v>205</v>
      </c>
      <c r="C181" s="31">
        <f>C169*(1+C36/100)</f>
        <v>1125.2176224115435</v>
      </c>
      <c r="D181" t="s">
        <v>89</v>
      </c>
    </row>
    <row r="182" spans="1:4" x14ac:dyDescent="0.3">
      <c r="A182" s="31"/>
      <c r="B182" s="31"/>
      <c r="C182" s="31"/>
    </row>
    <row r="183" spans="1:4" x14ac:dyDescent="0.3">
      <c r="A183" s="31"/>
      <c r="B183" s="31"/>
      <c r="C183" s="31"/>
    </row>
    <row r="184" spans="1:4" x14ac:dyDescent="0.3">
      <c r="A184" s="31"/>
      <c r="B184" s="31"/>
      <c r="C184" s="31"/>
    </row>
    <row r="185" spans="1:4" x14ac:dyDescent="0.3">
      <c r="A185" s="31"/>
      <c r="B185" s="31"/>
      <c r="C185" s="31"/>
    </row>
    <row r="186" spans="1:4" x14ac:dyDescent="0.3">
      <c r="A186" s="31"/>
      <c r="B186" s="31"/>
      <c r="C186" s="31"/>
    </row>
    <row r="187" spans="1:4" x14ac:dyDescent="0.3">
      <c r="A187" s="31"/>
      <c r="B187" s="31"/>
      <c r="C187" s="31"/>
    </row>
    <row r="188" spans="1:4" x14ac:dyDescent="0.3">
      <c r="A188" s="31"/>
      <c r="B188" s="31"/>
      <c r="C188" s="31"/>
    </row>
    <row r="189" spans="1:4" x14ac:dyDescent="0.3">
      <c r="A189" s="31"/>
      <c r="B189" s="31"/>
      <c r="C189" s="31"/>
    </row>
    <row r="190" spans="1:4" x14ac:dyDescent="0.3">
      <c r="A190" s="31"/>
      <c r="B190" s="31"/>
      <c r="C190" s="31"/>
    </row>
    <row r="191" spans="1:4" x14ac:dyDescent="0.3">
      <c r="A191" s="31"/>
      <c r="B191" s="31"/>
      <c r="C191" s="31"/>
    </row>
    <row r="192" spans="1:4" x14ac:dyDescent="0.3">
      <c r="A192" s="31"/>
      <c r="B192" s="31"/>
      <c r="C192" s="31"/>
    </row>
    <row r="193" spans="1:5" x14ac:dyDescent="0.3">
      <c r="A193" s="31"/>
      <c r="B193" s="31"/>
      <c r="C193" s="31"/>
    </row>
    <row r="194" spans="1:5" x14ac:dyDescent="0.3">
      <c r="A194" s="31"/>
      <c r="B194" s="31"/>
      <c r="C194" s="31"/>
    </row>
    <row r="195" spans="1:5" x14ac:dyDescent="0.3">
      <c r="A195" s="31"/>
      <c r="B195" s="31" t="s">
        <v>160</v>
      </c>
      <c r="C195" s="31"/>
    </row>
    <row r="196" spans="1:5" x14ac:dyDescent="0.3">
      <c r="A196" s="31"/>
      <c r="B196" s="31" t="s">
        <v>161</v>
      </c>
      <c r="C196" s="31"/>
    </row>
    <row r="197" spans="1:5" x14ac:dyDescent="0.3">
      <c r="A197" s="31"/>
      <c r="B197" s="31" t="s">
        <v>162</v>
      </c>
      <c r="C197" s="31"/>
    </row>
    <row r="198" spans="1:5" x14ac:dyDescent="0.3">
      <c r="A198" s="31"/>
      <c r="B198" s="31"/>
      <c r="C198" s="31"/>
    </row>
    <row r="199" spans="1:5" x14ac:dyDescent="0.3">
      <c r="A199" s="31"/>
      <c r="B199" s="31" t="s">
        <v>93</v>
      </c>
      <c r="C199" s="31"/>
    </row>
    <row r="200" spans="1:5" x14ac:dyDescent="0.3">
      <c r="A200" s="31"/>
      <c r="B200" s="31"/>
      <c r="C200" s="31"/>
    </row>
    <row r="201" spans="1:5" x14ac:dyDescent="0.3">
      <c r="A201" s="31"/>
      <c r="B201" s="31" t="s">
        <v>165</v>
      </c>
      <c r="C201" s="31" t="s">
        <v>163</v>
      </c>
      <c r="D201" s="17"/>
      <c r="E201" s="14"/>
    </row>
    <row r="202" spans="1:5" x14ac:dyDescent="0.3">
      <c r="A202" s="31"/>
      <c r="B202" s="31"/>
      <c r="C202" s="31" t="s">
        <v>164</v>
      </c>
    </row>
    <row r="203" spans="1:5" x14ac:dyDescent="0.3">
      <c r="A203" s="31"/>
      <c r="B203" s="31"/>
      <c r="C203" s="31">
        <f>C181-C169</f>
        <v>16.628831858298554</v>
      </c>
      <c r="D203" t="s">
        <v>89</v>
      </c>
    </row>
    <row r="204" spans="1:5" x14ac:dyDescent="0.3">
      <c r="A204" s="31"/>
      <c r="B204" s="31"/>
      <c r="C204" s="31"/>
    </row>
    <row r="205" spans="1:5" x14ac:dyDescent="0.3">
      <c r="A205" s="31"/>
      <c r="B205" s="31" t="s">
        <v>166</v>
      </c>
      <c r="C205" s="31" t="s">
        <v>163</v>
      </c>
      <c r="E205" s="14"/>
    </row>
    <row r="206" spans="1:5" x14ac:dyDescent="0.3">
      <c r="A206" s="31"/>
      <c r="B206" s="31"/>
      <c r="C206" s="31" t="s">
        <v>164</v>
      </c>
    </row>
    <row r="207" spans="1:5" x14ac:dyDescent="0.3">
      <c r="A207" s="31"/>
      <c r="B207" s="31"/>
      <c r="C207" s="31">
        <f>C176-C168</f>
        <v>30.608654023231452</v>
      </c>
      <c r="D207" t="s">
        <v>89</v>
      </c>
    </row>
    <row r="208" spans="1:5" x14ac:dyDescent="0.3">
      <c r="A208" s="31"/>
      <c r="B208" s="31"/>
      <c r="C208" s="31"/>
    </row>
    <row r="209" spans="1:4" x14ac:dyDescent="0.3">
      <c r="A209" s="31"/>
      <c r="B209" s="31"/>
      <c r="C209" s="31"/>
    </row>
    <row r="210" spans="1:4" x14ac:dyDescent="0.3">
      <c r="A210" s="31"/>
      <c r="B210" s="48" t="s">
        <v>94</v>
      </c>
      <c r="C210" s="48"/>
    </row>
    <row r="211" spans="1:4" x14ac:dyDescent="0.3">
      <c r="A211" s="31"/>
      <c r="B211" s="31"/>
      <c r="C211" s="31">
        <f>C167-C203-C207</f>
        <v>108.01299411847</v>
      </c>
      <c r="D211" t="s">
        <v>89</v>
      </c>
    </row>
    <row r="212" spans="1:4" x14ac:dyDescent="0.3">
      <c r="A212" s="31"/>
      <c r="B212" s="31"/>
      <c r="C212" s="31"/>
    </row>
    <row r="213" spans="1:4" x14ac:dyDescent="0.3">
      <c r="A213" s="31">
        <v>12</v>
      </c>
      <c r="B213" s="48" t="s">
        <v>206</v>
      </c>
      <c r="C213" s="48"/>
    </row>
    <row r="214" spans="1:4" x14ac:dyDescent="0.3">
      <c r="A214" s="31"/>
      <c r="B214" s="31"/>
      <c r="C214" s="31"/>
    </row>
    <row r="215" spans="1:4" x14ac:dyDescent="0.3">
      <c r="A215" s="31"/>
      <c r="B215" s="31" t="s">
        <v>85</v>
      </c>
      <c r="C215" s="35">
        <f>C166</f>
        <v>433.46661514160115</v>
      </c>
      <c r="D215" t="s">
        <v>89</v>
      </c>
    </row>
    <row r="216" spans="1:4" x14ac:dyDescent="0.3">
      <c r="A216" s="31"/>
      <c r="B216" s="31" t="s">
        <v>86</v>
      </c>
      <c r="C216" s="31">
        <f>C211</f>
        <v>108.01299411847</v>
      </c>
      <c r="D216" t="s">
        <v>89</v>
      </c>
    </row>
    <row r="217" spans="1:4" x14ac:dyDescent="0.3">
      <c r="A217" s="31"/>
      <c r="B217" s="31" t="s">
        <v>95</v>
      </c>
      <c r="C217" s="31">
        <f>C176</f>
        <v>795.8250046040157</v>
      </c>
      <c r="D217" t="s">
        <v>89</v>
      </c>
    </row>
    <row r="218" spans="1:4" x14ac:dyDescent="0.3">
      <c r="A218" s="31"/>
      <c r="B218" s="31" t="s">
        <v>96</v>
      </c>
      <c r="C218" s="31">
        <f>C181</f>
        <v>1125.2176224115435</v>
      </c>
      <c r="D218" t="s">
        <v>89</v>
      </c>
    </row>
    <row r="219" spans="1:4" x14ac:dyDescent="0.3">
      <c r="A219" s="31"/>
      <c r="B219" s="31" t="s">
        <v>24</v>
      </c>
      <c r="C219" s="31">
        <f>C147*1000*1.14</f>
        <v>4.3157374782657225</v>
      </c>
      <c r="D219" t="s">
        <v>89</v>
      </c>
    </row>
    <row r="220" spans="1:4" x14ac:dyDescent="0.3">
      <c r="A220" s="31"/>
      <c r="B220" s="31" t="s">
        <v>45</v>
      </c>
      <c r="C220" s="31">
        <f>C171</f>
        <v>0.35816017791654869</v>
      </c>
    </row>
    <row r="221" spans="1:4" x14ac:dyDescent="0.3">
      <c r="A221" s="31"/>
      <c r="B221" s="31"/>
      <c r="C221" s="31"/>
    </row>
    <row r="222" spans="1:4" x14ac:dyDescent="0.3">
      <c r="A222" s="36">
        <v>11</v>
      </c>
      <c r="B222" s="37" t="s">
        <v>90</v>
      </c>
      <c r="C222" s="38"/>
      <c r="D222" s="21"/>
    </row>
    <row r="223" spans="1:4" x14ac:dyDescent="0.3">
      <c r="A223" s="36"/>
      <c r="B223" s="36"/>
      <c r="C223" s="36"/>
    </row>
    <row r="224" spans="1:4" x14ac:dyDescent="0.3">
      <c r="A224" s="36" t="s">
        <v>22</v>
      </c>
      <c r="B224" s="36" t="s">
        <v>91</v>
      </c>
      <c r="C224" s="36"/>
    </row>
    <row r="225" spans="1:4" x14ac:dyDescent="0.3">
      <c r="A225" s="36"/>
      <c r="B225" s="39" t="s">
        <v>157</v>
      </c>
      <c r="C225" s="36">
        <f>C168/(1+C30/100)</f>
        <v>757.63995107008338</v>
      </c>
      <c r="D225" t="s">
        <v>89</v>
      </c>
    </row>
    <row r="226" spans="1:4" x14ac:dyDescent="0.3">
      <c r="A226" s="36"/>
      <c r="B226" s="36" t="s">
        <v>158</v>
      </c>
      <c r="C226" s="36"/>
    </row>
    <row r="227" spans="1:4" x14ac:dyDescent="0.3">
      <c r="A227" s="36"/>
      <c r="B227" s="36"/>
      <c r="C227" s="36"/>
    </row>
    <row r="228" spans="1:4" x14ac:dyDescent="0.3">
      <c r="A228" s="36"/>
      <c r="B228" s="36"/>
      <c r="C228" s="36"/>
    </row>
    <row r="229" spans="1:4" x14ac:dyDescent="0.3">
      <c r="A229" s="36"/>
      <c r="B229" s="36" t="s">
        <v>92</v>
      </c>
      <c r="C229" s="36"/>
    </row>
    <row r="230" spans="1:4" x14ac:dyDescent="0.3">
      <c r="A230" s="36"/>
      <c r="B230" s="39" t="s">
        <v>159</v>
      </c>
      <c r="C230" s="36">
        <f>C169/(1+C29/100)</f>
        <v>1103.0734234360648</v>
      </c>
      <c r="D230" t="s">
        <v>89</v>
      </c>
    </row>
    <row r="231" spans="1:4" x14ac:dyDescent="0.3">
      <c r="A231" s="36"/>
      <c r="B231" s="36" t="s">
        <v>158</v>
      </c>
      <c r="C231" s="36"/>
    </row>
    <row r="232" spans="1:4" x14ac:dyDescent="0.3">
      <c r="A232" s="36"/>
      <c r="B232" s="36"/>
      <c r="C232" s="36"/>
    </row>
    <row r="233" spans="1:4" x14ac:dyDescent="0.3">
      <c r="A233" s="36"/>
      <c r="B233" s="36"/>
      <c r="C233" s="36"/>
    </row>
    <row r="234" spans="1:4" x14ac:dyDescent="0.3">
      <c r="A234" s="36"/>
      <c r="B234" s="36"/>
      <c r="C234" s="36"/>
    </row>
    <row r="235" spans="1:4" x14ac:dyDescent="0.3">
      <c r="A235" s="36"/>
      <c r="B235" s="36" t="s">
        <v>93</v>
      </c>
      <c r="C235" s="36"/>
    </row>
    <row r="236" spans="1:4" x14ac:dyDescent="0.3">
      <c r="A236" s="36"/>
      <c r="B236" s="36"/>
      <c r="C236" s="36"/>
    </row>
    <row r="237" spans="1:4" x14ac:dyDescent="0.3">
      <c r="A237" s="36"/>
      <c r="B237" s="36" t="s">
        <v>165</v>
      </c>
      <c r="C237" s="36" t="s">
        <v>207</v>
      </c>
      <c r="D237" s="22"/>
    </row>
    <row r="238" spans="1:4" x14ac:dyDescent="0.3">
      <c r="A238" s="36"/>
      <c r="B238" s="36"/>
      <c r="C238" s="36" t="s">
        <v>208</v>
      </c>
    </row>
    <row r="239" spans="1:4" x14ac:dyDescent="0.3">
      <c r="A239" s="36"/>
      <c r="B239" s="36"/>
      <c r="C239" s="36">
        <f>C169-C230</f>
        <v>5.5153671171801761</v>
      </c>
      <c r="D239" t="s">
        <v>89</v>
      </c>
    </row>
    <row r="240" spans="1:4" x14ac:dyDescent="0.3">
      <c r="A240" s="36"/>
      <c r="B240" s="36"/>
      <c r="C240" s="36"/>
    </row>
    <row r="241" spans="1:4" x14ac:dyDescent="0.3">
      <c r="A241" s="36"/>
      <c r="B241" s="36" t="s">
        <v>166</v>
      </c>
      <c r="C241" s="36" t="s">
        <v>163</v>
      </c>
    </row>
    <row r="242" spans="1:4" x14ac:dyDescent="0.3">
      <c r="A242" s="36"/>
      <c r="B242" s="36"/>
      <c r="C242" s="36" t="s">
        <v>164</v>
      </c>
    </row>
    <row r="243" spans="1:4" x14ac:dyDescent="0.3">
      <c r="A243" s="36"/>
      <c r="B243" s="36"/>
      <c r="C243" s="36">
        <f>C168-C225</f>
        <v>7.5763995107008668</v>
      </c>
      <c r="D243" t="s">
        <v>89</v>
      </c>
    </row>
    <row r="244" spans="1:4" x14ac:dyDescent="0.3">
      <c r="A244" s="36"/>
      <c r="B244" s="36"/>
      <c r="C244" s="36"/>
    </row>
    <row r="245" spans="1:4" x14ac:dyDescent="0.3">
      <c r="A245" s="36"/>
      <c r="B245" s="36"/>
      <c r="C245" s="36"/>
    </row>
    <row r="246" spans="1:4" x14ac:dyDescent="0.3">
      <c r="A246" s="36"/>
      <c r="B246" s="45" t="s">
        <v>94</v>
      </c>
      <c r="C246" s="45"/>
    </row>
    <row r="247" spans="1:4" x14ac:dyDescent="0.3">
      <c r="A247" s="36"/>
      <c r="B247" s="36"/>
      <c r="C247" s="36">
        <f>C167-C239-C243</f>
        <v>142.15871337211897</v>
      </c>
      <c r="D247" t="s">
        <v>89</v>
      </c>
    </row>
    <row r="248" spans="1:4" x14ac:dyDescent="0.3">
      <c r="A248" s="36"/>
      <c r="B248" s="36"/>
      <c r="C248" s="36"/>
    </row>
    <row r="249" spans="1:4" x14ac:dyDescent="0.3">
      <c r="A249" s="36">
        <v>12</v>
      </c>
      <c r="B249" s="45" t="s">
        <v>206</v>
      </c>
      <c r="C249" s="45"/>
    </row>
    <row r="250" spans="1:4" x14ac:dyDescent="0.3">
      <c r="A250" s="36"/>
      <c r="B250" s="36"/>
      <c r="C250" s="36"/>
    </row>
    <row r="251" spans="1:4" x14ac:dyDescent="0.3">
      <c r="A251" s="36"/>
      <c r="B251" s="36" t="s">
        <v>85</v>
      </c>
      <c r="C251" s="40">
        <f>C166</f>
        <v>433.46661514160115</v>
      </c>
      <c r="D251" t="s">
        <v>89</v>
      </c>
    </row>
    <row r="252" spans="1:4" x14ac:dyDescent="0.3">
      <c r="A252" s="36"/>
      <c r="B252" s="36" t="s">
        <v>86</v>
      </c>
      <c r="C252" s="40">
        <f>C167</f>
        <v>155.25048000000001</v>
      </c>
      <c r="D252" t="s">
        <v>89</v>
      </c>
    </row>
    <row r="253" spans="1:4" x14ac:dyDescent="0.3">
      <c r="A253" s="36"/>
      <c r="B253" s="36" t="s">
        <v>95</v>
      </c>
      <c r="C253" s="40">
        <f>C225</f>
        <v>757.63995107008338</v>
      </c>
      <c r="D253" t="s">
        <v>89</v>
      </c>
    </row>
    <row r="254" spans="1:4" x14ac:dyDescent="0.3">
      <c r="A254" s="36"/>
      <c r="B254" s="36" t="s">
        <v>96</v>
      </c>
      <c r="C254" s="40">
        <f>C230</f>
        <v>1103.0734234360648</v>
      </c>
      <c r="D254" t="s">
        <v>89</v>
      </c>
    </row>
    <row r="255" spans="1:4" x14ac:dyDescent="0.3">
      <c r="A255" s="36"/>
      <c r="B255" s="36" t="s">
        <v>24</v>
      </c>
      <c r="C255" s="40">
        <f>C170</f>
        <v>4.3346661514160116</v>
      </c>
      <c r="D255" t="s">
        <v>89</v>
      </c>
    </row>
    <row r="256" spans="1:4" x14ac:dyDescent="0.3">
      <c r="A256" s="36"/>
      <c r="B256" s="36" t="s">
        <v>45</v>
      </c>
      <c r="C256" s="40">
        <f t="shared" ref="C256" si="3">C171</f>
        <v>0.35816017791654869</v>
      </c>
    </row>
  </sheetData>
  <mergeCells count="12">
    <mergeCell ref="F1:K1"/>
    <mergeCell ref="F31:F40"/>
    <mergeCell ref="B246:C246"/>
    <mergeCell ref="B249:C249"/>
    <mergeCell ref="A18:B18"/>
    <mergeCell ref="F51:I51"/>
    <mergeCell ref="F47:I47"/>
    <mergeCell ref="B213:C213"/>
    <mergeCell ref="B210:C210"/>
    <mergeCell ref="G65:J65"/>
    <mergeCell ref="F65:F66"/>
    <mergeCell ref="B124:C12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2020-04-15T05:58:02Z</dcterms:modified>
</cp:coreProperties>
</file>