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4d-fs.d.ethz.ch\baug-home$\xiongs\Documents\GitHub\PPM_win\"/>
    </mc:Choice>
  </mc:AlternateContent>
  <xr:revisionPtr revIDLastSave="0" documentId="13_ncr:1_{349EF753-BEC7-46ED-B3D3-3FDC93C463C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LCA " sheetId="5" r:id="rId1"/>
    <sheet name="Heating" sheetId="1" r:id="rId2"/>
    <sheet name="Cooling" sheetId="2" r:id="rId3"/>
    <sheet name="Ventilation" sheetId="3" r:id="rId4"/>
    <sheet name="Worksheet_Pipes" sheetId="8" r:id="rId5"/>
    <sheet name="Worksheet_Ducts" sheetId="7" r:id="rId6"/>
    <sheet name="operational Energy" sheetId="13" r:id="rId7"/>
    <sheet name="GWP2013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7" l="1"/>
  <c r="B37" i="5"/>
  <c r="C56" i="2"/>
  <c r="I77" i="5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94" i="5" s="1"/>
  <c r="I95" i="5" s="1"/>
  <c r="I96" i="5" s="1"/>
  <c r="I97" i="5" s="1"/>
  <c r="I98" i="5" s="1"/>
  <c r="I99" i="5" s="1"/>
  <c r="I100" i="5" s="1"/>
  <c r="I101" i="5" s="1"/>
  <c r="I102" i="5" s="1"/>
  <c r="I103" i="5" s="1"/>
  <c r="I104" i="5" s="1"/>
  <c r="I105" i="5" s="1"/>
  <c r="I106" i="5" s="1"/>
  <c r="I107" i="5" s="1"/>
  <c r="I108" i="5" s="1"/>
  <c r="I109" i="5" s="1"/>
  <c r="I110" i="5" s="1"/>
  <c r="I111" i="5" s="1"/>
  <c r="I112" i="5" s="1"/>
  <c r="I113" i="5" s="1"/>
  <c r="I114" i="5" s="1"/>
  <c r="I115" i="5" s="1"/>
  <c r="I116" i="5" s="1"/>
  <c r="I117" i="5" s="1"/>
  <c r="I118" i="5" s="1"/>
  <c r="I119" i="5" s="1"/>
  <c r="I120" i="5" s="1"/>
  <c r="I121" i="5" s="1"/>
  <c r="I122" i="5" s="1"/>
  <c r="I123" i="5" s="1"/>
  <c r="I124" i="5" s="1"/>
  <c r="I125" i="5" s="1"/>
  <c r="I126" i="5" s="1"/>
  <c r="I127" i="5" s="1"/>
  <c r="I128" i="5" s="1"/>
  <c r="I129" i="5" s="1"/>
  <c r="I130" i="5" s="1"/>
  <c r="I131" i="5" s="1"/>
  <c r="I132" i="5" s="1"/>
  <c r="I133" i="5" s="1"/>
  <c r="I134" i="5" s="1"/>
  <c r="I135" i="5" s="1"/>
  <c r="I76" i="5"/>
  <c r="I75" i="5"/>
  <c r="H77" i="5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76" i="5"/>
  <c r="H75" i="5"/>
  <c r="D77" i="5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76" i="5"/>
  <c r="D75" i="5"/>
  <c r="C78" i="5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77" i="5"/>
  <c r="C76" i="5"/>
  <c r="C75" i="5"/>
  <c r="N9" i="1"/>
  <c r="E9" i="1"/>
  <c r="D9" i="1"/>
  <c r="E5" i="10"/>
  <c r="C81" i="1"/>
  <c r="B8" i="5" s="1"/>
  <c r="C102" i="3" l="1"/>
  <c r="F206" i="7"/>
  <c r="F204" i="7"/>
  <c r="AM48" i="7"/>
  <c r="D58" i="5"/>
  <c r="D59" i="5"/>
  <c r="C58" i="5"/>
  <c r="C59" i="5"/>
  <c r="B57" i="5"/>
  <c r="C51" i="5"/>
  <c r="C52" i="5"/>
  <c r="B50" i="5"/>
  <c r="W5" i="13"/>
  <c r="W4" i="13"/>
  <c r="W3" i="13"/>
  <c r="V3" i="13"/>
  <c r="V5" i="13"/>
  <c r="V4" i="13"/>
  <c r="U5" i="13"/>
  <c r="U4" i="13"/>
  <c r="D16" i="13"/>
  <c r="U3" i="13"/>
  <c r="P16" i="13"/>
  <c r="O16" i="13"/>
  <c r="N16" i="13"/>
  <c r="M16" i="13"/>
  <c r="L16" i="13"/>
  <c r="K16" i="13"/>
  <c r="F16" i="13"/>
  <c r="E16" i="13"/>
  <c r="C16" i="13"/>
  <c r="B16" i="13"/>
  <c r="B3" i="5" l="1"/>
  <c r="E58" i="5"/>
  <c r="B4" i="5"/>
  <c r="C3" i="5"/>
  <c r="I25" i="5"/>
  <c r="I33" i="5"/>
  <c r="I30" i="5"/>
  <c r="I24" i="5"/>
  <c r="H32" i="5"/>
  <c r="H29" i="5"/>
  <c r="H28" i="5"/>
  <c r="C88" i="1"/>
  <c r="H27" i="5"/>
  <c r="H26" i="5"/>
  <c r="H25" i="5"/>
  <c r="C90" i="1"/>
  <c r="C89" i="1"/>
  <c r="C87" i="1"/>
  <c r="H24" i="5"/>
  <c r="C24" i="5"/>
  <c r="C37" i="5" s="1"/>
  <c r="D57" i="2"/>
  <c r="D64" i="2"/>
  <c r="C64" i="2"/>
  <c r="B32" i="5"/>
  <c r="C25" i="5"/>
  <c r="C33" i="5"/>
  <c r="C30" i="5"/>
  <c r="B29" i="5"/>
  <c r="B28" i="5"/>
  <c r="B27" i="5"/>
  <c r="B26" i="5"/>
  <c r="B25" i="5"/>
  <c r="B24" i="5"/>
  <c r="E91" i="1"/>
  <c r="I90" i="3"/>
  <c r="K90" i="3" s="1"/>
  <c r="I91" i="3"/>
  <c r="I89" i="3"/>
  <c r="I71" i="3"/>
  <c r="I72" i="3"/>
  <c r="I73" i="3"/>
  <c r="I74" i="3"/>
  <c r="F70" i="3"/>
  <c r="I70" i="3"/>
  <c r="K70" i="3" s="1"/>
  <c r="D100" i="3"/>
  <c r="D62" i="2"/>
  <c r="D61" i="2"/>
  <c r="D60" i="2"/>
  <c r="D58" i="2"/>
  <c r="D59" i="2"/>
  <c r="D56" i="2"/>
  <c r="I37" i="5" l="1"/>
  <c r="Z15" i="13" l="1"/>
  <c r="Y15" i="13"/>
  <c r="P28" i="2" l="1"/>
  <c r="C62" i="2"/>
  <c r="C13" i="5"/>
  <c r="G76" i="1"/>
  <c r="AD61" i="8"/>
  <c r="AD62" i="8"/>
  <c r="AD63" i="8"/>
  <c r="AD64" i="8"/>
  <c r="AD65" i="8"/>
  <c r="AD66" i="8"/>
  <c r="AD67" i="8"/>
  <c r="AD68" i="8"/>
  <c r="AD69" i="8"/>
  <c r="AD70" i="8"/>
  <c r="AD60" i="8"/>
  <c r="Z60" i="8"/>
  <c r="Z61" i="8"/>
  <c r="Z62" i="8"/>
  <c r="Z63" i="8"/>
  <c r="Z64" i="8"/>
  <c r="Z65" i="8"/>
  <c r="Z66" i="8"/>
  <c r="Z67" i="8"/>
  <c r="Z68" i="8"/>
  <c r="Z69" i="8"/>
  <c r="Z70" i="8"/>
  <c r="Z71" i="8"/>
  <c r="C14" i="5"/>
  <c r="C15" i="5"/>
  <c r="C16" i="5"/>
  <c r="A15" i="5"/>
  <c r="A16" i="5"/>
  <c r="A13" i="5"/>
  <c r="C12" i="5"/>
  <c r="A9" i="5"/>
  <c r="A8" i="5"/>
  <c r="J42" i="2"/>
  <c r="J43" i="2"/>
  <c r="J44" i="2"/>
  <c r="F44" i="2" s="1"/>
  <c r="G44" i="2" s="1"/>
  <c r="N44" i="2" s="1"/>
  <c r="J45" i="2"/>
  <c r="J46" i="2"/>
  <c r="F46" i="2" s="1"/>
  <c r="G46" i="2" s="1"/>
  <c r="N46" i="2" s="1"/>
  <c r="J47" i="2"/>
  <c r="J48" i="2"/>
  <c r="J49" i="2"/>
  <c r="F49" i="2" s="1"/>
  <c r="J50" i="2"/>
  <c r="F50" i="2" s="1"/>
  <c r="J51" i="2"/>
  <c r="J41" i="2"/>
  <c r="C59" i="2"/>
  <c r="F47" i="2"/>
  <c r="G47" i="2" s="1"/>
  <c r="N47" i="2" s="1"/>
  <c r="F48" i="2"/>
  <c r="G48" i="2" s="1"/>
  <c r="N48" i="2" s="1"/>
  <c r="F51" i="2"/>
  <c r="G51" i="2" s="1"/>
  <c r="N51" i="2" s="1"/>
  <c r="F41" i="2"/>
  <c r="G41" i="2" s="1"/>
  <c r="E42" i="2"/>
  <c r="E43" i="2"/>
  <c r="E44" i="2"/>
  <c r="E45" i="2"/>
  <c r="E46" i="2"/>
  <c r="E47" i="2"/>
  <c r="E48" i="2"/>
  <c r="E49" i="2"/>
  <c r="E50" i="2"/>
  <c r="E51" i="2"/>
  <c r="E41" i="2"/>
  <c r="E31" i="2"/>
  <c r="E32" i="2"/>
  <c r="N32" i="2" s="1"/>
  <c r="E33" i="2"/>
  <c r="E34" i="2"/>
  <c r="E35" i="2"/>
  <c r="E36" i="2"/>
  <c r="N36" i="2" s="1"/>
  <c r="E37" i="2"/>
  <c r="E38" i="2"/>
  <c r="N38" i="2" s="1"/>
  <c r="E39" i="2"/>
  <c r="N39" i="2" s="1"/>
  <c r="E40" i="2"/>
  <c r="N40" i="2" s="1"/>
  <c r="E30" i="2"/>
  <c r="N30" i="2" s="1"/>
  <c r="F45" i="2"/>
  <c r="G45" i="2" s="1"/>
  <c r="N45" i="2" s="1"/>
  <c r="F43" i="2"/>
  <c r="G43" i="2" s="1"/>
  <c r="N43" i="2" s="1"/>
  <c r="F42" i="2"/>
  <c r="G42" i="2" s="1"/>
  <c r="N42" i="2" s="1"/>
  <c r="F40" i="2"/>
  <c r="G40" i="2" s="1"/>
  <c r="F39" i="2"/>
  <c r="F38" i="2"/>
  <c r="G38" i="2" s="1"/>
  <c r="F37" i="2"/>
  <c r="G37" i="2" s="1"/>
  <c r="N37" i="2"/>
  <c r="F36" i="2"/>
  <c r="G36" i="2" s="1"/>
  <c r="F35" i="2"/>
  <c r="G35" i="2" s="1"/>
  <c r="N35" i="2"/>
  <c r="F34" i="2"/>
  <c r="G34" i="2" s="1"/>
  <c r="N34" i="2"/>
  <c r="N33" i="2"/>
  <c r="F33" i="2"/>
  <c r="G33" i="2" s="1"/>
  <c r="F32" i="2"/>
  <c r="G32" i="2" s="1"/>
  <c r="F31" i="2"/>
  <c r="G31" i="2" s="1"/>
  <c r="N31" i="2"/>
  <c r="F30" i="2"/>
  <c r="E11" i="1"/>
  <c r="E12" i="1"/>
  <c r="E13" i="1"/>
  <c r="E14" i="1"/>
  <c r="E15" i="1"/>
  <c r="E16" i="1"/>
  <c r="E17" i="1"/>
  <c r="E18" i="1"/>
  <c r="E19" i="1"/>
  <c r="E20" i="1"/>
  <c r="E10" i="1"/>
  <c r="N10" i="1" s="1"/>
  <c r="E44" i="1"/>
  <c r="N44" i="1" s="1"/>
  <c r="E45" i="1"/>
  <c r="N45" i="1" s="1"/>
  <c r="E46" i="1"/>
  <c r="N46" i="1" s="1"/>
  <c r="E47" i="1"/>
  <c r="E48" i="1"/>
  <c r="E49" i="1"/>
  <c r="N49" i="1" s="1"/>
  <c r="E50" i="1"/>
  <c r="N50" i="1" s="1"/>
  <c r="E51" i="1"/>
  <c r="N51" i="1" s="1"/>
  <c r="E52" i="1"/>
  <c r="N52" i="1" s="1"/>
  <c r="E53" i="1"/>
  <c r="N53" i="1" s="1"/>
  <c r="E43" i="1"/>
  <c r="N43" i="1" s="1"/>
  <c r="Y4" i="8"/>
  <c r="Y5" i="8"/>
  <c r="Y6" i="8"/>
  <c r="Y7" i="8"/>
  <c r="Y8" i="8"/>
  <c r="Y9" i="8"/>
  <c r="Y10" i="8"/>
  <c r="Y11" i="8"/>
  <c r="Y12" i="8"/>
  <c r="Y13" i="8"/>
  <c r="Y3" i="8"/>
  <c r="V4" i="8"/>
  <c r="V5" i="8"/>
  <c r="V6" i="8"/>
  <c r="V7" i="8"/>
  <c r="V8" i="8"/>
  <c r="V9" i="8"/>
  <c r="V10" i="8"/>
  <c r="V11" i="8"/>
  <c r="V12" i="8"/>
  <c r="V13" i="8"/>
  <c r="V3" i="8"/>
  <c r="S3" i="8"/>
  <c r="F53" i="1"/>
  <c r="F52" i="1"/>
  <c r="F51" i="1"/>
  <c r="F50" i="1"/>
  <c r="F49" i="1"/>
  <c r="F48" i="1"/>
  <c r="N48" i="1"/>
  <c r="F47" i="1"/>
  <c r="G47" i="1" s="1"/>
  <c r="N47" i="1"/>
  <c r="F46" i="1"/>
  <c r="F45" i="1"/>
  <c r="F44" i="1"/>
  <c r="F43" i="1"/>
  <c r="AA60" i="8"/>
  <c r="D17" i="5"/>
  <c r="A18" i="5"/>
  <c r="A19" i="5"/>
  <c r="A17" i="5"/>
  <c r="K44" i="3"/>
  <c r="C100" i="3"/>
  <c r="C20" i="5" l="1"/>
  <c r="G43" i="1"/>
  <c r="N41" i="2"/>
  <c r="G49" i="2"/>
  <c r="N49" i="2" s="1"/>
  <c r="G50" i="2"/>
  <c r="N50" i="2" s="1"/>
  <c r="G39" i="2"/>
  <c r="G30" i="2"/>
  <c r="G53" i="1"/>
  <c r="G49" i="1"/>
  <c r="G52" i="1"/>
  <c r="G46" i="1"/>
  <c r="G48" i="1"/>
  <c r="G44" i="1"/>
  <c r="G50" i="1"/>
  <c r="G51" i="1"/>
  <c r="G45" i="1"/>
  <c r="C60" i="2" l="1"/>
  <c r="C18" i="10" l="1"/>
  <c r="I49" i="3"/>
  <c r="K49" i="3" s="1"/>
  <c r="I83" i="3"/>
  <c r="K83" i="3" s="1"/>
  <c r="I86" i="3"/>
  <c r="K86" i="3" s="1"/>
  <c r="P27" i="2"/>
  <c r="C61" i="2"/>
  <c r="C57" i="2"/>
  <c r="P22" i="2"/>
  <c r="P21" i="2"/>
  <c r="C58" i="2" s="1"/>
  <c r="F10" i="1"/>
  <c r="F11" i="1"/>
  <c r="F12" i="1"/>
  <c r="F13" i="1"/>
  <c r="F14" i="1"/>
  <c r="F15" i="1"/>
  <c r="F16" i="1"/>
  <c r="F17" i="1"/>
  <c r="F18" i="1"/>
  <c r="F19" i="1"/>
  <c r="F20" i="1"/>
  <c r="G67" i="1"/>
  <c r="N67" i="1" s="1"/>
  <c r="G68" i="1"/>
  <c r="N68" i="1" s="1"/>
  <c r="G69" i="1"/>
  <c r="N69" i="1" s="1"/>
  <c r="G70" i="1"/>
  <c r="N70" i="1" s="1"/>
  <c r="G71" i="1"/>
  <c r="N71" i="1" s="1"/>
  <c r="G66" i="1"/>
  <c r="N66" i="1" s="1"/>
  <c r="J57" i="1"/>
  <c r="F57" i="1" s="1"/>
  <c r="J55" i="1"/>
  <c r="F55" i="1" s="1"/>
  <c r="J56" i="1"/>
  <c r="F56" i="1" s="1"/>
  <c r="J58" i="1"/>
  <c r="F58" i="1" s="1"/>
  <c r="J59" i="1"/>
  <c r="F59" i="1" s="1"/>
  <c r="J60" i="1"/>
  <c r="F60" i="1" s="1"/>
  <c r="J61" i="1"/>
  <c r="F61" i="1" s="1"/>
  <c r="J62" i="1"/>
  <c r="F62" i="1" s="1"/>
  <c r="J63" i="1"/>
  <c r="F63" i="1" s="1"/>
  <c r="J64" i="1"/>
  <c r="F64" i="1" s="1"/>
  <c r="J54" i="1"/>
  <c r="F54" i="1" s="1"/>
  <c r="J32" i="1"/>
  <c r="F32" i="1" s="1"/>
  <c r="J33" i="1"/>
  <c r="F33" i="1" s="1"/>
  <c r="J34" i="1"/>
  <c r="F34" i="1" s="1"/>
  <c r="J35" i="1"/>
  <c r="F35" i="1" s="1"/>
  <c r="J36" i="1"/>
  <c r="F36" i="1" s="1"/>
  <c r="J37" i="1"/>
  <c r="F37" i="1" s="1"/>
  <c r="J38" i="1"/>
  <c r="F38" i="1" s="1"/>
  <c r="J39" i="1"/>
  <c r="F39" i="1" s="1"/>
  <c r="J40" i="1"/>
  <c r="F40" i="1" s="1"/>
  <c r="J41" i="1"/>
  <c r="F41" i="1" s="1"/>
  <c r="J42" i="1"/>
  <c r="F42" i="1" s="1"/>
  <c r="F9" i="1"/>
  <c r="J31" i="1"/>
  <c r="F31" i="1" s="1"/>
  <c r="J22" i="1"/>
  <c r="F22" i="1" s="1"/>
  <c r="J23" i="1"/>
  <c r="F23" i="1" s="1"/>
  <c r="J24" i="1"/>
  <c r="F24" i="1" s="1"/>
  <c r="J25" i="1"/>
  <c r="F25" i="1" s="1"/>
  <c r="J26" i="1"/>
  <c r="F26" i="1" s="1"/>
  <c r="J27" i="1"/>
  <c r="F27" i="1" s="1"/>
  <c r="J28" i="1"/>
  <c r="F28" i="1" s="1"/>
  <c r="J29" i="1"/>
  <c r="F29" i="1" s="1"/>
  <c r="J30" i="1"/>
  <c r="F30" i="1" s="1"/>
  <c r="J21" i="1"/>
  <c r="F21" i="1" s="1"/>
  <c r="H18" i="8"/>
  <c r="AM7" i="7"/>
  <c r="AM6" i="7"/>
  <c r="AM5" i="7"/>
  <c r="AM4" i="7"/>
  <c r="AE7" i="7"/>
  <c r="AE6" i="7"/>
  <c r="AE5" i="7"/>
  <c r="AE4" i="7"/>
  <c r="W7" i="7"/>
  <c r="W6" i="7"/>
  <c r="W5" i="7"/>
  <c r="W4" i="7"/>
  <c r="O7" i="7"/>
  <c r="O6" i="7"/>
  <c r="O5" i="7"/>
  <c r="O4" i="7"/>
  <c r="G7" i="7"/>
  <c r="G6" i="7"/>
  <c r="G5" i="7"/>
  <c r="G4" i="7"/>
  <c r="D52" i="3"/>
  <c r="E52" i="3"/>
  <c r="D48" i="3"/>
  <c r="I48" i="3" s="1"/>
  <c r="K48" i="3" s="1"/>
  <c r="E48" i="3"/>
  <c r="D49" i="3"/>
  <c r="E49" i="3"/>
  <c r="D50" i="3"/>
  <c r="E50" i="3"/>
  <c r="I50" i="3" s="1"/>
  <c r="K50" i="3" s="1"/>
  <c r="D51" i="3"/>
  <c r="I51" i="3" s="1"/>
  <c r="K51" i="3" s="1"/>
  <c r="E51" i="3"/>
  <c r="E47" i="3"/>
  <c r="D47" i="3"/>
  <c r="I47" i="3" s="1"/>
  <c r="K47" i="3" s="1"/>
  <c r="I28" i="7"/>
  <c r="F48" i="3" s="1"/>
  <c r="I29" i="7"/>
  <c r="F49" i="3" s="1"/>
  <c r="I30" i="7"/>
  <c r="F50" i="3" s="1"/>
  <c r="I31" i="7"/>
  <c r="F51" i="3" s="1"/>
  <c r="F52" i="3"/>
  <c r="I27" i="7"/>
  <c r="F47" i="3" s="1"/>
  <c r="AD71" i="8"/>
  <c r="N76" i="1" s="1"/>
  <c r="D90" i="1" s="1"/>
  <c r="AB70" i="8"/>
  <c r="AC61" i="8"/>
  <c r="AC62" i="8"/>
  <c r="AC71" i="8" s="1"/>
  <c r="G75" i="1" s="1"/>
  <c r="N75" i="1" s="1"/>
  <c r="D89" i="1" s="1"/>
  <c r="AC63" i="8"/>
  <c r="AC64" i="8"/>
  <c r="AC65" i="8"/>
  <c r="AC66" i="8"/>
  <c r="AC67" i="8"/>
  <c r="AC68" i="8"/>
  <c r="AC69" i="8"/>
  <c r="AC70" i="8"/>
  <c r="AC60" i="8"/>
  <c r="AB61" i="8"/>
  <c r="AB62" i="8"/>
  <c r="AB63" i="8"/>
  <c r="AB64" i="8"/>
  <c r="AB65" i="8"/>
  <c r="AB66" i="8"/>
  <c r="AB67" i="8"/>
  <c r="AB68" i="8"/>
  <c r="AB69" i="8"/>
  <c r="AB60" i="8"/>
  <c r="AA70" i="8"/>
  <c r="AA61" i="8"/>
  <c r="AA62" i="8"/>
  <c r="AA63" i="8"/>
  <c r="AA64" i="8"/>
  <c r="AA65" i="8"/>
  <c r="AA66" i="8"/>
  <c r="AA67" i="8"/>
  <c r="AA68" i="8"/>
  <c r="AA69" i="8"/>
  <c r="Y71" i="8"/>
  <c r="D91" i="3"/>
  <c r="K91" i="3" s="1"/>
  <c r="E91" i="3"/>
  <c r="D76" i="3"/>
  <c r="E76" i="3"/>
  <c r="D77" i="3"/>
  <c r="I77" i="3" s="1"/>
  <c r="K77" i="3" s="1"/>
  <c r="E77" i="3"/>
  <c r="D78" i="3"/>
  <c r="I78" i="3" s="1"/>
  <c r="K78" i="3" s="1"/>
  <c r="E78" i="3"/>
  <c r="D79" i="3"/>
  <c r="I79" i="3" s="1"/>
  <c r="K79" i="3" s="1"/>
  <c r="E79" i="3"/>
  <c r="D80" i="3"/>
  <c r="I80" i="3" s="1"/>
  <c r="K80" i="3" s="1"/>
  <c r="E80" i="3"/>
  <c r="D81" i="3"/>
  <c r="E81" i="3"/>
  <c r="D82" i="3"/>
  <c r="E82" i="3"/>
  <c r="D83" i="3"/>
  <c r="E83" i="3"/>
  <c r="D84" i="3"/>
  <c r="I84" i="3" s="1"/>
  <c r="K84" i="3" s="1"/>
  <c r="E84" i="3"/>
  <c r="D85" i="3"/>
  <c r="I85" i="3" s="1"/>
  <c r="K85" i="3" s="1"/>
  <c r="E85" i="3"/>
  <c r="D86" i="3"/>
  <c r="E86" i="3"/>
  <c r="D87" i="3"/>
  <c r="I87" i="3" s="1"/>
  <c r="K87" i="3" s="1"/>
  <c r="E87" i="3"/>
  <c r="D88" i="3"/>
  <c r="E88" i="3"/>
  <c r="D89" i="3"/>
  <c r="K89" i="3" s="1"/>
  <c r="E89" i="3"/>
  <c r="D90" i="3"/>
  <c r="E90" i="3"/>
  <c r="E75" i="3"/>
  <c r="D75" i="3"/>
  <c r="I75" i="3" s="1"/>
  <c r="K75" i="3" s="1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E54" i="3"/>
  <c r="D54" i="3"/>
  <c r="G93" i="3"/>
  <c r="K93" i="3" s="1"/>
  <c r="G92" i="3"/>
  <c r="K92" i="3" s="1"/>
  <c r="AA136" i="7"/>
  <c r="F86" i="3" s="1"/>
  <c r="AA132" i="7"/>
  <c r="F82" i="3" s="1"/>
  <c r="I82" i="3" s="1"/>
  <c r="K82" i="3" s="1"/>
  <c r="AA139" i="7"/>
  <c r="F89" i="3" s="1"/>
  <c r="AA140" i="7"/>
  <c r="F90" i="3" s="1"/>
  <c r="AA141" i="7"/>
  <c r="F91" i="3" s="1"/>
  <c r="AA131" i="7"/>
  <c r="F81" i="3" s="1"/>
  <c r="I81" i="3" s="1"/>
  <c r="K81" i="3" s="1"/>
  <c r="AA128" i="7"/>
  <c r="F78" i="3" s="1"/>
  <c r="AA133" i="7"/>
  <c r="F83" i="3" s="1"/>
  <c r="AA134" i="7"/>
  <c r="F84" i="3" s="1"/>
  <c r="AA129" i="7"/>
  <c r="F79" i="3" s="1"/>
  <c r="AA126" i="7"/>
  <c r="F76" i="3" s="1"/>
  <c r="I76" i="3" s="1"/>
  <c r="K76" i="3" s="1"/>
  <c r="AA127" i="7"/>
  <c r="F77" i="3" s="1"/>
  <c r="AA130" i="7"/>
  <c r="F80" i="3" s="1"/>
  <c r="AA135" i="7"/>
  <c r="F85" i="3" s="1"/>
  <c r="AA137" i="7"/>
  <c r="F87" i="3" s="1"/>
  <c r="AA138" i="7"/>
  <c r="F88" i="3" s="1"/>
  <c r="I88" i="3" s="1"/>
  <c r="K88" i="3" s="1"/>
  <c r="AA125" i="7"/>
  <c r="F75" i="3" s="1"/>
  <c r="AA105" i="7"/>
  <c r="AA104" i="7"/>
  <c r="AA99" i="7"/>
  <c r="AA98" i="7"/>
  <c r="AA90" i="7"/>
  <c r="AA91" i="7"/>
  <c r="AA92" i="7"/>
  <c r="AA93" i="7"/>
  <c r="AA89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73" i="7"/>
  <c r="AA50" i="7"/>
  <c r="AA48" i="7"/>
  <c r="AA49" i="7"/>
  <c r="AA59" i="7"/>
  <c r="AA62" i="7"/>
  <c r="AA60" i="7"/>
  <c r="AA56" i="7"/>
  <c r="AA55" i="7"/>
  <c r="AE55" i="7" s="1"/>
  <c r="AI55" i="7" s="1"/>
  <c r="AA53" i="7"/>
  <c r="AA63" i="7"/>
  <c r="AA51" i="7"/>
  <c r="AE51" i="7" s="1"/>
  <c r="AI51" i="7" s="1"/>
  <c r="AA65" i="7"/>
  <c r="AA66" i="7"/>
  <c r="AE66" i="7" s="1"/>
  <c r="AI66" i="7" s="1"/>
  <c r="AA67" i="7"/>
  <c r="AE67" i="7" s="1"/>
  <c r="AI67" i="7" s="1"/>
  <c r="AA68" i="7"/>
  <c r="AA64" i="7"/>
  <c r="AA54" i="7"/>
  <c r="AE54" i="7" s="1"/>
  <c r="AI54" i="7" s="1"/>
  <c r="AA57" i="7"/>
  <c r="AA58" i="7"/>
  <c r="AE58" i="7" s="1"/>
  <c r="AM58" i="7" s="1"/>
  <c r="AA61" i="7"/>
  <c r="AA52" i="7"/>
  <c r="AV213" i="8" a="1"/>
  <c r="AV213" i="8" s="1"/>
  <c r="AV214" i="8" a="1"/>
  <c r="AV214" i="8" s="1"/>
  <c r="AV215" i="8" a="1"/>
  <c r="AV215" i="8" s="1"/>
  <c r="AV216" i="8" a="1"/>
  <c r="AV216" i="8" s="1"/>
  <c r="AV217" i="8" a="1"/>
  <c r="AV217" i="8" s="1"/>
  <c r="AV218" i="8" a="1"/>
  <c r="AV218" i="8" s="1"/>
  <c r="AV219" i="8" a="1"/>
  <c r="AV219" i="8" s="1"/>
  <c r="AV220" i="8" a="1"/>
  <c r="AV220" i="8" s="1"/>
  <c r="AV221" i="8" a="1"/>
  <c r="AV221" i="8" s="1"/>
  <c r="AV222" i="8" a="1"/>
  <c r="AV222" i="8" s="1"/>
  <c r="AV223" i="8" a="1"/>
  <c r="AV223" i="8" s="1"/>
  <c r="AV182" i="8"/>
  <c r="AV198" i="8" s="1"/>
  <c r="AV183" i="8"/>
  <c r="AV199" i="8" s="1"/>
  <c r="AV184" i="8"/>
  <c r="AV200" i="8" s="1"/>
  <c r="AV185" i="8"/>
  <c r="AV201" i="8" s="1"/>
  <c r="AV186" i="8"/>
  <c r="AV202" i="8" s="1"/>
  <c r="AV187" i="8"/>
  <c r="AV203" i="8" s="1"/>
  <c r="AV188" i="8"/>
  <c r="AV204" i="8" s="1"/>
  <c r="AV189" i="8"/>
  <c r="AV205" i="8" s="1"/>
  <c r="AV190" i="8"/>
  <c r="AV206" i="8" s="1"/>
  <c r="AV191" i="8"/>
  <c r="AV207" i="8" s="1"/>
  <c r="AV181" i="8"/>
  <c r="AV197" i="8" s="1"/>
  <c r="AL214" i="8" a="1"/>
  <c r="AL214" i="8" s="1"/>
  <c r="AL215" i="8" a="1"/>
  <c r="AL215" i="8" s="1"/>
  <c r="AL216" i="8" a="1"/>
  <c r="AL216" i="8" s="1"/>
  <c r="AL217" i="8" a="1"/>
  <c r="AL217" i="8" s="1"/>
  <c r="AL218" i="8" a="1"/>
  <c r="AL218" i="8" s="1"/>
  <c r="AL219" i="8" a="1"/>
  <c r="AL219" i="8" s="1"/>
  <c r="AL220" i="8" a="1"/>
  <c r="AL220" i="8" s="1"/>
  <c r="AL221" i="8" a="1"/>
  <c r="AL221" i="8" s="1"/>
  <c r="AL222" i="8" a="1"/>
  <c r="AL222" i="8" s="1"/>
  <c r="AL223" i="8" a="1"/>
  <c r="AL223" i="8" s="1"/>
  <c r="AL213" i="8" a="1"/>
  <c r="AL213" i="8" s="1"/>
  <c r="AL182" i="8"/>
  <c r="AL183" i="8"/>
  <c r="AL184" i="8"/>
  <c r="AL185" i="8"/>
  <c r="AL186" i="8"/>
  <c r="AL187" i="8"/>
  <c r="AL188" i="8"/>
  <c r="AL189" i="8"/>
  <c r="AL190" i="8"/>
  <c r="AL191" i="8"/>
  <c r="AL181" i="8"/>
  <c r="AL197" i="8" s="1"/>
  <c r="AB201" i="8"/>
  <c r="AB206" i="8"/>
  <c r="AB214" i="8" a="1"/>
  <c r="AB214" i="8" s="1"/>
  <c r="AB215" i="8" a="1"/>
  <c r="AB215" i="8" s="1"/>
  <c r="AB216" i="8" a="1"/>
  <c r="AB216" i="8" s="1"/>
  <c r="AB217" i="8" a="1"/>
  <c r="AB217" i="8" s="1"/>
  <c r="AB218" i="8" a="1"/>
  <c r="AB218" i="8" s="1"/>
  <c r="AB219" i="8" a="1"/>
  <c r="AB219" i="8" s="1"/>
  <c r="AB220" i="8" a="1"/>
  <c r="AB220" i="8" s="1"/>
  <c r="AB221" i="8" a="1"/>
  <c r="AB221" i="8" s="1"/>
  <c r="AB222" i="8" a="1"/>
  <c r="AB222" i="8" s="1"/>
  <c r="AB223" i="8" a="1"/>
  <c r="AB223" i="8" s="1"/>
  <c r="AB213" i="8" a="1"/>
  <c r="AB213" i="8" s="1"/>
  <c r="AB182" i="8"/>
  <c r="AB198" i="8" s="1"/>
  <c r="AB183" i="8"/>
  <c r="AB199" i="8" s="1"/>
  <c r="AB184" i="8"/>
  <c r="AB200" i="8" s="1"/>
  <c r="AB185" i="8"/>
  <c r="AB186" i="8"/>
  <c r="AB202" i="8" s="1"/>
  <c r="AB187" i="8"/>
  <c r="AB203" i="8" s="1"/>
  <c r="AB188" i="8"/>
  <c r="AB204" i="8" s="1"/>
  <c r="AB189" i="8"/>
  <c r="AB205" i="8" s="1"/>
  <c r="AB190" i="8"/>
  <c r="AB191" i="8"/>
  <c r="AB207" i="8" s="1"/>
  <c r="AB181" i="8"/>
  <c r="AB197" i="8" s="1"/>
  <c r="R182" i="8"/>
  <c r="R183" i="8"/>
  <c r="R184" i="8"/>
  <c r="R185" i="8"/>
  <c r="R186" i="8"/>
  <c r="R187" i="8"/>
  <c r="R188" i="8"/>
  <c r="R189" i="8"/>
  <c r="R190" i="8"/>
  <c r="R191" i="8"/>
  <c r="R181" i="8"/>
  <c r="H182" i="8"/>
  <c r="AZ182" i="8" s="1"/>
  <c r="H183" i="8"/>
  <c r="AZ183" i="8" s="1"/>
  <c r="H184" i="8"/>
  <c r="AZ184" i="8" s="1"/>
  <c r="H185" i="8"/>
  <c r="AZ185" i="8" s="1"/>
  <c r="H186" i="8"/>
  <c r="AZ186" i="8" s="1"/>
  <c r="H187" i="8"/>
  <c r="AZ187" i="8" s="1"/>
  <c r="H188" i="8"/>
  <c r="AZ188" i="8" s="1"/>
  <c r="H189" i="8"/>
  <c r="AZ189" i="8" s="1"/>
  <c r="H190" i="8"/>
  <c r="AZ190" i="8" s="1"/>
  <c r="H191" i="8"/>
  <c r="AZ191" i="8" s="1"/>
  <c r="H181" i="8"/>
  <c r="AZ181" i="8" s="1"/>
  <c r="AB129" i="8"/>
  <c r="BF136" i="8"/>
  <c r="BJ168" i="8" s="1"/>
  <c r="BF127" i="8"/>
  <c r="BJ159" i="8" s="1"/>
  <c r="BF128" i="8"/>
  <c r="BJ160" i="8" s="1"/>
  <c r="BF129" i="8"/>
  <c r="BJ161" i="8" s="1"/>
  <c r="BF130" i="8"/>
  <c r="BJ162" i="8" s="1"/>
  <c r="BF131" i="8"/>
  <c r="BJ163" i="8" s="1"/>
  <c r="BF132" i="8"/>
  <c r="BJ164" i="8" s="1"/>
  <c r="BF133" i="8"/>
  <c r="BJ165" i="8" s="1"/>
  <c r="BF134" i="8"/>
  <c r="BJ166" i="8" s="1"/>
  <c r="BF135" i="8"/>
  <c r="BJ167" i="8" s="1"/>
  <c r="BF126" i="8"/>
  <c r="BJ158" i="8" s="1"/>
  <c r="AV127" i="8"/>
  <c r="AV128" i="8"/>
  <c r="AV129" i="8"/>
  <c r="AV130" i="8"/>
  <c r="AV131" i="8"/>
  <c r="AV132" i="8"/>
  <c r="AV133" i="8"/>
  <c r="AV134" i="8"/>
  <c r="AV135" i="8"/>
  <c r="AV136" i="8"/>
  <c r="AV126" i="8"/>
  <c r="AL132" i="8"/>
  <c r="AL129" i="8"/>
  <c r="AL126" i="8"/>
  <c r="AL127" i="8"/>
  <c r="AL128" i="8"/>
  <c r="AL130" i="8"/>
  <c r="AL131" i="8"/>
  <c r="AL133" i="8"/>
  <c r="AL134" i="8"/>
  <c r="AL135" i="8"/>
  <c r="AL136" i="8"/>
  <c r="AB130" i="8"/>
  <c r="AB127" i="8"/>
  <c r="AB128" i="8"/>
  <c r="AB131" i="8"/>
  <c r="AB132" i="8"/>
  <c r="AB133" i="8"/>
  <c r="AB134" i="8"/>
  <c r="AB135" i="8"/>
  <c r="AB136" i="8"/>
  <c r="AB126" i="8"/>
  <c r="R127" i="8"/>
  <c r="R128" i="8"/>
  <c r="R129" i="8"/>
  <c r="R130" i="8"/>
  <c r="R131" i="8"/>
  <c r="R132" i="8"/>
  <c r="R133" i="8"/>
  <c r="R134" i="8"/>
  <c r="R135" i="8"/>
  <c r="R136" i="8"/>
  <c r="R126" i="8"/>
  <c r="H127" i="8"/>
  <c r="BJ127" i="8" s="1"/>
  <c r="H128" i="8"/>
  <c r="BJ144" i="8" s="1"/>
  <c r="H129" i="8"/>
  <c r="BJ145" i="8" s="1"/>
  <c r="H130" i="8"/>
  <c r="BJ130" i="8" s="1"/>
  <c r="H131" i="8"/>
  <c r="BJ131" i="8" s="1"/>
  <c r="H132" i="8"/>
  <c r="BJ132" i="8" s="1"/>
  <c r="H133" i="8"/>
  <c r="BJ133" i="8" s="1"/>
  <c r="H134" i="8"/>
  <c r="BJ134" i="8" s="1"/>
  <c r="H135" i="8"/>
  <c r="BJ135" i="8" s="1"/>
  <c r="H136" i="8"/>
  <c r="BJ136" i="8" s="1"/>
  <c r="H126" i="8"/>
  <c r="BJ126" i="8" s="1"/>
  <c r="H61" i="8"/>
  <c r="H62" i="8"/>
  <c r="H63" i="8"/>
  <c r="H64" i="8"/>
  <c r="H65" i="8"/>
  <c r="H66" i="8"/>
  <c r="H60" i="8"/>
  <c r="H43" i="8"/>
  <c r="H44" i="8"/>
  <c r="H45" i="8"/>
  <c r="E57" i="1" s="1"/>
  <c r="H46" i="8"/>
  <c r="H47" i="8"/>
  <c r="H48" i="8"/>
  <c r="H49" i="8"/>
  <c r="H50" i="8"/>
  <c r="H51" i="8"/>
  <c r="H52" i="8"/>
  <c r="H42" i="8"/>
  <c r="E54" i="1" s="1"/>
  <c r="H28" i="8"/>
  <c r="E33" i="1" s="1"/>
  <c r="H29" i="8"/>
  <c r="E34" i="1" s="1"/>
  <c r="H30" i="8"/>
  <c r="E35" i="1" s="1"/>
  <c r="H31" i="8"/>
  <c r="E36" i="1" s="1"/>
  <c r="H32" i="8"/>
  <c r="E37" i="1" s="1"/>
  <c r="H33" i="8"/>
  <c r="E38" i="1" s="1"/>
  <c r="H34" i="8"/>
  <c r="H35" i="8"/>
  <c r="H36" i="8"/>
  <c r="H37" i="8"/>
  <c r="H27" i="8"/>
  <c r="E32" i="1" s="1"/>
  <c r="H17" i="8"/>
  <c r="H16" i="8"/>
  <c r="H15" i="8"/>
  <c r="H14" i="8"/>
  <c r="H13" i="8"/>
  <c r="H12" i="8"/>
  <c r="H11" i="8"/>
  <c r="H10" i="8"/>
  <c r="H9" i="8"/>
  <c r="H8" i="8"/>
  <c r="H7" i="8"/>
  <c r="R214" i="8" a="1"/>
  <c r="R214" i="8" s="1"/>
  <c r="R215" i="8" a="1"/>
  <c r="R215" i="8" s="1"/>
  <c r="R216" i="8" a="1"/>
  <c r="R216" i="8" s="1"/>
  <c r="R200" i="8" s="1"/>
  <c r="R217" i="8" a="1"/>
  <c r="R217" i="8" s="1"/>
  <c r="R201" i="8" s="1"/>
  <c r="R218" i="8" a="1"/>
  <c r="R218" i="8" s="1"/>
  <c r="R219" i="8" a="1"/>
  <c r="R219" i="8" s="1"/>
  <c r="R203" i="8" s="1"/>
  <c r="R220" i="8" a="1"/>
  <c r="R220" i="8" s="1"/>
  <c r="R221" i="8" a="1"/>
  <c r="R221" i="8" s="1"/>
  <c r="R222" i="8" a="1"/>
  <c r="R222" i="8" s="1"/>
  <c r="R223" i="8" a="1"/>
  <c r="R223" i="8" s="1"/>
  <c r="R213" i="8" a="1"/>
  <c r="R213" i="8" s="1"/>
  <c r="H213" i="8" a="1"/>
  <c r="H213" i="8" s="1"/>
  <c r="AZ213" i="8" s="1"/>
  <c r="H214" i="8" a="1"/>
  <c r="H214" i="8" s="1"/>
  <c r="AZ214" i="8" s="1"/>
  <c r="H215" i="8" a="1"/>
  <c r="H215" i="8" s="1"/>
  <c r="AZ215" i="8" s="1"/>
  <c r="H216" i="8" a="1"/>
  <c r="H216" i="8" s="1"/>
  <c r="AZ216" i="8" s="1"/>
  <c r="H217" i="8" a="1"/>
  <c r="H217" i="8" s="1"/>
  <c r="AZ217" i="8" s="1"/>
  <c r="H218" i="8" a="1"/>
  <c r="H218" i="8" s="1"/>
  <c r="AZ218" i="8" s="1"/>
  <c r="H219" i="8" a="1"/>
  <c r="H219" i="8" s="1"/>
  <c r="AZ219" i="8" s="1"/>
  <c r="H220" i="8" a="1"/>
  <c r="H220" i="8" s="1"/>
  <c r="AZ220" i="8" s="1"/>
  <c r="H221" i="8" a="1"/>
  <c r="H221" i="8" s="1"/>
  <c r="AZ221" i="8" s="1"/>
  <c r="H222" i="8" a="1"/>
  <c r="H222" i="8" s="1"/>
  <c r="AZ222" i="8" s="1"/>
  <c r="H223" i="8" a="1"/>
  <c r="H223" i="8" s="1"/>
  <c r="AZ223" i="8" s="1"/>
  <c r="D111" i="8"/>
  <c r="D112" i="8"/>
  <c r="D113" i="8"/>
  <c r="D114" i="8"/>
  <c r="I52" i="3" l="1"/>
  <c r="K52" i="3" s="1"/>
  <c r="C101" i="3" s="1"/>
  <c r="D18" i="5" s="1"/>
  <c r="D103" i="3"/>
  <c r="D32" i="5" s="1"/>
  <c r="C103" i="3"/>
  <c r="J32" i="5" s="1"/>
  <c r="D102" i="3"/>
  <c r="G37" i="1"/>
  <c r="N37" i="1" s="1"/>
  <c r="G34" i="1"/>
  <c r="N34" i="1" s="1"/>
  <c r="G33" i="1"/>
  <c r="N33" i="1" s="1"/>
  <c r="G32" i="1"/>
  <c r="N32" i="1" s="1"/>
  <c r="G57" i="1"/>
  <c r="N57" i="1" s="1"/>
  <c r="I81" i="1"/>
  <c r="G16" i="1"/>
  <c r="G15" i="1"/>
  <c r="G11" i="1"/>
  <c r="G38" i="1"/>
  <c r="N38" i="1" s="1"/>
  <c r="G54" i="1"/>
  <c r="N54" i="1" s="1"/>
  <c r="G36" i="1"/>
  <c r="N36" i="1" s="1"/>
  <c r="G35" i="1"/>
  <c r="N35" i="1" s="1"/>
  <c r="AB71" i="8"/>
  <c r="G74" i="1" s="1"/>
  <c r="N74" i="1" s="1"/>
  <c r="AA71" i="8"/>
  <c r="G73" i="1"/>
  <c r="N73" i="1" s="1"/>
  <c r="D87" i="1" s="1"/>
  <c r="G72" i="1"/>
  <c r="N72" i="1" s="1"/>
  <c r="K73" i="3"/>
  <c r="I61" i="3"/>
  <c r="K61" i="3" s="1"/>
  <c r="I60" i="3"/>
  <c r="K60" i="3" s="1"/>
  <c r="E55" i="1"/>
  <c r="G55" i="1" s="1"/>
  <c r="N55" i="1" s="1"/>
  <c r="E64" i="1"/>
  <c r="G64" i="1" s="1"/>
  <c r="N64" i="1" s="1"/>
  <c r="E63" i="1"/>
  <c r="G63" i="1" s="1"/>
  <c r="N63" i="1" s="1"/>
  <c r="E61" i="1"/>
  <c r="G61" i="1" s="1"/>
  <c r="N61" i="1" s="1"/>
  <c r="E56" i="1"/>
  <c r="G56" i="1" s="1"/>
  <c r="N56" i="1" s="1"/>
  <c r="E62" i="1"/>
  <c r="G62" i="1" s="1"/>
  <c r="N62" i="1" s="1"/>
  <c r="E60" i="1"/>
  <c r="G60" i="1" s="1"/>
  <c r="N60" i="1" s="1"/>
  <c r="E59" i="1"/>
  <c r="G59" i="1" s="1"/>
  <c r="N59" i="1" s="1"/>
  <c r="E58" i="1"/>
  <c r="G58" i="1" s="1"/>
  <c r="N58" i="1" s="1"/>
  <c r="BJ129" i="8"/>
  <c r="BJ143" i="8"/>
  <c r="BJ128" i="8"/>
  <c r="BJ142" i="8"/>
  <c r="BJ152" i="8"/>
  <c r="E31" i="1" s="1"/>
  <c r="G31" i="1" s="1"/>
  <c r="N31" i="1" s="1"/>
  <c r="BJ151" i="8"/>
  <c r="BJ150" i="8"/>
  <c r="BJ149" i="8"/>
  <c r="BJ148" i="8"/>
  <c r="BJ147" i="8"/>
  <c r="BJ146" i="8"/>
  <c r="AE59" i="7"/>
  <c r="AI59" i="7" s="1"/>
  <c r="AE62" i="7"/>
  <c r="AI62" i="7" s="1"/>
  <c r="AE49" i="7"/>
  <c r="AI49" i="7" s="1"/>
  <c r="AE50" i="7"/>
  <c r="AI50" i="7" s="1"/>
  <c r="AE53" i="7"/>
  <c r="AI53" i="7" s="1"/>
  <c r="AE52" i="7"/>
  <c r="AI52" i="7" s="1"/>
  <c r="AE68" i="7"/>
  <c r="AM68" i="7" s="1"/>
  <c r="AE48" i="7"/>
  <c r="AE60" i="7"/>
  <c r="AI60" i="7" s="1"/>
  <c r="AE57" i="7"/>
  <c r="AM57" i="7" s="1"/>
  <c r="AE56" i="7"/>
  <c r="AM56" i="7" s="1"/>
  <c r="AQ66" i="7"/>
  <c r="F72" i="3" s="1"/>
  <c r="K72" i="3" s="1"/>
  <c r="AI58" i="7"/>
  <c r="AQ58" i="7" s="1"/>
  <c r="F64" i="3" s="1"/>
  <c r="I64" i="3" s="1"/>
  <c r="K64" i="3" s="1"/>
  <c r="AM67" i="7"/>
  <c r="AQ67" i="7" s="1"/>
  <c r="F73" i="3" s="1"/>
  <c r="AM55" i="7"/>
  <c r="AQ55" i="7" s="1"/>
  <c r="F61" i="3" s="1"/>
  <c r="AM66" i="7"/>
  <c r="AM54" i="7"/>
  <c r="AQ54" i="7" s="1"/>
  <c r="F60" i="3" s="1"/>
  <c r="AM51" i="7"/>
  <c r="AQ51" i="7" s="1"/>
  <c r="F57" i="3" s="1"/>
  <c r="I57" i="3" s="1"/>
  <c r="K57" i="3" s="1"/>
  <c r="AE63" i="7"/>
  <c r="AM49" i="7"/>
  <c r="AQ49" i="7" s="1"/>
  <c r="F55" i="3" s="1"/>
  <c r="I55" i="3" s="1"/>
  <c r="K55" i="3" s="1"/>
  <c r="AE64" i="7"/>
  <c r="AM59" i="7"/>
  <c r="AQ59" i="7" s="1"/>
  <c r="F65" i="3" s="1"/>
  <c r="I65" i="3" s="1"/>
  <c r="K65" i="3" s="1"/>
  <c r="AE65" i="7"/>
  <c r="AE61" i="7"/>
  <c r="AL198" i="8"/>
  <c r="AL199" i="8"/>
  <c r="AL201" i="8"/>
  <c r="AL202" i="8"/>
  <c r="AL203" i="8"/>
  <c r="AL204" i="8"/>
  <c r="AL205" i="8"/>
  <c r="AL206" i="8"/>
  <c r="AL207" i="8"/>
  <c r="AL200" i="8"/>
  <c r="R205" i="8"/>
  <c r="R204" i="8"/>
  <c r="R199" i="8"/>
  <c r="R198" i="8"/>
  <c r="R207" i="8"/>
  <c r="R202" i="8"/>
  <c r="R206" i="8"/>
  <c r="R197" i="8"/>
  <c r="H207" i="8"/>
  <c r="H206" i="8"/>
  <c r="AZ206" i="8" s="1"/>
  <c r="E30" i="1" s="1"/>
  <c r="G30" i="1" s="1"/>
  <c r="N30" i="1" s="1"/>
  <c r="H205" i="8"/>
  <c r="H204" i="8"/>
  <c r="H203" i="8"/>
  <c r="AZ203" i="8" s="1"/>
  <c r="E27" i="1" s="1"/>
  <c r="G27" i="1" s="1"/>
  <c r="N27" i="1" s="1"/>
  <c r="H202" i="8"/>
  <c r="AZ202" i="8" s="1"/>
  <c r="E26" i="1" s="1"/>
  <c r="G26" i="1" s="1"/>
  <c r="N26" i="1" s="1"/>
  <c r="H201" i="8"/>
  <c r="H200" i="8"/>
  <c r="H199" i="8"/>
  <c r="H198" i="8"/>
  <c r="H197" i="8"/>
  <c r="S9" i="8"/>
  <c r="N16" i="1" s="1"/>
  <c r="S7" i="8"/>
  <c r="N14" i="1" s="1"/>
  <c r="S8" i="8"/>
  <c r="N15" i="1" s="1"/>
  <c r="S6" i="8"/>
  <c r="N13" i="1" s="1"/>
  <c r="S4" i="8"/>
  <c r="N11" i="1" s="1"/>
  <c r="S5" i="8"/>
  <c r="D61" i="8"/>
  <c r="D120" i="8"/>
  <c r="D119" i="8"/>
  <c r="D117" i="8"/>
  <c r="D118" i="8"/>
  <c r="D116" i="8"/>
  <c r="D115" i="8"/>
  <c r="D102" i="8"/>
  <c r="D103" i="8"/>
  <c r="D101" i="8"/>
  <c r="D107" i="8"/>
  <c r="D106" i="8"/>
  <c r="D105" i="8"/>
  <c r="D104" i="8"/>
  <c r="D97" i="8"/>
  <c r="D96" i="8"/>
  <c r="D95" i="8"/>
  <c r="D94" i="8"/>
  <c r="D89" i="8"/>
  <c r="D90" i="8"/>
  <c r="D91" i="8"/>
  <c r="H68" i="8" s="1"/>
  <c r="S11" i="8" s="1"/>
  <c r="D92" i="8"/>
  <c r="D93" i="8"/>
  <c r="D88" i="8"/>
  <c r="D78" i="8"/>
  <c r="D79" i="8"/>
  <c r="D80" i="8"/>
  <c r="D77" i="8"/>
  <c r="H69" i="8" s="1"/>
  <c r="E41" i="1" s="1"/>
  <c r="G41" i="1" s="1"/>
  <c r="N41" i="1" s="1"/>
  <c r="D84" i="8"/>
  <c r="D83" i="8"/>
  <c r="D82" i="8"/>
  <c r="D81" i="8"/>
  <c r="D73" i="8"/>
  <c r="D72" i="8"/>
  <c r="D71" i="8"/>
  <c r="D70" i="8"/>
  <c r="J21" i="2"/>
  <c r="B117" i="5" l="1"/>
  <c r="G99" i="5"/>
  <c r="G76" i="5"/>
  <c r="B118" i="5"/>
  <c r="G115" i="5"/>
  <c r="G79" i="5"/>
  <c r="G92" i="5"/>
  <c r="G106" i="5"/>
  <c r="B134" i="5"/>
  <c r="G82" i="5"/>
  <c r="G108" i="5"/>
  <c r="G111" i="5"/>
  <c r="B129" i="5"/>
  <c r="B116" i="5"/>
  <c r="G88" i="5"/>
  <c r="B130" i="5"/>
  <c r="G127" i="5"/>
  <c r="G91" i="5"/>
  <c r="G104" i="5"/>
  <c r="G118" i="5"/>
  <c r="G120" i="5"/>
  <c r="G94" i="5"/>
  <c r="G83" i="5"/>
  <c r="G96" i="5"/>
  <c r="B120" i="5"/>
  <c r="G93" i="5"/>
  <c r="G117" i="5"/>
  <c r="G123" i="5"/>
  <c r="B125" i="5"/>
  <c r="B128" i="5"/>
  <c r="G114" i="5"/>
  <c r="G90" i="5"/>
  <c r="G78" i="5"/>
  <c r="G103" i="5"/>
  <c r="B109" i="5"/>
  <c r="G130" i="5"/>
  <c r="G95" i="5"/>
  <c r="B111" i="5"/>
  <c r="B124" i="5"/>
  <c r="G135" i="5"/>
  <c r="G110" i="5"/>
  <c r="G100" i="5"/>
  <c r="G126" i="5"/>
  <c r="G102" i="5"/>
  <c r="B119" i="5"/>
  <c r="B108" i="5"/>
  <c r="B121" i="5"/>
  <c r="G81" i="5"/>
  <c r="G84" i="5"/>
  <c r="B123" i="5"/>
  <c r="B114" i="5"/>
  <c r="G77" i="5"/>
  <c r="B107" i="5"/>
  <c r="B133" i="5"/>
  <c r="B135" i="5"/>
  <c r="G131" i="5"/>
  <c r="G86" i="5"/>
  <c r="G112" i="5"/>
  <c r="G121" i="5"/>
  <c r="G97" i="5"/>
  <c r="G98" i="5"/>
  <c r="G124" i="5"/>
  <c r="G85" i="5"/>
  <c r="G89" i="5"/>
  <c r="B131" i="5"/>
  <c r="B126" i="5"/>
  <c r="B132" i="5"/>
  <c r="B113" i="5"/>
  <c r="G75" i="5"/>
  <c r="G107" i="5"/>
  <c r="G132" i="5"/>
  <c r="G87" i="5"/>
  <c r="G125" i="5"/>
  <c r="G134" i="5"/>
  <c r="G80" i="5"/>
  <c r="G133" i="5"/>
  <c r="B115" i="5"/>
  <c r="G105" i="5"/>
  <c r="G113" i="5"/>
  <c r="G101" i="5"/>
  <c r="G109" i="5"/>
  <c r="G116" i="5"/>
  <c r="G129" i="5"/>
  <c r="G122" i="5"/>
  <c r="B110" i="5"/>
  <c r="G119" i="5"/>
  <c r="B112" i="5"/>
  <c r="B127" i="5"/>
  <c r="B106" i="5"/>
  <c r="G128" i="5"/>
  <c r="B122" i="5"/>
  <c r="D19" i="5"/>
  <c r="D20" i="5" s="1"/>
  <c r="J25" i="5"/>
  <c r="J37" i="5" s="1"/>
  <c r="C105" i="3"/>
  <c r="D88" i="1"/>
  <c r="C85" i="1"/>
  <c r="B11" i="5" s="1"/>
  <c r="G14" i="1"/>
  <c r="N12" i="1"/>
  <c r="G12" i="1"/>
  <c r="G13" i="1"/>
  <c r="N18" i="1"/>
  <c r="G18" i="1"/>
  <c r="G10" i="1"/>
  <c r="E40" i="1"/>
  <c r="G40" i="1" s="1"/>
  <c r="N40" i="1" s="1"/>
  <c r="S12" i="8"/>
  <c r="AZ204" i="8"/>
  <c r="E28" i="1" s="1"/>
  <c r="G28" i="1" s="1"/>
  <c r="N28" i="1" s="1"/>
  <c r="AZ205" i="8"/>
  <c r="E29" i="1" s="1"/>
  <c r="G29" i="1" s="1"/>
  <c r="N29" i="1" s="1"/>
  <c r="H67" i="8"/>
  <c r="AZ197" i="8"/>
  <c r="E21" i="1" s="1"/>
  <c r="G21" i="1" s="1"/>
  <c r="N21" i="1" s="1"/>
  <c r="H70" i="8"/>
  <c r="AZ198" i="8"/>
  <c r="E22" i="1" s="1"/>
  <c r="G22" i="1" s="1"/>
  <c r="N22" i="1" s="1"/>
  <c r="AZ199" i="8"/>
  <c r="E23" i="1" s="1"/>
  <c r="G23" i="1" s="1"/>
  <c r="N23" i="1" s="1"/>
  <c r="AZ200" i="8"/>
  <c r="E24" i="1" s="1"/>
  <c r="G24" i="1" s="1"/>
  <c r="N24" i="1" s="1"/>
  <c r="AZ201" i="8"/>
  <c r="E25" i="1" s="1"/>
  <c r="G25" i="1" s="1"/>
  <c r="N25" i="1" s="1"/>
  <c r="AM62" i="7"/>
  <c r="AQ62" i="7" s="1"/>
  <c r="F68" i="3" s="1"/>
  <c r="I68" i="3" s="1"/>
  <c r="K68" i="3" s="1"/>
  <c r="AM50" i="7"/>
  <c r="AQ50" i="7" s="1"/>
  <c r="F56" i="3" s="1"/>
  <c r="I56" i="3" s="1"/>
  <c r="K56" i="3" s="1"/>
  <c r="AM52" i="7"/>
  <c r="AQ52" i="7" s="1"/>
  <c r="F58" i="3" s="1"/>
  <c r="I58" i="3" s="1"/>
  <c r="K58" i="3" s="1"/>
  <c r="AI48" i="7"/>
  <c r="AQ48" i="7" s="1"/>
  <c r="F54" i="3" s="1"/>
  <c r="I54" i="3" s="1"/>
  <c r="K54" i="3" s="1"/>
  <c r="AI68" i="7"/>
  <c r="AQ68" i="7" s="1"/>
  <c r="F74" i="3" s="1"/>
  <c r="K74" i="3" s="1"/>
  <c r="AM53" i="7"/>
  <c r="AQ53" i="7" s="1"/>
  <c r="F59" i="3" s="1"/>
  <c r="I59" i="3" s="1"/>
  <c r="K59" i="3" s="1"/>
  <c r="AI56" i="7"/>
  <c r="AQ56" i="7" s="1"/>
  <c r="F62" i="3" s="1"/>
  <c r="I62" i="3" s="1"/>
  <c r="K62" i="3" s="1"/>
  <c r="AM60" i="7"/>
  <c r="AQ60" i="7" s="1"/>
  <c r="F66" i="3" s="1"/>
  <c r="I66" i="3" s="1"/>
  <c r="K66" i="3" s="1"/>
  <c r="AI57" i="7"/>
  <c r="AQ57" i="7" s="1"/>
  <c r="F63" i="3" s="1"/>
  <c r="I63" i="3" s="1"/>
  <c r="K63" i="3" s="1"/>
  <c r="AI64" i="7"/>
  <c r="AM64" i="7"/>
  <c r="AI61" i="7"/>
  <c r="AM61" i="7"/>
  <c r="AI65" i="7"/>
  <c r="AM65" i="7"/>
  <c r="AI63" i="7"/>
  <c r="AM63" i="7"/>
  <c r="D81" i="1" l="1"/>
  <c r="D83" i="1"/>
  <c r="C83" i="1"/>
  <c r="N19" i="1"/>
  <c r="G19" i="1"/>
  <c r="G9" i="1"/>
  <c r="S13" i="8"/>
  <c r="E42" i="1"/>
  <c r="G42" i="1" s="1"/>
  <c r="N42" i="1" s="1"/>
  <c r="E39" i="1"/>
  <c r="G39" i="1" s="1"/>
  <c r="N39" i="1" s="1"/>
  <c r="S10" i="8"/>
  <c r="AQ63" i="7"/>
  <c r="F69" i="3" s="1"/>
  <c r="I69" i="3" s="1"/>
  <c r="K69" i="3" s="1"/>
  <c r="AQ65" i="7"/>
  <c r="F71" i="3" s="1"/>
  <c r="K71" i="3" s="1"/>
  <c r="D101" i="3" s="1"/>
  <c r="AQ61" i="7"/>
  <c r="F67" i="3" s="1"/>
  <c r="I67" i="3" s="1"/>
  <c r="K67" i="3" s="1"/>
  <c r="AQ64" i="7"/>
  <c r="D105" i="3" l="1"/>
  <c r="D25" i="5"/>
  <c r="D37" i="5" s="1"/>
  <c r="C91" i="1"/>
  <c r="H31" i="5"/>
  <c r="H37" i="5" s="1"/>
  <c r="B31" i="5"/>
  <c r="D91" i="1"/>
  <c r="C84" i="1"/>
  <c r="B10" i="5" s="1"/>
  <c r="D84" i="1"/>
  <c r="N17" i="1"/>
  <c r="G17" i="1"/>
  <c r="N20" i="1"/>
  <c r="D82" i="1" s="1"/>
  <c r="E85" i="1" s="1"/>
  <c r="G20" i="1"/>
  <c r="C82" i="1" l="1"/>
  <c r="B9" i="5" s="1"/>
  <c r="B20" i="5" l="1"/>
  <c r="B2" i="5"/>
  <c r="D3" i="5" s="1"/>
  <c r="B80" i="5"/>
  <c r="B81" i="5"/>
  <c r="B82" i="5"/>
  <c r="B95" i="5"/>
  <c r="B85" i="5"/>
  <c r="B92" i="5"/>
  <c r="B75" i="5"/>
  <c r="B94" i="5"/>
  <c r="B97" i="5"/>
  <c r="B104" i="5"/>
  <c r="B93" i="5"/>
  <c r="B84" i="5"/>
  <c r="B98" i="5"/>
  <c r="B83" i="5"/>
  <c r="B86" i="5"/>
  <c r="B96" i="5"/>
  <c r="B105" i="5"/>
  <c r="B90" i="5"/>
  <c r="B99" i="5"/>
  <c r="B87" i="5"/>
  <c r="B89" i="5"/>
  <c r="B91" i="5"/>
  <c r="B102" i="5"/>
  <c r="B88" i="5"/>
  <c r="B103" i="5"/>
  <c r="B78" i="5"/>
  <c r="B77" i="5"/>
  <c r="B100" i="5"/>
  <c r="B79" i="5"/>
  <c r="B101" i="5"/>
  <c r="B76" i="5"/>
  <c r="D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tc={8A8CE54F-8082-F649-B0FE-AF618A8ADCBD}</author>
    <author>tc={D5F2DC9B-592D-6F44-8E87-19F989E6323C}</author>
    <author>Microsoft Office User</author>
    <author>tc={2CCA8132-86B4-E44B-AA9E-B42CFBBB6E89}</author>
  </authors>
  <commentList>
    <comment ref="J8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https://www.energie-experten.org/erneuerbare-energien/erdwaerme/erdwaermetauscher/betonkernaktivierung</t>
      </text>
    </comment>
    <comment ref="K8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https://www.energie-experten.org/erneuerbare-energien/erdwaerme/erdwaermetauscher/betonkernaktivierung</t>
      </text>
    </comment>
    <comment ref="I9" authorId="2" shapeId="0" xr:uid="{00000000-0006-0000-0100-000003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Installation Distance
</t>
        </r>
        <r>
          <rPr>
            <sz val="10"/>
            <color rgb="FF000000"/>
            <rFont val="Tahoma"/>
            <family val="2"/>
          </rPr>
          <t>https://www.rehau.com/downloads/180516/die-rehau-betonkerntemperierung.pdf</t>
        </r>
      </text>
    </comment>
    <comment ref="L9" authorId="2" shapeId="0" xr:uid="{24AECB02-23C7-EB4E-83F1-5C86CD2F8E1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https://www.engineeringtoolbox.com/pe-pipe-weights-d_324.html
http://www.thaipipe.com/products&amp;services/hdpepipe.htm</t>
        </r>
      </text>
    </comment>
    <comment ref="B10" authorId="2" shapeId="0" xr:uid="{00000000-0006-0000-0100-000007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https://www.geberit.ch/produkte/versorgungssysteme/geberit-mapress-c-stahl/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10" authorId="2" shapeId="0" xr:uid="{703711A8-7CC5-E940-BB77-D2852BE0C8C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https://mettner-stahlrohrhandel.de/gewichtstabelle/rohrrechner/</t>
        </r>
      </text>
    </comment>
    <comment ref="A21" authorId="2" shapeId="0" xr:uid="{00000000-0006-0000-0100-000008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https://www.rockwool.com/at/produkte/produktuebersicht/rockwool-800/
</t>
        </r>
      </text>
    </comment>
    <comment ref="K21" authorId="2" shapeId="0" xr:uid="{B23BC4E5-6F09-7B41-9FFC-39F5C48B9F1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https://www.rockwool.com/syssiteassets/rw-uk/downloads/datasheets/rocklap-hv-pipe-sections.pdf</t>
        </r>
      </text>
    </comment>
    <comment ref="A32" authorId="2" shapeId="0" xr:uid="{00000000-0006-0000-0100-000009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https://www.kolektor-insulation.com/de/produkte/waermeschutz/missel-misselon-robust-035.html
</t>
        </r>
      </text>
    </comment>
    <comment ref="K32" authorId="2" shapeId="0" xr:uid="{9AA7457C-9A7D-3948-9143-356A8BC6A31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https://thermaflex.com/wp-content/uploads/2022/06/EN_TDS_ThermaSmartPRO_tube_ver3.1_31.05.2022.pdf</t>
        </r>
      </text>
    </comment>
    <comment ref="B43" authorId="2" shapeId="0" xr:uid="{C3848C7A-3F91-C94D-830A-CB3FB02771B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https://www.geberit.ch/produkte/versorgungssysteme/geberit-mapress-c-stahl/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43" authorId="2" shapeId="0" xr:uid="{6780F445-601F-E041-808A-8C571F723BD4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https://mettner-stahlrohrhandel.de/gewichtstabelle/rohrrechner/</t>
        </r>
      </text>
    </comment>
    <comment ref="A54" authorId="2" shapeId="0" xr:uid="{00000000-0006-0000-0100-00000B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https://www.isotec-isolierungen.de/armaflex-platte-afxghtnh</t>
        </r>
      </text>
    </comment>
    <comment ref="K54" authorId="2" shapeId="0" xr:uid="{6A0BE0E9-9C99-B149-82C4-0D092D792D2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https://local.armacell.com/fileadmin/cms/downloads/product-catalogues/de/ch/AFArmaflex_ProductRange_CH-d.pdf</t>
        </r>
      </text>
    </comment>
    <comment ref="A66" authorId="2" shapeId="0" xr:uid="{00000000-0006-0000-0100-00000C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https://www.nussbaum.ch/de/r/heizung/fussbodenheizung/56040-therm-control-heizkreisverteiler-2000007115.html</t>
        </r>
      </text>
    </comment>
    <comment ref="S100" authorId="3" shapeId="0" xr:uid="{00000000-0006-0000-01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https://tabsag.ch/thermoaktive-bauteilsysteme/#1563009148711-351fb76a-6b7a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tc={85054BE7-BE60-7846-B538-7A546B44ABC6}</author>
    <author>tc={201F66A2-A725-554C-AFBC-037FE323AAFD}</author>
    <author>tc={1C7682EC-065D-344B-A507-83C0B2EC104D}</author>
    <author>tc={4157AB65-674A-034B-AB80-FE1FE29D6A0A}</author>
    <author>tc={13567EF1-5261-D84C-B6DF-C48BCE535D08}</author>
  </authors>
  <commentList>
    <comment ref="B17" authorId="0" shapeId="0" xr:uid="{00000000-0006-0000-0200-000003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https://www.kaltra.com/microchannel-condensers</t>
        </r>
      </text>
    </comment>
    <comment ref="A21" authorId="1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https://www.geberit.ch/produkte/versorgungssysteme/geberit-mapress-edelstahl/</t>
      </text>
    </comment>
    <comment ref="A22" authorId="2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https://www.geberit.ch/produkte/versorgungssysteme/geberit-mapress-edelstahl/</t>
      </text>
    </comment>
    <comment ref="A23" authorId="3" shapeId="0" xr:uid="{00000000-0006-0000-02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https://www.reflex-winkelmann.com/uploads/reflex_products/PR1724de_8115700.pdf</t>
      </text>
    </comment>
    <comment ref="J29" authorId="4" shapeId="0" xr:uid="{4157AB65-674A-034B-AB80-FE1FE29D6A0A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https://www.energie-experten.org/erneuerbare-energien/erdwaerme/erdwaermetauscher/betonkernaktivierung</t>
      </text>
    </comment>
    <comment ref="K29" authorId="5" shapeId="0" xr:uid="{13567EF1-5261-D84C-B6DF-C48BCE535D0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https://www.energie-experten.org/erneuerbare-energien/erdwaerme/erdwaermetauscher/betonkernaktivierung</t>
      </text>
    </comment>
    <comment ref="B30" authorId="0" shapeId="0" xr:uid="{59DD15BE-CBFE-D043-9569-B3D9871932D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https://www.geberit.ch/produkte/versorgungssysteme/geberit-mapress-c-stahl/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L30" authorId="0" shapeId="0" xr:uid="{3E327DB7-E345-6347-99F5-FD8F4ABEF78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https://mettner-stahlrohrhandel.de/gewichtstabelle/rohrrechner/</t>
        </r>
      </text>
    </comment>
    <comment ref="A41" authorId="0" shapeId="0" xr:uid="{FAE10041-D622-2548-AC74-2C85E29549A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https://www.isotec-isolierungen.de/armaflex-platte-afxghtnh</t>
        </r>
      </text>
    </comment>
    <comment ref="K41" authorId="0" shapeId="0" xr:uid="{D4A2B1F2-9DFD-0E45-A877-FD6B23CDAB76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https://local.armacell.com/fileadmin/cms/downloads/product-catalogues/de/ch/AFArmaflex_ProductRange_CH-d.pdf</t>
        </r>
      </text>
    </comment>
    <comment ref="K72" authorId="0" shapeId="0" xr:uid="{3D1E99CB-F940-E14A-8AE7-B668B05CCE32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Installation Distance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47" authorId="0" shapeId="0" xr:uid="{6C8FCC9B-387C-AC41-8F2D-0D657C5C9EA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https://gsp-lueftungstechnik.de/lueftungskanaele.php#:~:text=L%C3%BCftungskan%C3%A4le%20und%20Formst%C3%BCcke%20aus%20AlMg3,mm%20bis%201%2C5%20mm.</t>
        </r>
      </text>
    </comment>
    <comment ref="A92" authorId="0" shapeId="0" xr:uid="{00000000-0006-0000-0300-00000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https://select.ventam.at/ProductType/Product/54</t>
        </r>
      </text>
    </comment>
    <comment ref="J92" authorId="0" shapeId="0" xr:uid="{849326A1-97F8-AF4E-BA0B-2A886C760EA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https://www.galaxus.ch/de/s2/product/euro3plast-abluftventilator-315mm-ventilator-21186157?gclid=CjwKCAjw9J2iBhBPEiwAErwpefwzMTXheE5F6YYvWgMQIxtVnknnclyiUz3AD9Lz5v1RN39WPfbAhRoCEp8QAvD_BwE&amp;gclsrc=aw.ds#fullscreen=show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S58" authorId="0" shapeId="0" xr:uid="{00000000-0006-0000-0400-00000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kampmann.ch/de/hvac/produkte/unterflurkonvektoren/katherm-nk?ix_search%5Bfacet_finder_product_t180905_t180905_316facet_decch%5D%5B%5D=0080%23%232200&amp;ix_search%5Bfacet_finder_product_t180905_t180905_183facet_decch%5D=0010%23%23Roll-Rost&amp;ix_search%5Bfacet_finder_product_t180905_t180905_184facet_decch%5D=0010%23%23Aluminium%2C%20natur%20eloxiert&amp;calc_mode_heating=temperature&amp;massflow_heating_value=120&amp;group_id=node_product_g2403_decch&amp;page_productfinder=2&amp;view=teaser&amp;limit=12&amp;sortField=sort_nr&amp;sortOrder=asc</t>
        </r>
      </text>
    </comment>
    <comment ref="S84" authorId="0" shapeId="0" xr:uid="{00000000-0006-0000-0400-000002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kampmann.ch/de/hvac/produkte/unterflurkonvektoren/katherm-nk?ix_search%5Bfacet_finder_product_t180905_t180905_316facet_decch%5D%5B%5D=0080%23%232200&amp;ix_search%5Bfacet_finder_product_t180905_t180905_183facet_decch%5D=0010%23%23Roll-Rost&amp;ix_search%5Bfacet_finder_product_t180905_t180905_184facet_decch%5D=0010%23%23Aluminium%2C%20natur%20eloxiert&amp;calc_mode_heating=temperature&amp;massflow_heating_value=120&amp;group_id=node_product_g2403_decch&amp;page_productfinder=2&amp;view=teaser&amp;limit=12&amp;sortField=sort_nr&amp;sortOrder=asc</t>
        </r>
      </text>
    </comment>
    <comment ref="S85" authorId="0" shapeId="0" xr:uid="{00000000-0006-0000-0400-000003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https://www.zehnder-systems.ch/de/design-heizkoerper/produkte/wohnheizkoerper/zehnder-excelsior-warmwasserbetrieb
</t>
        </r>
      </text>
    </comment>
    <comment ref="S86" authorId="0" shapeId="0" xr:uid="{00000000-0006-0000-0400-000004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https://www.zehnder-systems.ch/de/design-heizkoerper/produkte/wohnheizkoerper/zehnder-excelsior-warmwasserbetrieb
</t>
        </r>
      </text>
    </comment>
    <comment ref="S87" authorId="0" shapeId="0" xr:uid="{00000000-0006-0000-0400-000005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https://www.zehnder-systems.ch/de/design-heizkoerper/produkte/wohnheizkoerper/zehnder-excelsior-warmwasserbetrieb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205" authorId="0" shapeId="0" xr:uid="{00000000-0006-0000-0500-000001000000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left: 3+14+21+9+9
</t>
        </r>
        <r>
          <rPr>
            <sz val="10"/>
            <color rgb="FF000000"/>
            <rFont val="Tahoma"/>
            <family val="2"/>
          </rPr>
          <t xml:space="preserve">middle: 5+24+12+11+24+5
</t>
        </r>
        <r>
          <rPr>
            <sz val="10"/>
            <color rgb="FF000000"/>
            <rFont val="Tahoma"/>
            <family val="2"/>
          </rPr>
          <t xml:space="preserve">right: </t>
        </r>
        <r>
          <rPr>
            <sz val="10"/>
            <color rgb="FF000000"/>
            <rFont val="Calibri"/>
            <family val="2"/>
          </rPr>
          <t xml:space="preserve">3+14+21+9+9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8" authorId="0" shapeId="0" xr:uid="{F69E9261-BA32-254F-84B4-EF9399564E5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 very small difference to steel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<sst xmlns="http://schemas.openxmlformats.org/spreadsheetml/2006/main" count="2305" uniqueCount="326">
  <si>
    <t>Openplan Office</t>
  </si>
  <si>
    <t>Toilet</t>
  </si>
  <si>
    <t>System</t>
  </si>
  <si>
    <t>Legend:</t>
  </si>
  <si>
    <t>grey = no touching</t>
  </si>
  <si>
    <t>yellow= editable</t>
  </si>
  <si>
    <t>blue = comment</t>
  </si>
  <si>
    <t>Energy</t>
  </si>
  <si>
    <t>District Heating</t>
  </si>
  <si>
    <t>Composition of the System</t>
  </si>
  <si>
    <t>Material</t>
  </si>
  <si>
    <t>Element</t>
  </si>
  <si>
    <t>Steel</t>
  </si>
  <si>
    <t xml:space="preserve">Diameter [m] </t>
  </si>
  <si>
    <t>Room</t>
  </si>
  <si>
    <t>Length [m/m2]</t>
  </si>
  <si>
    <t>Total Length</t>
  </si>
  <si>
    <t>Polyethylene</t>
  </si>
  <si>
    <t>https://www.rehau.com/downloads/712394/rautitan.pdf</t>
  </si>
  <si>
    <t>pi</t>
  </si>
  <si>
    <t>Roomarea</t>
  </si>
  <si>
    <t>Pipe Floor</t>
  </si>
  <si>
    <t>Quantum Air Chiller</t>
  </si>
  <si>
    <t>Electricity</t>
  </si>
  <si>
    <t>Engie - Maßstab moderner Kälteerzeugung</t>
  </si>
  <si>
    <t>Die neue Generation luftgekühlter QUANTUM-Kältemaschinen</t>
  </si>
  <si>
    <t>Ventilator</t>
  </si>
  <si>
    <t>Frame</t>
  </si>
  <si>
    <t>Control Panel</t>
  </si>
  <si>
    <t>Electrical Cabinet</t>
  </si>
  <si>
    <t>Compressor</t>
  </si>
  <si>
    <t>Economizer</t>
  </si>
  <si>
    <t>Refrigerant</t>
  </si>
  <si>
    <t>Air Chiller</t>
  </si>
  <si>
    <t>AL-KO AT4</t>
  </si>
  <si>
    <t>https://alko-airtechnology.com/en/product/al-ko-the-at4-series-your-individual-ventilation-devices/</t>
  </si>
  <si>
    <t>Filter</t>
  </si>
  <si>
    <t>Flaps</t>
  </si>
  <si>
    <t>AL-KO</t>
  </si>
  <si>
    <t>Outlet</t>
  </si>
  <si>
    <t>Inlet</t>
  </si>
  <si>
    <t>Rockwool</t>
  </si>
  <si>
    <t>C-Steel</t>
  </si>
  <si>
    <t>Volume [m3]</t>
  </si>
  <si>
    <t>Section [m2]</t>
  </si>
  <si>
    <t>Tabs Floor</t>
  </si>
  <si>
    <t>Polyamid</t>
  </si>
  <si>
    <t>Width</t>
  </si>
  <si>
    <t>Length</t>
  </si>
  <si>
    <t>Width [m]</t>
  </si>
  <si>
    <t>Quantity</t>
  </si>
  <si>
    <t>Special</t>
  </si>
  <si>
    <t>R-1234ze</t>
  </si>
  <si>
    <t>Amount</t>
  </si>
  <si>
    <t>Unit</t>
  </si>
  <si>
    <t>kg</t>
  </si>
  <si>
    <t>Heat Exchanger</t>
  </si>
  <si>
    <t>Plate</t>
  </si>
  <si>
    <t>Stainless Steel</t>
  </si>
  <si>
    <t>Steel (P355GH)</t>
  </si>
  <si>
    <t>Seal</t>
  </si>
  <si>
    <t>Nitrile Butadiene Rubber</t>
  </si>
  <si>
    <t>DN 150</t>
  </si>
  <si>
    <t>m</t>
  </si>
  <si>
    <t>Pipes vertical</t>
  </si>
  <si>
    <t>Pipes horizontal</t>
  </si>
  <si>
    <t>Ducts</t>
  </si>
  <si>
    <t>Part</t>
  </si>
  <si>
    <t>Supply Office</t>
  </si>
  <si>
    <t>Extract Office</t>
  </si>
  <si>
    <t>Supply Toilet</t>
  </si>
  <si>
    <t>Extract Toilet</t>
  </si>
  <si>
    <t>Office</t>
  </si>
  <si>
    <t>Vertical</t>
  </si>
  <si>
    <t>Duct</t>
  </si>
  <si>
    <t>S4</t>
  </si>
  <si>
    <t>Schacht</t>
  </si>
  <si>
    <t>Depth</t>
  </si>
  <si>
    <t>DN125</t>
  </si>
  <si>
    <t>S7</t>
  </si>
  <si>
    <t>DN200</t>
  </si>
  <si>
    <t>DN160</t>
  </si>
  <si>
    <t>Thickness</t>
  </si>
  <si>
    <t>O9</t>
  </si>
  <si>
    <t>O3</t>
  </si>
  <si>
    <t>T3</t>
  </si>
  <si>
    <t>T10</t>
  </si>
  <si>
    <t>Heating</t>
  </si>
  <si>
    <t>Pipe</t>
  </si>
  <si>
    <t>Vorlauf</t>
  </si>
  <si>
    <t>DN100</t>
  </si>
  <si>
    <t>Heizungsvorlauf</t>
  </si>
  <si>
    <t>Heizungsrücklauf</t>
  </si>
  <si>
    <t>DN40</t>
  </si>
  <si>
    <t>DN32</t>
  </si>
  <si>
    <t>DN65</t>
  </si>
  <si>
    <t>DN12</t>
  </si>
  <si>
    <t>DN25</t>
  </si>
  <si>
    <t>Betonkern Vorlauf</t>
  </si>
  <si>
    <t>DN80</t>
  </si>
  <si>
    <t>DN50</t>
  </si>
  <si>
    <t>BTK Rücklauf</t>
  </si>
  <si>
    <t>Kälte Vorlauf</t>
  </si>
  <si>
    <t>Kälte Rücklauf</t>
  </si>
  <si>
    <t>UG - Horizontal (to the shaft)</t>
  </si>
  <si>
    <t>Shafts Vertical - Vorlauf</t>
  </si>
  <si>
    <t>DN15</t>
  </si>
  <si>
    <t>DN20</t>
  </si>
  <si>
    <t>Shaft T10</t>
  </si>
  <si>
    <t>Shaft O9</t>
  </si>
  <si>
    <t>Shaft O3</t>
  </si>
  <si>
    <t>Shaft S4</t>
  </si>
  <si>
    <t>Shafts Vertical - Rücklauf</t>
  </si>
  <si>
    <t>EG - Convectors</t>
  </si>
  <si>
    <t>1.45 Katherm</t>
  </si>
  <si>
    <t>Total</t>
  </si>
  <si>
    <t>Shafts Vertical - BTK Vorlauf</t>
  </si>
  <si>
    <t>Shafts Vertical - BTK Rücklauf</t>
  </si>
  <si>
    <t>Shafts Vertical - Kälte Vorlauf</t>
  </si>
  <si>
    <t>Zehnder Excelsior</t>
  </si>
  <si>
    <t>connection to distributor</t>
  </si>
  <si>
    <t>Shaft T3</t>
  </si>
  <si>
    <t>Shafts Vertical - Kälte Rücklauf</t>
  </si>
  <si>
    <t>Shaft R3</t>
  </si>
  <si>
    <t>Shaft W10</t>
  </si>
  <si>
    <t>Shaft W3</t>
  </si>
  <si>
    <t>Rücklauf</t>
  </si>
  <si>
    <t>Dn20</t>
  </si>
  <si>
    <t>Vorlauf (to Convector)</t>
  </si>
  <si>
    <t>Rücklauf (to Convector)</t>
  </si>
  <si>
    <t>to Convector</t>
  </si>
  <si>
    <t>Shaft 09</t>
  </si>
  <si>
    <t>one way</t>
  </si>
  <si>
    <t>Shaft - Conv</t>
  </si>
  <si>
    <t>Vor/Rücklauf</t>
  </si>
  <si>
    <t>included below</t>
  </si>
  <si>
    <t>BKT Vorlauf</t>
  </si>
  <si>
    <t>BKT Rücklauf</t>
  </si>
  <si>
    <t>1.OG</t>
  </si>
  <si>
    <t>2.OG</t>
  </si>
  <si>
    <t>3.OG</t>
  </si>
  <si>
    <t>4.OG</t>
  </si>
  <si>
    <t>60x60</t>
  </si>
  <si>
    <t>84x84</t>
  </si>
  <si>
    <t>Heated area</t>
  </si>
  <si>
    <t>Concrete Core</t>
  </si>
  <si>
    <t>Heating: Pipe Insulation (shaft)</t>
  </si>
  <si>
    <t>Heating: Pipe Insulation (floors)</t>
  </si>
  <si>
    <t>Cooling: Pipe Insulation (shaft+floor)</t>
  </si>
  <si>
    <t>PE foam</t>
  </si>
  <si>
    <t>Armaflex / Kautschuck</t>
  </si>
  <si>
    <t>Alle</t>
  </si>
  <si>
    <t>Heat</t>
  </si>
  <si>
    <t>Cooling</t>
  </si>
  <si>
    <t xml:space="preserve">Total of all pipes together </t>
  </si>
  <si>
    <t>Total of all pipes in shafts</t>
  </si>
  <si>
    <t>Total of all Heating pipes in shafts</t>
  </si>
  <si>
    <t>Total of all cooling pipes in shafts</t>
  </si>
  <si>
    <t>UG Distributor</t>
  </si>
  <si>
    <t>4 Abgänge</t>
  </si>
  <si>
    <t>5 Abgänge</t>
  </si>
  <si>
    <t>2 Abgänge</t>
  </si>
  <si>
    <t>3 Abgänge</t>
  </si>
  <si>
    <t>BKT: heating circuit distributor</t>
  </si>
  <si>
    <t>Zuluftmodul</t>
  </si>
  <si>
    <t>EG - Radiator</t>
  </si>
  <si>
    <t>Cooled area</t>
  </si>
  <si>
    <t>diameter</t>
  </si>
  <si>
    <t>Type</t>
  </si>
  <si>
    <t>Shaft</t>
  </si>
  <si>
    <t>rectangular</t>
  </si>
  <si>
    <t>S7 (assumed since not planned yet)</t>
  </si>
  <si>
    <t>Total Supply Office</t>
  </si>
  <si>
    <t>Total Extract Office</t>
  </si>
  <si>
    <t>Total Supply Toilet</t>
  </si>
  <si>
    <t>Total Extract Toilet</t>
  </si>
  <si>
    <t xml:space="preserve">Total Ducts Vertical </t>
  </si>
  <si>
    <t>Valve</t>
  </si>
  <si>
    <t>Air Inlet / Exhaust valve</t>
  </si>
  <si>
    <t>Inlet valve</t>
  </si>
  <si>
    <t>Extract Valve</t>
  </si>
  <si>
    <t>Horizontal 3.OG</t>
  </si>
  <si>
    <t>Total Ducts Horizontal 3. OG</t>
  </si>
  <si>
    <t>Total Ducts Horizontal RG</t>
  </si>
  <si>
    <t>Total Ducts Horizontal 4.OG</t>
  </si>
  <si>
    <t>Total Ducts  Horizontal all Floors</t>
  </si>
  <si>
    <t>Ducts horizontal</t>
  </si>
  <si>
    <t>Ducts vertical</t>
  </si>
  <si>
    <t>Steel panel</t>
  </si>
  <si>
    <t>Room valve</t>
  </si>
  <si>
    <t>Bathroom</t>
  </si>
  <si>
    <t>Bodenwanne</t>
  </si>
  <si>
    <t>Lochblech</t>
  </si>
  <si>
    <t>Aluminium</t>
  </si>
  <si>
    <t>Roll-up Grille</t>
  </si>
  <si>
    <t xml:space="preserve">High Performance Convector </t>
  </si>
  <si>
    <t>Copper/Aluminium Combination</t>
  </si>
  <si>
    <t>Convector</t>
  </si>
  <si>
    <t>galvanized sheet steel</t>
  </si>
  <si>
    <t>synthetic material</t>
  </si>
  <si>
    <t>EG Convectors</t>
  </si>
  <si>
    <t>Volume</t>
  </si>
  <si>
    <t>Bodenwanne Volume</t>
  </si>
  <si>
    <t>Roll-up Volume</t>
  </si>
  <si>
    <t>Perforated plate Volume</t>
  </si>
  <si>
    <t>no</t>
  </si>
  <si>
    <t>length</t>
  </si>
  <si>
    <t>Height</t>
  </si>
  <si>
    <t>Height [m]</t>
  </si>
  <si>
    <t>width</t>
  </si>
  <si>
    <t>thickness</t>
  </si>
  <si>
    <t>Filter M5</t>
  </si>
  <si>
    <t>Silencer</t>
  </si>
  <si>
    <t>Heater</t>
  </si>
  <si>
    <t>Cooler</t>
  </si>
  <si>
    <t>Ventilator F U</t>
  </si>
  <si>
    <t>Filter F7</t>
  </si>
  <si>
    <t>Anlage 1a</t>
  </si>
  <si>
    <t>Ventilation (on roof)</t>
  </si>
  <si>
    <t>Housing Floor</t>
  </si>
  <si>
    <t>Anlage 1b</t>
  </si>
  <si>
    <t>Anlage 1.1</t>
  </si>
  <si>
    <t>Anlage 2.1</t>
  </si>
  <si>
    <t>Anlage 2.0</t>
  </si>
  <si>
    <t xml:space="preserve">Rotary Heat exchanger </t>
  </si>
  <si>
    <t xml:space="preserve">Counterflow Heat exchanger </t>
  </si>
  <si>
    <t>Supply</t>
  </si>
  <si>
    <t>Anlage 1</t>
  </si>
  <si>
    <t>Extract</t>
  </si>
  <si>
    <t>Anlage 2</t>
  </si>
  <si>
    <t>Housing frame (below)</t>
  </si>
  <si>
    <t>Housing frame (upper)</t>
  </si>
  <si>
    <t>Shell and Tube evaporator</t>
  </si>
  <si>
    <t>Condenser-Modules (air cooled)</t>
  </si>
  <si>
    <t>Triangle</t>
  </si>
  <si>
    <t>Condenserlegs</t>
  </si>
  <si>
    <t>Frame (upper)</t>
  </si>
  <si>
    <t>Frame (lower)</t>
  </si>
  <si>
    <t xml:space="preserve">Roof Ducts </t>
  </si>
  <si>
    <t xml:space="preserve">Ducts Roof </t>
  </si>
  <si>
    <t>kgCO2eq</t>
  </si>
  <si>
    <t>Polyethylene pipi</t>
  </si>
  <si>
    <t>kWh</t>
  </si>
  <si>
    <t>electricity, medium voltage, label-certified</t>
  </si>
  <si>
    <t xml:space="preserve">electricity, medium voltage </t>
  </si>
  <si>
    <t>Nitrile Butadiene Rubber / Kautschuck</t>
  </si>
  <si>
    <t>LCA of Heating</t>
  </si>
  <si>
    <t>Concrete Core Actiation</t>
  </si>
  <si>
    <t>kg/m</t>
  </si>
  <si>
    <t>DN10</t>
  </si>
  <si>
    <t>kg/m3</t>
  </si>
  <si>
    <t>Armaflex</t>
  </si>
  <si>
    <t>EG Convector</t>
  </si>
  <si>
    <t>LCA of Cooling</t>
  </si>
  <si>
    <t>Steel/Aluminium</t>
  </si>
  <si>
    <t>Betriebsgwicht (Total)</t>
  </si>
  <si>
    <t>1000kg</t>
  </si>
  <si>
    <t>Fancoil</t>
  </si>
  <si>
    <t>Steel Panel</t>
  </si>
  <si>
    <t>Volume total [m3]</t>
  </si>
  <si>
    <t>Date/Time</t>
  </si>
  <si>
    <t>Air Temperature</t>
  </si>
  <si>
    <t>Radiant Temperature</t>
  </si>
  <si>
    <t>Operative Temperature</t>
  </si>
  <si>
    <t>Outside Dry-Bulb Temperature</t>
  </si>
  <si>
    <t>°C</t>
  </si>
  <si>
    <t>Room Electricity</t>
  </si>
  <si>
    <t>Lighting</t>
  </si>
  <si>
    <t>System Fans</t>
  </si>
  <si>
    <t>System Pumps</t>
  </si>
  <si>
    <t>Heating (Other fuels)</t>
  </si>
  <si>
    <t>Cooling (Electricity)</t>
  </si>
  <si>
    <t>steel</t>
  </si>
  <si>
    <t>Ventilation</t>
  </si>
  <si>
    <t>BF5 - 1a - Büro - LV</t>
  </si>
  <si>
    <t>BF5 -2.1 WC Ost-1</t>
  </si>
  <si>
    <t>BF5 - 2.0 Büro Ost - 1</t>
  </si>
  <si>
    <t>BF5 - 1.1 Nebenräume</t>
  </si>
  <si>
    <t>BF5 - 1b Büro</t>
  </si>
  <si>
    <t>Heating: Pipes</t>
  </si>
  <si>
    <t>Cooling: Pipes</t>
  </si>
  <si>
    <t xml:space="preserve">Total of all HEATING pipes together </t>
  </si>
  <si>
    <t xml:space="preserve">Total of all COOLING pipes together </t>
  </si>
  <si>
    <t>EG Horizontal, Heating with Convectors</t>
  </si>
  <si>
    <t>from Shafts Horizontal</t>
  </si>
  <si>
    <t>Steel (Pipes)</t>
  </si>
  <si>
    <t>Cooling: Insulation Pipes</t>
  </si>
  <si>
    <t>Heating: Pipe Insulation</t>
  </si>
  <si>
    <t>Cooling: Pipe Insulation</t>
  </si>
  <si>
    <t>embodied emissions</t>
  </si>
  <si>
    <t xml:space="preserve">LCA </t>
  </si>
  <si>
    <t>452205,9</t>
  </si>
  <si>
    <t>653535,6</t>
  </si>
  <si>
    <t>Ventilation (Electricity)</t>
  </si>
  <si>
    <t>526,6388</t>
  </si>
  <si>
    <t>Building Systems GWP</t>
  </si>
  <si>
    <t>Copper/Aluminium</t>
  </si>
  <si>
    <t xml:space="preserve">Cooling </t>
  </si>
  <si>
    <t>Materials Building Systems kg</t>
  </si>
  <si>
    <t>Heating 21/Cooling 26</t>
  </si>
  <si>
    <t>Heating (Electricity)</t>
  </si>
  <si>
    <t>Relative Humidity</t>
  </si>
  <si>
    <t>Fanger PMV</t>
  </si>
  <si>
    <t>Fanger PPD</t>
  </si>
  <si>
    <t>Discomfort hrs (all clothing)</t>
  </si>
  <si>
    <t>%</t>
  </si>
  <si>
    <t>hrs</t>
  </si>
  <si>
    <t>fossil energy</t>
  </si>
  <si>
    <t>green energy mix</t>
  </si>
  <si>
    <t>Operational Energy in kWh</t>
  </si>
  <si>
    <t xml:space="preserve">GWP of Operational Energy in kgCO2eq </t>
  </si>
  <si>
    <t xml:space="preserve">Heating </t>
  </si>
  <si>
    <t>Heating
(District Heating)</t>
  </si>
  <si>
    <t>Cooling 
(Electricity)</t>
  </si>
  <si>
    <t>Ventilation 
(Electricity)</t>
  </si>
  <si>
    <t>operational emissions (fossil)</t>
  </si>
  <si>
    <t>operational emissions (green)</t>
  </si>
  <si>
    <t>CO2 Timeline</t>
  </si>
  <si>
    <t>Embodied energy</t>
  </si>
  <si>
    <t>Operational (District Heating)</t>
  </si>
  <si>
    <t>Operational (Electricity)</t>
  </si>
  <si>
    <t>fossil</t>
  </si>
  <si>
    <t>kgCO2eq - kg</t>
  </si>
  <si>
    <t>Pipe Distance</t>
  </si>
  <si>
    <t>electricity (fossil)</t>
  </si>
  <si>
    <t>electricity (green)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</si>
</sst>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rgb="FFEFEFEF"/>
      </patternFill>
    </fill>
    <fill>
      <patternFill patternType="solid">
        <fgColor theme="7" tint="0.59999389629810485"/>
        <bgColor rgb="FFFFCCFF"/>
      </patternFill>
    </fill>
    <fill>
      <patternFill patternType="solid">
        <fgColor rgb="FFEDEDED"/>
        <bgColor rgb="FFEFEFE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EFEFE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1" fillId="0" borderId="0" applyNumberFormat="0" applyFill="0" applyBorder="0" applyAlignment="0" applyProtection="0"/>
  </cellStyleXfs>
  <cellXfs count="56">
    <xf numFmtId="0" fontId="0" fillId="0" borderId="0" xfId="0"/>
    <xf numFmtId="0" fontId="3" fillId="0" borderId="0" xfId="1" applyFont="1"/>
    <xf numFmtId="0" fontId="4" fillId="2" borderId="0" xfId="1" applyFont="1" applyFill="1"/>
    <xf numFmtId="0" fontId="5" fillId="3" borderId="0" xfId="1" applyFont="1" applyFill="1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3" fillId="0" borderId="0" xfId="1" applyNumberFormat="1" applyFont="1"/>
    <xf numFmtId="164" fontId="0" fillId="0" borderId="0" xfId="0" applyNumberFormat="1"/>
    <xf numFmtId="164" fontId="4" fillId="2" borderId="0" xfId="1" applyNumberFormat="1" applyFont="1" applyFill="1"/>
    <xf numFmtId="0" fontId="8" fillId="4" borderId="0" xfId="0" applyFont="1" applyFill="1"/>
    <xf numFmtId="0" fontId="8" fillId="0" borderId="0" xfId="0" applyFont="1"/>
    <xf numFmtId="0" fontId="0" fillId="5" borderId="0" xfId="0" applyFill="1"/>
    <xf numFmtId="0" fontId="3" fillId="2" borderId="0" xfId="1" applyFont="1" applyFill="1"/>
    <xf numFmtId="0" fontId="10" fillId="4" borderId="0" xfId="0" applyFont="1" applyFill="1"/>
    <xf numFmtId="2" fontId="0" fillId="0" borderId="0" xfId="0" applyNumberFormat="1"/>
    <xf numFmtId="0" fontId="1" fillId="5" borderId="0" xfId="0" applyFont="1" applyFill="1"/>
    <xf numFmtId="164" fontId="0" fillId="5" borderId="0" xfId="0" applyNumberFormat="1" applyFill="1"/>
    <xf numFmtId="2" fontId="0" fillId="5" borderId="0" xfId="0" applyNumberFormat="1" applyFill="1"/>
    <xf numFmtId="2" fontId="3" fillId="2" borderId="0" xfId="1" applyNumberFormat="1" applyFont="1" applyFill="1"/>
    <xf numFmtId="164" fontId="3" fillId="2" borderId="0" xfId="1" applyNumberFormat="1" applyFont="1" applyFill="1"/>
    <xf numFmtId="0" fontId="0" fillId="6" borderId="0" xfId="0" applyFill="1"/>
    <xf numFmtId="0" fontId="10" fillId="7" borderId="0" xfId="0" applyFont="1" applyFill="1"/>
    <xf numFmtId="0" fontId="1" fillId="6" borderId="0" xfId="0" applyFont="1" applyFill="1"/>
    <xf numFmtId="0" fontId="3" fillId="7" borderId="0" xfId="1" applyFont="1" applyFill="1"/>
    <xf numFmtId="0" fontId="4" fillId="7" borderId="0" xfId="1" applyFont="1" applyFill="1"/>
    <xf numFmtId="0" fontId="0" fillId="8" borderId="0" xfId="0" applyFill="1"/>
    <xf numFmtId="2" fontId="0" fillId="8" borderId="0" xfId="0" applyNumberFormat="1" applyFill="1"/>
    <xf numFmtId="0" fontId="0" fillId="9" borderId="0" xfId="0" applyFill="1"/>
    <xf numFmtId="0" fontId="2" fillId="5" borderId="0" xfId="1" applyFill="1"/>
    <xf numFmtId="0" fontId="11" fillId="0" borderId="0" xfId="2"/>
    <xf numFmtId="0" fontId="1" fillId="0" borderId="1" xfId="0" applyFont="1" applyBorder="1"/>
    <xf numFmtId="0" fontId="8" fillId="4" borderId="1" xfId="0" applyFont="1" applyFill="1" applyBorder="1"/>
    <xf numFmtId="0" fontId="5" fillId="3" borderId="1" xfId="1" applyFont="1" applyFill="1" applyBorder="1"/>
    <xf numFmtId="164" fontId="0" fillId="0" borderId="1" xfId="0" applyNumberFormat="1" applyBorder="1"/>
    <xf numFmtId="164" fontId="4" fillId="2" borderId="1" xfId="1" applyNumberFormat="1" applyFont="1" applyFill="1" applyBorder="1"/>
    <xf numFmtId="0" fontId="0" fillId="0" borderId="1" xfId="0" applyBorder="1"/>
    <xf numFmtId="2" fontId="0" fillId="0" borderId="1" xfId="0" applyNumberFormat="1" applyBorder="1"/>
    <xf numFmtId="0" fontId="4" fillId="2" borderId="1" xfId="1" applyFont="1" applyFill="1" applyBorder="1"/>
    <xf numFmtId="164" fontId="4" fillId="2" borderId="2" xfId="1" applyNumberFormat="1" applyFont="1" applyFill="1" applyBorder="1"/>
    <xf numFmtId="164" fontId="1" fillId="0" borderId="0" xfId="0" applyNumberFormat="1" applyFont="1"/>
    <xf numFmtId="2" fontId="1" fillId="0" borderId="0" xfId="0" applyNumberFormat="1" applyFont="1"/>
    <xf numFmtId="0" fontId="5" fillId="3" borderId="2" xfId="1" applyFont="1" applyFill="1" applyBorder="1"/>
    <xf numFmtId="0" fontId="0" fillId="0" borderId="2" xfId="0" applyBorder="1"/>
    <xf numFmtId="164" fontId="1" fillId="5" borderId="0" xfId="0" applyNumberFormat="1" applyFont="1" applyFill="1"/>
    <xf numFmtId="164" fontId="0" fillId="0" borderId="2" xfId="0" applyNumberFormat="1" applyBorder="1"/>
    <xf numFmtId="14" fontId="0" fillId="0" borderId="0" xfId="0" applyNumberFormat="1"/>
    <xf numFmtId="0" fontId="0" fillId="0" borderId="2" xfId="0" applyBorder="1" applyAlignment="1">
      <alignment horizontal="left" vertical="center"/>
    </xf>
    <xf numFmtId="164" fontId="5" fillId="3" borderId="1" xfId="1" applyNumberFormat="1" applyFont="1" applyFill="1" applyBorder="1"/>
    <xf numFmtId="11" fontId="0" fillId="0" borderId="0" xfId="0" applyNumberFormat="1"/>
    <xf numFmtId="21" fontId="0" fillId="0" borderId="0" xfId="0" applyNumberFormat="1"/>
    <xf numFmtId="0" fontId="0" fillId="10" borderId="0" xfId="0" applyFill="1"/>
    <xf numFmtId="14" fontId="1" fillId="11" borderId="0" xfId="0" applyNumberFormat="1" applyFont="1" applyFill="1"/>
    <xf numFmtId="0" fontId="1" fillId="11" borderId="0" xfId="0" applyFont="1" applyFill="1"/>
    <xf numFmtId="0" fontId="0" fillId="0" borderId="0" xfId="0" applyAlignment="1">
      <alignment wrapText="1"/>
    </xf>
    <xf numFmtId="2" fontId="0" fillId="12" borderId="0" xfId="0" applyNumberFormat="1" applyFill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817562"/>
      <color rgb="FFE07365"/>
      <color rgb="FFBDD3E3"/>
      <color rgb="FFE07667"/>
      <color rgb="FF84745F"/>
      <color rgb="FFB4948C"/>
      <color rgb="FFEEDB8F"/>
      <color rgb="FFD8A929"/>
      <color rgb="FF9B8D77"/>
      <color rgb="FF9077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de-DE" sz="1600">
                <a:latin typeface="+mj-lt"/>
              </a:rPr>
              <a:t>embodied carbon (ecoinvent)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'LCA '!$A$8</c:f>
              <c:strCache>
                <c:ptCount val="1"/>
                <c:pt idx="0">
                  <c:v>Concrete Core Actiation</c:v>
                </c:pt>
              </c:strCache>
            </c:strRef>
          </c:tx>
          <c:spPr>
            <a:solidFill>
              <a:srgbClr val="E07365"/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'!$B$8:$D$8</c:f>
              <c:numCache>
                <c:formatCode>General</c:formatCode>
                <c:ptCount val="3"/>
                <c:pt idx="0" formatCode="0.00">
                  <c:v>21787.351868943999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E-7645-8F42-95728748697B}"/>
            </c:ext>
          </c:extLst>
        </c:ser>
        <c:ser>
          <c:idx val="1"/>
          <c:order val="1"/>
          <c:tx>
            <c:strRef>
              <c:f>'LCA '!$A$9</c:f>
              <c:strCache>
                <c:ptCount val="1"/>
                <c:pt idx="0">
                  <c:v>Heating: Pipes</c:v>
                </c:pt>
              </c:strCache>
            </c:strRef>
          </c:tx>
          <c:spPr>
            <a:solidFill>
              <a:srgbClr val="E07365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'!$B$9:$D$9</c:f>
              <c:numCache>
                <c:formatCode>General</c:formatCode>
                <c:ptCount val="3"/>
                <c:pt idx="0" formatCode="0.00">
                  <c:v>22534.698095720003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E-7645-8F42-95728748697B}"/>
            </c:ext>
          </c:extLst>
        </c:ser>
        <c:ser>
          <c:idx val="2"/>
          <c:order val="2"/>
          <c:tx>
            <c:strRef>
              <c:f>'LCA '!$A$10</c:f>
              <c:strCache>
                <c:ptCount val="1"/>
                <c:pt idx="0">
                  <c:v>Heating: Pipe Insulation</c:v>
                </c:pt>
              </c:strCache>
            </c:strRef>
          </c:tx>
          <c:spPr>
            <a:solidFill>
              <a:srgbClr val="E07365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'!$B$10:$D$10</c:f>
              <c:numCache>
                <c:formatCode>General</c:formatCode>
                <c:ptCount val="3"/>
                <c:pt idx="0" formatCode="0.00">
                  <c:v>450.2747160585908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CE-7645-8F42-95728748697B}"/>
            </c:ext>
          </c:extLst>
        </c:ser>
        <c:ser>
          <c:idx val="3"/>
          <c:order val="3"/>
          <c:tx>
            <c:strRef>
              <c:f>'LCA '!$A$11</c:f>
              <c:strCache>
                <c:ptCount val="1"/>
                <c:pt idx="0">
                  <c:v>Convector</c:v>
                </c:pt>
              </c:strCache>
            </c:strRef>
          </c:tx>
          <c:spPr>
            <a:solidFill>
              <a:srgbClr val="E07365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'!$B$11:$D$11</c:f>
              <c:numCache>
                <c:formatCode>0.00</c:formatCode>
                <c:ptCount val="3"/>
                <c:pt idx="0">
                  <c:v>32294.408464164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CE-7645-8F42-95728748697B}"/>
            </c:ext>
          </c:extLst>
        </c:ser>
        <c:ser>
          <c:idx val="4"/>
          <c:order val="4"/>
          <c:tx>
            <c:strRef>
              <c:f>'LCA '!$A$12</c:f>
              <c:strCache>
                <c:ptCount val="1"/>
                <c:pt idx="0">
                  <c:v>Air Chiller</c:v>
                </c:pt>
              </c:strCache>
            </c:strRef>
          </c:tx>
          <c:spPr>
            <a:solidFill>
              <a:srgbClr val="39636E"/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'!$B$12:$D$12</c:f>
              <c:numCache>
                <c:formatCode>0.00</c:formatCode>
                <c:ptCount val="3"/>
                <c:pt idx="1">
                  <c:v>11491.611881199999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CE-7645-8F42-95728748697B}"/>
            </c:ext>
          </c:extLst>
        </c:ser>
        <c:ser>
          <c:idx val="5"/>
          <c:order val="5"/>
          <c:tx>
            <c:strRef>
              <c:f>'LCA '!$A$13</c:f>
              <c:strCache>
                <c:ptCount val="1"/>
                <c:pt idx="0">
                  <c:v>Cooling: Pipes</c:v>
                </c:pt>
              </c:strCache>
            </c:strRef>
          </c:tx>
          <c:spPr>
            <a:solidFill>
              <a:srgbClr val="39636E">
                <a:alpha val="80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'!$B$13:$D$13</c:f>
              <c:numCache>
                <c:formatCode>0.00</c:formatCode>
                <c:ptCount val="3"/>
                <c:pt idx="1">
                  <c:v>10667.291581759999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CE-7645-8F42-95728748697B}"/>
            </c:ext>
          </c:extLst>
        </c:ser>
        <c:ser>
          <c:idx val="6"/>
          <c:order val="6"/>
          <c:tx>
            <c:strRef>
              <c:f>'LCA '!$A$14</c:f>
              <c:strCache>
                <c:ptCount val="1"/>
                <c:pt idx="0">
                  <c:v>Cooling: Pipe Insulation</c:v>
                </c:pt>
              </c:strCache>
            </c:strRef>
          </c:tx>
          <c:spPr>
            <a:solidFill>
              <a:srgbClr val="528FA0"/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'!$B$14:$D$14</c:f>
              <c:numCache>
                <c:formatCode>0.00</c:formatCode>
                <c:ptCount val="3"/>
                <c:pt idx="1">
                  <c:v>724.45119715687338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CE-7645-8F42-95728748697B}"/>
            </c:ext>
          </c:extLst>
        </c:ser>
        <c:ser>
          <c:idx val="7"/>
          <c:order val="7"/>
          <c:tx>
            <c:strRef>
              <c:f>'LCA '!$A$15</c:f>
              <c:strCache>
                <c:ptCount val="1"/>
                <c:pt idx="0">
                  <c:v>Heat Exchanger</c:v>
                </c:pt>
              </c:strCache>
            </c:strRef>
          </c:tx>
          <c:spPr>
            <a:solidFill>
              <a:srgbClr val="528FA0">
                <a:alpha val="90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'!$B$15:$D$15</c:f>
              <c:numCache>
                <c:formatCode>0.00</c:formatCode>
                <c:ptCount val="3"/>
                <c:pt idx="1">
                  <c:v>1442.0783999999999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CE-7645-8F42-95728748697B}"/>
            </c:ext>
          </c:extLst>
        </c:ser>
        <c:ser>
          <c:idx val="8"/>
          <c:order val="8"/>
          <c:tx>
            <c:strRef>
              <c:f>'LCA '!$A$16</c:f>
              <c:strCache>
                <c:ptCount val="1"/>
                <c:pt idx="0">
                  <c:v>Fancoil</c:v>
                </c:pt>
              </c:strCache>
            </c:strRef>
          </c:tx>
          <c:spPr>
            <a:solidFill>
              <a:srgbClr val="BDD3E3"/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'!$B$16:$D$16</c:f>
              <c:numCache>
                <c:formatCode>0.00</c:formatCode>
                <c:ptCount val="3"/>
                <c:pt idx="1">
                  <c:v>3212.2943999999998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CE-7645-8F42-95728748697B}"/>
            </c:ext>
          </c:extLst>
        </c:ser>
        <c:ser>
          <c:idx val="9"/>
          <c:order val="9"/>
          <c:tx>
            <c:strRef>
              <c:f>'LCA '!$A$17</c:f>
              <c:strCache>
                <c:ptCount val="1"/>
                <c:pt idx="0">
                  <c:v>AL-KO</c:v>
                </c:pt>
              </c:strCache>
            </c:strRef>
          </c:tx>
          <c:spPr>
            <a:solidFill>
              <a:srgbClr val="9AA190"/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'!$B$17:$D$17</c:f>
              <c:numCache>
                <c:formatCode>General</c:formatCode>
                <c:ptCount val="3"/>
                <c:pt idx="2">
                  <c:v>52117.749599999996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CE-7645-8F42-95728748697B}"/>
            </c:ext>
          </c:extLst>
        </c:ser>
        <c:ser>
          <c:idx val="10"/>
          <c:order val="10"/>
          <c:tx>
            <c:strRef>
              <c:f>'LCA '!$A$18</c:f>
              <c:strCache>
                <c:ptCount val="1"/>
                <c:pt idx="0">
                  <c:v>Ducts</c:v>
                </c:pt>
              </c:strCache>
            </c:strRef>
          </c:tx>
          <c:spPr>
            <a:solidFill>
              <a:srgbClr val="9AA190">
                <a:alpha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'!$B$18:$D$18</c:f>
              <c:numCache>
                <c:formatCode>General</c:formatCode>
                <c:ptCount val="3"/>
                <c:pt idx="2">
                  <c:v>35621.846995563312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CE-7645-8F42-95728748697B}"/>
            </c:ext>
          </c:extLst>
        </c:ser>
        <c:ser>
          <c:idx val="11"/>
          <c:order val="11"/>
          <c:tx>
            <c:strRef>
              <c:f>'LCA '!$A$19</c:f>
              <c:strCache>
                <c:ptCount val="1"/>
                <c:pt idx="0">
                  <c:v>Valve</c:v>
                </c:pt>
              </c:strCache>
            </c:strRef>
          </c:tx>
          <c:spPr>
            <a:solidFill>
              <a:srgbClr val="A1A997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'!$B$7:$D$7</c:f>
              <c:strCache>
                <c:ptCount val="3"/>
                <c:pt idx="0">
                  <c:v>Heating</c:v>
                </c:pt>
                <c:pt idx="1">
                  <c:v>Cooling</c:v>
                </c:pt>
                <c:pt idx="2">
                  <c:v>Ventilation</c:v>
                </c:pt>
              </c:strCache>
            </c:strRef>
          </c:cat>
          <c:val>
            <c:numRef>
              <c:f>'LCA '!$B$19:$D$19</c:f>
              <c:numCache>
                <c:formatCode>General</c:formatCode>
                <c:ptCount val="3"/>
                <c:pt idx="2">
                  <c:v>7833.8772161399993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FCE-7645-8F42-957287486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4"/>
        <c:overlap val="100"/>
        <c:axId val="2134460399"/>
        <c:axId val="2123390367"/>
      </c:barChart>
      <c:catAx>
        <c:axId val="213446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90367"/>
        <c:crosses val="autoZero"/>
        <c:auto val="1"/>
        <c:lblAlgn val="ctr"/>
        <c:lblOffset val="100"/>
        <c:noMultiLvlLbl val="0"/>
      </c:catAx>
      <c:valAx>
        <c:axId val="2123390367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/>
                  <a:t>kgCO</a:t>
                </a:r>
                <a:r>
                  <a:rPr lang="de-DE" sz="1100" baseline="-25000"/>
                  <a:t>2</a:t>
                </a:r>
                <a:r>
                  <a:rPr lang="de-DE" sz="1100"/>
                  <a:t>eq</a:t>
                </a:r>
              </a:p>
            </c:rich>
          </c:tx>
          <c:layout>
            <c:manualLayout>
              <c:xMode val="edge"/>
              <c:yMode val="edge"/>
              <c:x val="2.4214550914335307E-2"/>
              <c:y val="0.42035719326068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46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02598566308241"/>
          <c:y val="9.6952819921899983E-2"/>
          <c:w val="0.25553315412186378"/>
          <c:h val="0.82857371487100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1600">
                <a:latin typeface="+mj-lt"/>
              </a:rPr>
              <a:t>annual</a:t>
            </a:r>
            <a:r>
              <a:rPr lang="en-US" sz="1600" baseline="0">
                <a:latin typeface="+mj-lt"/>
              </a:rPr>
              <a:t> energy consumption</a:t>
            </a:r>
            <a:endParaRPr lang="en-US" sz="160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'LCA '!$B$49</c:f>
              <c:strCache>
                <c:ptCount val="1"/>
                <c:pt idx="0">
                  <c:v>District Heating</c:v>
                </c:pt>
              </c:strCache>
            </c:strRef>
          </c:tx>
          <c:spPr>
            <a:solidFill>
              <a:srgbClr val="E0766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0766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91C-5F4C-A671-2B8F817EBC9E}"/>
              </c:ext>
            </c:extLst>
          </c:dPt>
          <c:cat>
            <c:strRef>
              <c:f>'LCA '!$A$50:$A$52</c:f>
              <c:strCache>
                <c:ptCount val="3"/>
                <c:pt idx="0">
                  <c:v>Heating 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'!$B$50:$B$52</c:f>
              <c:numCache>
                <c:formatCode>General</c:formatCode>
                <c:ptCount val="3"/>
                <c:pt idx="0" formatCode="0.00">
                  <c:v>687360.95172799996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1C-5F4C-A671-2B8F817EBC9E}"/>
            </c:ext>
          </c:extLst>
        </c:ser>
        <c:ser>
          <c:idx val="1"/>
          <c:order val="1"/>
          <c:tx>
            <c:strRef>
              <c:f>'LCA '!$C$49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84745F">
                <a:alpha val="70000"/>
              </a:srgb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84745F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45-AB4B-9125-E554C67A05A5}"/>
              </c:ext>
            </c:extLst>
          </c:dPt>
          <c:dPt>
            <c:idx val="2"/>
            <c:invertIfNegative val="0"/>
            <c:bubble3D val="0"/>
            <c:spPr>
              <a:solidFill>
                <a:srgbClr val="84745F">
                  <a:alpha val="7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45-AB4B-9125-E554C67A05A5}"/>
              </c:ext>
            </c:extLst>
          </c:dPt>
          <c:cat>
            <c:strRef>
              <c:f>'LCA '!$A$50:$A$52</c:f>
              <c:strCache>
                <c:ptCount val="3"/>
                <c:pt idx="0">
                  <c:v>Heating 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'!$C$50:$C$52</c:f>
              <c:numCache>
                <c:formatCode>0.00</c:formatCode>
                <c:ptCount val="3"/>
                <c:pt idx="1">
                  <c:v>565204.04</c:v>
                </c:pt>
                <c:pt idx="2">
                  <c:v>883817.98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3A-6947-9FFD-C7C521BBA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4"/>
        <c:overlap val="100"/>
        <c:axId val="317624464"/>
        <c:axId val="175501072"/>
      </c:barChart>
      <c:catAx>
        <c:axId val="31762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01072"/>
        <c:crosses val="autoZero"/>
        <c:auto val="1"/>
        <c:lblAlgn val="ctr"/>
        <c:lblOffset val="100"/>
        <c:noMultiLvlLbl val="0"/>
      </c:catAx>
      <c:valAx>
        <c:axId val="175501072"/>
        <c:scaling>
          <c:orientation val="minMax"/>
          <c:max val="9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kWh/a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24464"/>
        <c:crosses val="autoZero"/>
        <c:crossBetween val="between"/>
        <c:min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de-DE" sz="1600">
                <a:latin typeface="+mj-lt"/>
              </a:rPr>
              <a:t>building systems weight (ecoinvent)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'LCA '!$A$24</c:f>
              <c:strCache>
                <c:ptCount val="1"/>
                <c:pt idx="0">
                  <c:v>C-Steel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'!$B$24:$D$24</c:f>
              <c:numCache>
                <c:formatCode>General</c:formatCode>
                <c:ptCount val="3"/>
                <c:pt idx="0">
                  <c:v>4848.0718289440001</c:v>
                </c:pt>
                <c:pt idx="1">
                  <c:v>3139.89336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7-1C40-9357-AD4760A40924}"/>
            </c:ext>
          </c:extLst>
        </c:ser>
        <c:ser>
          <c:idx val="1"/>
          <c:order val="1"/>
          <c:tx>
            <c:strRef>
              <c:f>'LCA '!$A$25</c:f>
              <c:strCache>
                <c:ptCount val="1"/>
                <c:pt idx="0">
                  <c:v>Steel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'!$B$25:$D$25</c:f>
              <c:numCache>
                <c:formatCode>General</c:formatCode>
                <c:ptCount val="3"/>
                <c:pt idx="0">
                  <c:v>1638.9059999999999</c:v>
                </c:pt>
                <c:pt idx="1">
                  <c:v>7621</c:v>
                </c:pt>
                <c:pt idx="2">
                  <c:v>43828.170921791425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47-1C40-9357-AD4760A40924}"/>
            </c:ext>
          </c:extLst>
        </c:ser>
        <c:ser>
          <c:idx val="2"/>
          <c:order val="2"/>
          <c:tx>
            <c:strRef>
              <c:f>'LCA '!$A$26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rgbClr val="B4948C"/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'!$B$26:$D$26</c:f>
              <c:numCache>
                <c:formatCode>General</c:formatCode>
                <c:ptCount val="3"/>
                <c:pt idx="0">
                  <c:v>85.293000000000006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47-1C40-9357-AD4760A40924}"/>
            </c:ext>
          </c:extLst>
        </c:ser>
        <c:ser>
          <c:idx val="3"/>
          <c:order val="3"/>
          <c:tx>
            <c:strRef>
              <c:f>'LCA '!$A$27</c:f>
              <c:strCache>
                <c:ptCount val="1"/>
                <c:pt idx="0">
                  <c:v>Copper/Aluminium</c:v>
                </c:pt>
              </c:strCache>
            </c:strRef>
          </c:tx>
          <c:spPr>
            <a:solidFill>
              <a:srgbClr val="B76436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'!$B$27:$D$27</c:f>
              <c:numCache>
                <c:formatCode>General</c:formatCode>
                <c:ptCount val="3"/>
                <c:pt idx="0">
                  <c:v>2697.52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47-1C40-9357-AD4760A40924}"/>
            </c:ext>
          </c:extLst>
        </c:ser>
        <c:ser>
          <c:idx val="4"/>
          <c:order val="4"/>
          <c:tx>
            <c:strRef>
              <c:f>'LCA '!$A$28</c:f>
              <c:strCache>
                <c:ptCount val="1"/>
                <c:pt idx="0">
                  <c:v>Rockwool</c:v>
                </c:pt>
              </c:strCache>
            </c:strRef>
          </c:tx>
          <c:spPr>
            <a:solidFill>
              <a:srgbClr val="EEDB8F"/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'!$B$28:$D$28</c:f>
              <c:numCache>
                <c:formatCode>General</c:formatCode>
                <c:ptCount val="3"/>
                <c:pt idx="0">
                  <c:v>219.52274067811507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47-1C40-9357-AD4760A40924}"/>
            </c:ext>
          </c:extLst>
        </c:ser>
        <c:ser>
          <c:idx val="5"/>
          <c:order val="5"/>
          <c:tx>
            <c:strRef>
              <c:f>'LCA '!$A$29</c:f>
              <c:strCache>
                <c:ptCount val="1"/>
                <c:pt idx="0">
                  <c:v>PE foam</c:v>
                </c:pt>
              </c:strCache>
            </c:strRef>
          </c:tx>
          <c:spPr>
            <a:solidFill>
              <a:srgbClr val="EEDB8F"/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'!$B$29:$D$29</c:f>
              <c:numCache>
                <c:formatCode>General</c:formatCode>
                <c:ptCount val="3"/>
                <c:pt idx="0">
                  <c:v>54.39714710825367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47-1C40-9357-AD4760A40924}"/>
            </c:ext>
          </c:extLst>
        </c:ser>
        <c:ser>
          <c:idx val="6"/>
          <c:order val="6"/>
          <c:tx>
            <c:strRef>
              <c:f>'LCA '!$A$30</c:f>
              <c:strCache>
                <c:ptCount val="1"/>
                <c:pt idx="0">
                  <c:v>Armaflex</c:v>
                </c:pt>
              </c:strCache>
            </c:strRef>
          </c:tx>
          <c:spPr>
            <a:solidFill>
              <a:srgbClr val="EEDB8F"/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'!$B$30:$D$30</c:f>
              <c:numCache>
                <c:formatCode>General</c:formatCode>
                <c:ptCount val="3"/>
                <c:pt idx="1">
                  <c:v>259.38102297059555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47-1C40-9357-AD4760A40924}"/>
            </c:ext>
          </c:extLst>
        </c:ser>
        <c:ser>
          <c:idx val="7"/>
          <c:order val="7"/>
          <c:tx>
            <c:strRef>
              <c:f>'LCA '!$A$31</c:f>
              <c:strCache>
                <c:ptCount val="1"/>
                <c:pt idx="0">
                  <c:v>Polyethylene</c:v>
                </c:pt>
              </c:strCache>
            </c:strRef>
          </c:tx>
          <c:spPr>
            <a:solidFill>
              <a:srgbClr val="B3C0AA"/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'!$B$31:$D$31</c:f>
              <c:numCache>
                <c:formatCode>General</c:formatCode>
                <c:ptCount val="3"/>
                <c:pt idx="0">
                  <c:v>6790.4000000000005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47-1C40-9357-AD4760A40924}"/>
            </c:ext>
          </c:extLst>
        </c:ser>
        <c:ser>
          <c:idx val="8"/>
          <c:order val="8"/>
          <c:tx>
            <c:strRef>
              <c:f>'LCA '!$A$32</c:f>
              <c:strCache>
                <c:ptCount val="1"/>
                <c:pt idx="0">
                  <c:v>Polyamid</c:v>
                </c:pt>
              </c:strCache>
            </c:strRef>
          </c:tx>
          <c:spPr>
            <a:solidFill>
              <a:srgbClr val="B3C0AA"/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'!$B$32:$D$32</c:f>
              <c:numCache>
                <c:formatCode>General</c:formatCode>
                <c:ptCount val="3"/>
                <c:pt idx="0">
                  <c:v>5.8892400000000009</c:v>
                </c:pt>
                <c:pt idx="2">
                  <c:v>112.2034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47-1C40-9357-AD4760A40924}"/>
            </c:ext>
          </c:extLst>
        </c:ser>
        <c:ser>
          <c:idx val="9"/>
          <c:order val="9"/>
          <c:tx>
            <c:strRef>
              <c:f>'LCA '!$A$33</c:f>
              <c:strCache>
                <c:ptCount val="1"/>
                <c:pt idx="0">
                  <c:v>Refrigerant</c:v>
                </c:pt>
              </c:strCache>
            </c:strRef>
          </c:tx>
          <c:spPr>
            <a:solidFill>
              <a:srgbClr val="4E8997">
                <a:alpha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'!$B$23:$D$23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'!$B$33:$D$33</c:f>
              <c:numCache>
                <c:formatCode>General</c:formatCode>
                <c:ptCount val="3"/>
                <c:pt idx="1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47-1C40-9357-AD4760A40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3686048"/>
        <c:axId val="1676942048"/>
      </c:barChart>
      <c:catAx>
        <c:axId val="177368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942048"/>
        <c:crosses val="autoZero"/>
        <c:auto val="1"/>
        <c:lblAlgn val="ctr"/>
        <c:lblOffset val="100"/>
        <c:noMultiLvlLbl val="0"/>
      </c:catAx>
      <c:valAx>
        <c:axId val="1676942048"/>
        <c:scaling>
          <c:orientation val="minMax"/>
          <c:max val="4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/>
                  <a:t>Systems weight in kg</a:t>
                </a:r>
              </a:p>
            </c:rich>
          </c:tx>
          <c:layout>
            <c:manualLayout>
              <c:xMode val="edge"/>
              <c:yMode val="edge"/>
              <c:x val="1.7975521091071669E-2"/>
              <c:y val="0.333233119623703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68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de-DE" sz="1600">
                <a:latin typeface="+mj-lt"/>
              </a:rPr>
              <a:t>building</a:t>
            </a:r>
            <a:r>
              <a:rPr lang="de-DE" sz="1600" baseline="0">
                <a:latin typeface="+mj-lt"/>
              </a:rPr>
              <a:t> systems m</a:t>
            </a:r>
            <a:r>
              <a:rPr lang="de-DE" sz="1600">
                <a:latin typeface="+mj-lt"/>
              </a:rPr>
              <a:t>aterials GWP (ecoinvent)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'LCA '!$G$24</c:f>
              <c:strCache>
                <c:ptCount val="1"/>
                <c:pt idx="0">
                  <c:v>C-Steel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'!$H$24:$J$24</c:f>
              <c:numCache>
                <c:formatCode>0.00</c:formatCode>
                <c:ptCount val="3"/>
                <c:pt idx="0">
                  <c:v>22534.698095720003</c:v>
                </c:pt>
                <c:pt idx="1">
                  <c:v>16047.994962959998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B-C247-8D05-506FB5DD2DC6}"/>
            </c:ext>
          </c:extLst>
        </c:ser>
        <c:ser>
          <c:idx val="1"/>
          <c:order val="1"/>
          <c:tx>
            <c:strRef>
              <c:f>'LCA '!$G$25</c:f>
              <c:strCache>
                <c:ptCount val="1"/>
                <c:pt idx="0">
                  <c:v>Steel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'!$H$25:$J$25</c:f>
              <c:numCache>
                <c:formatCode>0.00</c:formatCode>
                <c:ptCount val="3"/>
                <c:pt idx="0" formatCode="General">
                  <c:v>8335.7790587999989</c:v>
                </c:pt>
                <c:pt idx="1">
                  <c:v>6451.8112999999994</c:v>
                </c:pt>
                <c:pt idx="2" formatCode="General">
                  <c:v>94616.255385963319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B-C247-8D05-506FB5DD2DC6}"/>
            </c:ext>
          </c:extLst>
        </c:ser>
        <c:ser>
          <c:idx val="2"/>
          <c:order val="2"/>
          <c:tx>
            <c:strRef>
              <c:f>'LCA '!$G$26</c:f>
              <c:strCache>
                <c:ptCount val="1"/>
                <c:pt idx="0">
                  <c:v>Aluminium</c:v>
                </c:pt>
              </c:strCache>
            </c:strRef>
          </c:tx>
          <c:spPr>
            <a:solidFill>
              <a:srgbClr val="B4948C"/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'!$H$26:$J$26</c:f>
              <c:numCache>
                <c:formatCode>General</c:formatCode>
                <c:ptCount val="3"/>
                <c:pt idx="0">
                  <c:v>1666.7958060000003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CB-C247-8D05-506FB5DD2DC6}"/>
            </c:ext>
          </c:extLst>
        </c:ser>
        <c:ser>
          <c:idx val="3"/>
          <c:order val="3"/>
          <c:tx>
            <c:strRef>
              <c:f>'LCA '!$G$27</c:f>
              <c:strCache>
                <c:ptCount val="1"/>
                <c:pt idx="0">
                  <c:v>Copper/Aluminium</c:v>
                </c:pt>
              </c:strCache>
            </c:strRef>
          </c:tx>
          <c:spPr>
            <a:solidFill>
              <a:srgbClr val="B76436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'!$H$27:$J$27</c:f>
              <c:numCache>
                <c:formatCode>General</c:formatCode>
                <c:ptCount val="3"/>
                <c:pt idx="0">
                  <c:v>22241.591904000001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CB-C247-8D05-506FB5DD2DC6}"/>
            </c:ext>
          </c:extLst>
        </c:ser>
        <c:ser>
          <c:idx val="4"/>
          <c:order val="4"/>
          <c:tx>
            <c:strRef>
              <c:f>'LCA '!$G$28</c:f>
              <c:strCache>
                <c:ptCount val="1"/>
                <c:pt idx="0">
                  <c:v>Rockwool</c:v>
                </c:pt>
              </c:strCache>
            </c:strRef>
          </c:tx>
          <c:spPr>
            <a:solidFill>
              <a:srgbClr val="EEDB8F"/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'!$H$28:$J$28</c:f>
              <c:numCache>
                <c:formatCode>General</c:formatCode>
                <c:ptCount val="3"/>
                <c:pt idx="0" formatCode="0.00">
                  <c:v>237.96265089507676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CB-C247-8D05-506FB5DD2DC6}"/>
            </c:ext>
          </c:extLst>
        </c:ser>
        <c:ser>
          <c:idx val="5"/>
          <c:order val="5"/>
          <c:tx>
            <c:strRef>
              <c:f>'LCA '!$G$29</c:f>
              <c:strCache>
                <c:ptCount val="1"/>
                <c:pt idx="0">
                  <c:v>PE foam</c:v>
                </c:pt>
              </c:strCache>
            </c:strRef>
          </c:tx>
          <c:spPr>
            <a:solidFill>
              <a:srgbClr val="EEDB8F"/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'!$H$29:$J$29</c:f>
              <c:numCache>
                <c:formatCode>General</c:formatCode>
                <c:ptCount val="3"/>
                <c:pt idx="0" formatCode="0.00">
                  <c:v>212.31206516351406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CB-C247-8D05-506FB5DD2DC6}"/>
            </c:ext>
          </c:extLst>
        </c:ser>
        <c:ser>
          <c:idx val="6"/>
          <c:order val="6"/>
          <c:tx>
            <c:strRef>
              <c:f>'LCA '!$G$30</c:f>
              <c:strCache>
                <c:ptCount val="1"/>
                <c:pt idx="0">
                  <c:v>Armaflex</c:v>
                </c:pt>
              </c:strCache>
            </c:strRef>
          </c:tx>
          <c:spPr>
            <a:solidFill>
              <a:srgbClr val="D8A929"/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'!$H$30:$J$30</c:f>
              <c:numCache>
                <c:formatCode>General</c:formatCode>
                <c:ptCount val="3"/>
                <c:pt idx="1">
                  <c:v>724.45119715687338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CB-C247-8D05-506FB5DD2DC6}"/>
            </c:ext>
          </c:extLst>
        </c:ser>
        <c:ser>
          <c:idx val="7"/>
          <c:order val="7"/>
          <c:tx>
            <c:strRef>
              <c:f>'LCA '!$G$31</c:f>
              <c:strCache>
                <c:ptCount val="1"/>
                <c:pt idx="0">
                  <c:v>Polyethylene</c:v>
                </c:pt>
              </c:strCache>
            </c:strRef>
          </c:tx>
          <c:spPr>
            <a:solidFill>
              <a:srgbClr val="B3C0AA"/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'!$H$31:$J$31</c:f>
              <c:numCache>
                <c:formatCode>General</c:formatCode>
                <c:ptCount val="3"/>
                <c:pt idx="0" formatCode="0.00">
                  <c:v>21787.351868943999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CB-C247-8D05-506FB5DD2DC6}"/>
            </c:ext>
          </c:extLst>
        </c:ser>
        <c:ser>
          <c:idx val="8"/>
          <c:order val="8"/>
          <c:tx>
            <c:strRef>
              <c:f>'LCA '!$G$32</c:f>
              <c:strCache>
                <c:ptCount val="1"/>
                <c:pt idx="0">
                  <c:v>Polyamid</c:v>
                </c:pt>
              </c:strCache>
            </c:strRef>
          </c:tx>
          <c:spPr>
            <a:solidFill>
              <a:srgbClr val="B3C0AA"/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'!$H$32:$J$32</c:f>
              <c:numCache>
                <c:formatCode>General</c:formatCode>
                <c:ptCount val="3"/>
                <c:pt idx="0">
                  <c:v>50.241695364000009</c:v>
                </c:pt>
                <c:pt idx="2">
                  <c:v>957.21842574000004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CB-C247-8D05-506FB5DD2DC6}"/>
            </c:ext>
          </c:extLst>
        </c:ser>
        <c:ser>
          <c:idx val="9"/>
          <c:order val="9"/>
          <c:tx>
            <c:strRef>
              <c:f>'LCA '!$G$33</c:f>
              <c:strCache>
                <c:ptCount val="1"/>
                <c:pt idx="0">
                  <c:v>Refrigerant</c:v>
                </c:pt>
              </c:strCache>
            </c:strRef>
          </c:tx>
          <c:spPr>
            <a:solidFill>
              <a:srgbClr val="4E8997">
                <a:alpha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'LCA '!$H$23:$J$23</c:f>
              <c:strCache>
                <c:ptCount val="3"/>
                <c:pt idx="0">
                  <c:v>Heating</c:v>
                </c:pt>
                <c:pt idx="1">
                  <c:v>Cooling </c:v>
                </c:pt>
                <c:pt idx="2">
                  <c:v>Ventilation</c:v>
                </c:pt>
              </c:strCache>
            </c:strRef>
          </c:cat>
          <c:val>
            <c:numRef>
              <c:f>'LCA '!$H$33:$J$33</c:f>
              <c:numCache>
                <c:formatCode>0.00</c:formatCode>
                <c:ptCount val="3"/>
                <c:pt idx="1">
                  <c:v>4313.47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6CB-C247-8D05-506FB5DD2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94301088"/>
        <c:axId val="1688065040"/>
      </c:barChart>
      <c:catAx>
        <c:axId val="17943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8065040"/>
        <c:crosses val="autoZero"/>
        <c:auto val="1"/>
        <c:lblAlgn val="ctr"/>
        <c:lblOffset val="100"/>
        <c:noMultiLvlLbl val="0"/>
      </c:catAx>
      <c:valAx>
        <c:axId val="1688065040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kgCO</a:t>
                </a:r>
                <a:r>
                  <a:rPr lang="de-DE" sz="11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1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3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operational carbon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lang="en-US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 two different electricity mixes (ecoinvent)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'LCA '!$B$56</c:f>
              <c:strCache>
                <c:ptCount val="1"/>
                <c:pt idx="0">
                  <c:v>District Heating</c:v>
                </c:pt>
              </c:strCache>
            </c:strRef>
          </c:tx>
          <c:spPr>
            <a:solidFill>
              <a:srgbClr val="E0766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0766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358-494C-918C-4F4C204A40FD}"/>
              </c:ext>
            </c:extLst>
          </c:dPt>
          <c:cat>
            <c:strRef>
              <c:f>'LCA '!$A$57:$A$59</c:f>
              <c:strCache>
                <c:ptCount val="3"/>
                <c:pt idx="0">
                  <c:v>Heating
(District Heating)</c:v>
                </c:pt>
                <c:pt idx="1">
                  <c:v>Cooling 
(Electricity)</c:v>
                </c:pt>
                <c:pt idx="2">
                  <c:v>Ventilation 
(Electricity)</c:v>
                </c:pt>
              </c:strCache>
            </c:strRef>
          </c:cat>
          <c:val>
            <c:numRef>
              <c:f>'LCA '!$B$57:$B$59</c:f>
              <c:numCache>
                <c:formatCode>General</c:formatCode>
                <c:ptCount val="3"/>
                <c:pt idx="0" formatCode="0.00">
                  <c:v>6667.4012317615998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8-494C-918C-4F4C204A40FD}"/>
            </c:ext>
          </c:extLst>
        </c:ser>
        <c:ser>
          <c:idx val="1"/>
          <c:order val="1"/>
          <c:tx>
            <c:strRef>
              <c:f>'LCA '!$C$56</c:f>
              <c:strCache>
                <c:ptCount val="1"/>
                <c:pt idx="0">
                  <c:v>electricity (fossil)</c:v>
                </c:pt>
              </c:strCache>
            </c:strRef>
          </c:tx>
          <c:spPr>
            <a:solidFill>
              <a:srgbClr val="81756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8175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58-494C-918C-4F4C204A40FD}"/>
              </c:ext>
            </c:extLst>
          </c:dPt>
          <c:dPt>
            <c:idx val="2"/>
            <c:invertIfNegative val="0"/>
            <c:bubble3D val="0"/>
            <c:spPr>
              <a:solidFill>
                <a:srgbClr val="81756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58-494C-918C-4F4C204A40FD}"/>
              </c:ext>
            </c:extLst>
          </c:dPt>
          <c:cat>
            <c:strRef>
              <c:f>'LCA '!$A$57:$A$59</c:f>
              <c:strCache>
                <c:ptCount val="3"/>
                <c:pt idx="0">
                  <c:v>Heating
(District Heating)</c:v>
                </c:pt>
                <c:pt idx="1">
                  <c:v>Cooling 
(Electricity)</c:v>
                </c:pt>
                <c:pt idx="2">
                  <c:v>Ventilation 
(Electricity)</c:v>
                </c:pt>
              </c:strCache>
            </c:strRef>
          </c:cat>
          <c:val>
            <c:numRef>
              <c:f>'LCA '!$C$57:$C$59</c:f>
              <c:numCache>
                <c:formatCode>0.00</c:formatCode>
                <c:ptCount val="3"/>
                <c:pt idx="1">
                  <c:v>54380.353845959289</c:v>
                </c:pt>
                <c:pt idx="2">
                  <c:v>85035.369683169585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8-494C-918C-4F4C204A40FD}"/>
            </c:ext>
          </c:extLst>
        </c:ser>
        <c:ser>
          <c:idx val="2"/>
          <c:order val="2"/>
          <c:tx>
            <c:strRef>
              <c:f>'LCA '!$D$56</c:f>
              <c:strCache>
                <c:ptCount val="1"/>
                <c:pt idx="0">
                  <c:v>electricity (green)</c:v>
                </c:pt>
              </c:strCache>
            </c:strRef>
          </c:tx>
          <c:spPr>
            <a:solidFill>
              <a:srgbClr val="817562">
                <a:alpha val="5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17562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55-FB49-AB62-08A1F307590A}"/>
              </c:ext>
            </c:extLst>
          </c:dPt>
          <c:dPt>
            <c:idx val="1"/>
            <c:invertIfNegative val="0"/>
            <c:bubble3D val="0"/>
            <c:spPr>
              <a:solidFill>
                <a:srgbClr val="817562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55-FB49-AB62-08A1F307590A}"/>
              </c:ext>
            </c:extLst>
          </c:dPt>
          <c:dPt>
            <c:idx val="2"/>
            <c:invertIfNegative val="0"/>
            <c:bubble3D val="0"/>
            <c:spPr>
              <a:solidFill>
                <a:srgbClr val="817562">
                  <a:alpha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155-FB49-AB62-08A1F307590A}"/>
              </c:ext>
            </c:extLst>
          </c:dPt>
          <c:cat>
            <c:strRef>
              <c:f>'LCA '!$A$57:$A$59</c:f>
              <c:strCache>
                <c:ptCount val="3"/>
                <c:pt idx="0">
                  <c:v>Heating
(District Heating)</c:v>
                </c:pt>
                <c:pt idx="1">
                  <c:v>Cooling 
(Electricity)</c:v>
                </c:pt>
                <c:pt idx="2">
                  <c:v>Ventilation 
(Electricity)</c:v>
                </c:pt>
              </c:strCache>
            </c:strRef>
          </c:cat>
          <c:val>
            <c:numRef>
              <c:f>'LCA '!$D$57:$D$59</c:f>
              <c:numCache>
                <c:formatCode>0.00</c:formatCode>
                <c:ptCount val="3"/>
                <c:pt idx="1">
                  <c:v>5975.8157117490837</c:v>
                </c:pt>
                <c:pt idx="2">
                  <c:v>9344.4720798710787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DC0-7247-893F-81A6F3843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6"/>
        <c:overlap val="-27"/>
        <c:axId val="1676267120"/>
        <c:axId val="1422087408"/>
      </c:barChart>
      <c:catAx>
        <c:axId val="167626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087408"/>
        <c:crosses val="autoZero"/>
        <c:auto val="1"/>
        <c:lblAlgn val="ctr"/>
        <c:lblOffset val="100"/>
        <c:noMultiLvlLbl val="0"/>
      </c:catAx>
      <c:valAx>
        <c:axId val="142208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kgCO</a:t>
                </a:r>
                <a:r>
                  <a:rPr lang="de-DE" sz="11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eq/a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26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600"/>
              <a:t>tCO2eq</a:t>
            </a:r>
            <a:r>
              <a:rPr lang="de-DE" sz="1600" baseline="0"/>
              <a:t> across building life cycle</a:t>
            </a:r>
            <a:endParaRPr lang="de-DE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4948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F1-A54E-BB6E-6253CD6D7AC4}"/>
              </c:ext>
            </c:extLst>
          </c:dPt>
          <c:dPt>
            <c:idx val="1"/>
            <c:invertIfNegative val="0"/>
            <c:bubble3D val="0"/>
            <c:spPr>
              <a:solidFill>
                <a:srgbClr val="D8A929">
                  <a:alpha val="79608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F1-A54E-BB6E-6253CD6D7AC4}"/>
              </c:ext>
            </c:extLst>
          </c:dPt>
          <c:dPt>
            <c:idx val="2"/>
            <c:invertIfNegative val="0"/>
            <c:bubble3D val="0"/>
            <c:spPr>
              <a:solidFill>
                <a:srgbClr val="EEDB8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AF1-A54E-BB6E-6253CD6D7AC4}"/>
              </c:ext>
            </c:extLst>
          </c:dPt>
          <c:cat>
            <c:strRef>
              <c:f>'LCA '!$A$2:$A$4</c:f>
              <c:strCache>
                <c:ptCount val="3"/>
                <c:pt idx="0">
                  <c:v>embodied emissions</c:v>
                </c:pt>
                <c:pt idx="1">
                  <c:v>operational emissions (fossil)</c:v>
                </c:pt>
                <c:pt idx="2">
                  <c:v>operational emissions (green)</c:v>
                </c:pt>
              </c:strCache>
            </c:strRef>
          </c:cat>
          <c:val>
            <c:numRef>
              <c:f>'LCA '!$B$2:$B$4</c:f>
              <c:numCache>
                <c:formatCode>0.00</c:formatCode>
                <c:ptCount val="3"/>
                <c:pt idx="0">
                  <c:v>400.35586883341352</c:v>
                </c:pt>
                <c:pt idx="1">
                  <c:v>8364.943411747734</c:v>
                </c:pt>
                <c:pt idx="2">
                  <c:v>919.21726749720972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1-A54E-BB6E-6253CD6D7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635088"/>
        <c:axId val="1412636816"/>
      </c:barChart>
      <c:catAx>
        <c:axId val="141263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36816"/>
        <c:crosses val="autoZero"/>
        <c:auto val="1"/>
        <c:lblAlgn val="ctr"/>
        <c:lblOffset val="100"/>
        <c:noMultiLvlLbl val="0"/>
      </c:catAx>
      <c:valAx>
        <c:axId val="1412636816"/>
        <c:scaling>
          <c:orientation val="minMax"/>
          <c:max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tCO</a:t>
                </a:r>
                <a:r>
                  <a:rPr lang="de-DE" sz="11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63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de-DE" sz="1600">
                <a:latin typeface="+mj-lt"/>
              </a:rPr>
              <a:t>Timeline of CO</a:t>
            </a:r>
            <a:r>
              <a:rPr lang="de-DE" sz="1600" baseline="-25000">
                <a:latin typeface="+mj-lt"/>
              </a:rPr>
              <a:t>2</a:t>
            </a:r>
            <a:r>
              <a:rPr lang="de-DE" sz="1600">
                <a:latin typeface="+mj-lt"/>
              </a:rPr>
              <a:t> emissions </a:t>
            </a:r>
          </a:p>
          <a:p>
            <a:pPr>
              <a:defRPr sz="1600">
                <a:latin typeface="+mj-lt"/>
              </a:defRPr>
            </a:pPr>
            <a:r>
              <a:rPr lang="de-DE" sz="1600">
                <a:latin typeface="+mj-lt"/>
              </a:rPr>
              <a:t>(fossil</a:t>
            </a:r>
            <a:r>
              <a:rPr lang="de-DE" sz="1600" baseline="0">
                <a:latin typeface="+mj-lt"/>
              </a:rPr>
              <a:t> based electricity mix)</a:t>
            </a:r>
            <a:endParaRPr lang="de-DE" sz="1600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'LCA '!$B$74</c:f>
              <c:strCache>
                <c:ptCount val="1"/>
                <c:pt idx="0">
                  <c:v>Embodied energy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cat>
            <c:numRef>
              <c:f>'LCA '!$A$75:$A$135</c:f>
              <c:numCache>
                <c:formatCode>General</c:formatCode>
                <c:ptCount val="6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</c:numCache>
            </c:numRef>
          </c:cat>
          <c:val>
            <c:numRef>
              <c:f>'LCA '!$B$75:$B$135</c:f>
              <c:numCache>
                <c:formatCode>0.00</c:formatCode>
                <c:ptCount val="61"/>
                <c:pt idx="0">
                  <c:v>200.17793441670676</c:v>
                </c:pt>
                <c:pt idx="1">
                  <c:v>200.17793441670676</c:v>
                </c:pt>
                <c:pt idx="2">
                  <c:v>200.17793441670676</c:v>
                </c:pt>
                <c:pt idx="3">
                  <c:v>200.17793441670676</c:v>
                </c:pt>
                <c:pt idx="4">
                  <c:v>200.17793441670676</c:v>
                </c:pt>
                <c:pt idx="5">
                  <c:v>200.17793441670676</c:v>
                </c:pt>
                <c:pt idx="6">
                  <c:v>200.17793441670676</c:v>
                </c:pt>
                <c:pt idx="7">
                  <c:v>200.17793441670676</c:v>
                </c:pt>
                <c:pt idx="8">
                  <c:v>200.17793441670676</c:v>
                </c:pt>
                <c:pt idx="9">
                  <c:v>200.17793441670676</c:v>
                </c:pt>
                <c:pt idx="10">
                  <c:v>200.17793441670676</c:v>
                </c:pt>
                <c:pt idx="11">
                  <c:v>200.17793441670676</c:v>
                </c:pt>
                <c:pt idx="12">
                  <c:v>200.17793441670676</c:v>
                </c:pt>
                <c:pt idx="13">
                  <c:v>200.17793441670676</c:v>
                </c:pt>
                <c:pt idx="14">
                  <c:v>200.17793441670676</c:v>
                </c:pt>
                <c:pt idx="15">
                  <c:v>200.17793441670676</c:v>
                </c:pt>
                <c:pt idx="16">
                  <c:v>200.17793441670676</c:v>
                </c:pt>
                <c:pt idx="17">
                  <c:v>200.17793441670676</c:v>
                </c:pt>
                <c:pt idx="18">
                  <c:v>200.17793441670676</c:v>
                </c:pt>
                <c:pt idx="19">
                  <c:v>200.17793441670676</c:v>
                </c:pt>
                <c:pt idx="20">
                  <c:v>200.17793441670676</c:v>
                </c:pt>
                <c:pt idx="21">
                  <c:v>200.17793441670676</c:v>
                </c:pt>
                <c:pt idx="22">
                  <c:v>200.17793441670676</c:v>
                </c:pt>
                <c:pt idx="23">
                  <c:v>200.17793441670676</c:v>
                </c:pt>
                <c:pt idx="24">
                  <c:v>200.17793441670676</c:v>
                </c:pt>
                <c:pt idx="25">
                  <c:v>200.17793441670676</c:v>
                </c:pt>
                <c:pt idx="26">
                  <c:v>200.17793441670676</c:v>
                </c:pt>
                <c:pt idx="27">
                  <c:v>200.17793441670676</c:v>
                </c:pt>
                <c:pt idx="28">
                  <c:v>200.17793441670676</c:v>
                </c:pt>
                <c:pt idx="29">
                  <c:v>200.17793441670676</c:v>
                </c:pt>
                <c:pt idx="30">
                  <c:v>400.35586883341352</c:v>
                </c:pt>
                <c:pt idx="31">
                  <c:v>400.35586883341352</c:v>
                </c:pt>
                <c:pt idx="32">
                  <c:v>400.35586883341352</c:v>
                </c:pt>
                <c:pt idx="33">
                  <c:v>400.35586883341352</c:v>
                </c:pt>
                <c:pt idx="34">
                  <c:v>400.35586883341352</c:v>
                </c:pt>
                <c:pt idx="35">
                  <c:v>400.35586883341352</c:v>
                </c:pt>
                <c:pt idx="36">
                  <c:v>400.35586883341352</c:v>
                </c:pt>
                <c:pt idx="37">
                  <c:v>400.35586883341352</c:v>
                </c:pt>
                <c:pt idx="38">
                  <c:v>400.35586883341352</c:v>
                </c:pt>
                <c:pt idx="39">
                  <c:v>400.35586883341352</c:v>
                </c:pt>
                <c:pt idx="40">
                  <c:v>400.35586883341352</c:v>
                </c:pt>
                <c:pt idx="41">
                  <c:v>400.35586883341352</c:v>
                </c:pt>
                <c:pt idx="42">
                  <c:v>400.35586883341352</c:v>
                </c:pt>
                <c:pt idx="43">
                  <c:v>400.35586883341352</c:v>
                </c:pt>
                <c:pt idx="44">
                  <c:v>400.35586883341352</c:v>
                </c:pt>
                <c:pt idx="45">
                  <c:v>400.35586883341352</c:v>
                </c:pt>
                <c:pt idx="46">
                  <c:v>400.35586883341352</c:v>
                </c:pt>
                <c:pt idx="47">
                  <c:v>400.35586883341352</c:v>
                </c:pt>
                <c:pt idx="48">
                  <c:v>400.35586883341352</c:v>
                </c:pt>
                <c:pt idx="49">
                  <c:v>400.35586883341352</c:v>
                </c:pt>
                <c:pt idx="50">
                  <c:v>400.35586883341352</c:v>
                </c:pt>
                <c:pt idx="51">
                  <c:v>400.35586883341352</c:v>
                </c:pt>
                <c:pt idx="52">
                  <c:v>400.35586883341352</c:v>
                </c:pt>
                <c:pt idx="53">
                  <c:v>400.35586883341352</c:v>
                </c:pt>
                <c:pt idx="54">
                  <c:v>400.35586883341352</c:v>
                </c:pt>
                <c:pt idx="55">
                  <c:v>400.35586883341352</c:v>
                </c:pt>
                <c:pt idx="56">
                  <c:v>400.35586883341352</c:v>
                </c:pt>
                <c:pt idx="57">
                  <c:v>400.35586883341352</c:v>
                </c:pt>
                <c:pt idx="58">
                  <c:v>400.35586883341352</c:v>
                </c:pt>
                <c:pt idx="59">
                  <c:v>400.35586883341352</c:v>
                </c:pt>
                <c:pt idx="60">
                  <c:v>400.35586883341352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4-C94F-8771-07505000E8E8}"/>
            </c:ext>
          </c:extLst>
        </c:ser>
        <c:ser>
          <c:idx val="1"/>
          <c:order val="1"/>
          <c:tx>
            <c:strRef>
              <c:f>'LCA '!$C$74</c:f>
              <c:strCache>
                <c:ptCount val="1"/>
                <c:pt idx="0">
                  <c:v>Operational (District Heating)</c:v>
                </c:pt>
              </c:strCache>
            </c:strRef>
          </c:tx>
          <c:spPr>
            <a:solidFill>
              <a:srgbClr val="E07667"/>
            </a:solidFill>
            <a:ln>
              <a:noFill/>
            </a:ln>
            <a:effectLst/>
          </c:spPr>
          <c:cat>
            <c:numRef>
              <c:f>'LCA '!$A$75:$A$135</c:f>
              <c:numCache>
                <c:formatCode>General</c:formatCode>
                <c:ptCount val="6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</c:numCache>
            </c:numRef>
          </c:cat>
          <c:val>
            <c:numRef>
              <c:f>'LCA '!$C$75:$C$135</c:f>
              <c:numCache>
                <c:formatCode>0.00</c:formatCode>
                <c:ptCount val="61"/>
                <c:pt idx="0">
                  <c:v>6.6674012317616</c:v>
                </c:pt>
                <c:pt idx="1">
                  <c:v>13.3348024635232</c:v>
                </c:pt>
                <c:pt idx="2">
                  <c:v>20.002203695284798</c:v>
                </c:pt>
                <c:pt idx="3">
                  <c:v>26.6696049270464</c:v>
                </c:pt>
                <c:pt idx="4">
                  <c:v>33.337006158808002</c:v>
                </c:pt>
                <c:pt idx="5">
                  <c:v>40.004407390569604</c:v>
                </c:pt>
                <c:pt idx="6">
                  <c:v>46.671808622331206</c:v>
                </c:pt>
                <c:pt idx="7">
                  <c:v>53.339209854092807</c:v>
                </c:pt>
                <c:pt idx="8">
                  <c:v>60.006611085854409</c:v>
                </c:pt>
                <c:pt idx="9">
                  <c:v>66.674012317616004</c:v>
                </c:pt>
                <c:pt idx="10">
                  <c:v>73.341413549377606</c:v>
                </c:pt>
                <c:pt idx="11">
                  <c:v>80.008814781139208</c:v>
                </c:pt>
                <c:pt idx="12">
                  <c:v>86.676216012900809</c:v>
                </c:pt>
                <c:pt idx="13">
                  <c:v>93.343617244662411</c:v>
                </c:pt>
                <c:pt idx="14">
                  <c:v>100.01101847642401</c:v>
                </c:pt>
                <c:pt idx="15">
                  <c:v>106.67841970818561</c:v>
                </c:pt>
                <c:pt idx="16">
                  <c:v>113.34582093994722</c:v>
                </c:pt>
                <c:pt idx="17">
                  <c:v>120.01322217170882</c:v>
                </c:pt>
                <c:pt idx="18">
                  <c:v>126.68062340347042</c:v>
                </c:pt>
                <c:pt idx="19">
                  <c:v>133.34802463523201</c:v>
                </c:pt>
                <c:pt idx="20">
                  <c:v>140.01542586699361</c:v>
                </c:pt>
                <c:pt idx="21">
                  <c:v>146.68282709875521</c:v>
                </c:pt>
                <c:pt idx="22">
                  <c:v>153.35022833051681</c:v>
                </c:pt>
                <c:pt idx="23">
                  <c:v>160.01762956227842</c:v>
                </c:pt>
                <c:pt idx="24">
                  <c:v>166.68503079404002</c:v>
                </c:pt>
                <c:pt idx="25">
                  <c:v>173.35243202580162</c:v>
                </c:pt>
                <c:pt idx="26">
                  <c:v>180.01983325756322</c:v>
                </c:pt>
                <c:pt idx="27">
                  <c:v>186.68723448932482</c:v>
                </c:pt>
                <c:pt idx="28">
                  <c:v>193.35463572108642</c:v>
                </c:pt>
                <c:pt idx="29">
                  <c:v>200.02203695284803</c:v>
                </c:pt>
                <c:pt idx="30">
                  <c:v>206.68943818460963</c:v>
                </c:pt>
                <c:pt idx="31">
                  <c:v>213.35683941637123</c:v>
                </c:pt>
                <c:pt idx="32">
                  <c:v>220.02424064813283</c:v>
                </c:pt>
                <c:pt idx="33">
                  <c:v>226.69164187989443</c:v>
                </c:pt>
                <c:pt idx="34">
                  <c:v>233.35904311165604</c:v>
                </c:pt>
                <c:pt idx="35">
                  <c:v>240.02644434341764</c:v>
                </c:pt>
                <c:pt idx="36">
                  <c:v>246.69384557517924</c:v>
                </c:pt>
                <c:pt idx="37">
                  <c:v>253.36124680694084</c:v>
                </c:pt>
                <c:pt idx="38">
                  <c:v>260.02864803870244</c:v>
                </c:pt>
                <c:pt idx="39">
                  <c:v>266.69604927046402</c:v>
                </c:pt>
                <c:pt idx="40">
                  <c:v>273.36345050222559</c:v>
                </c:pt>
                <c:pt idx="41">
                  <c:v>280.03085173398716</c:v>
                </c:pt>
                <c:pt idx="42">
                  <c:v>286.69825296574874</c:v>
                </c:pt>
                <c:pt idx="43">
                  <c:v>293.36565419751031</c:v>
                </c:pt>
                <c:pt idx="44">
                  <c:v>300.03305542927188</c:v>
                </c:pt>
                <c:pt idx="45">
                  <c:v>306.70045666103346</c:v>
                </c:pt>
                <c:pt idx="46">
                  <c:v>313.36785789279503</c:v>
                </c:pt>
                <c:pt idx="47">
                  <c:v>320.0352591245566</c:v>
                </c:pt>
                <c:pt idx="48">
                  <c:v>326.70266035631818</c:v>
                </c:pt>
                <c:pt idx="49">
                  <c:v>333.37006158807975</c:v>
                </c:pt>
                <c:pt idx="50">
                  <c:v>340.03746281984132</c:v>
                </c:pt>
                <c:pt idx="51">
                  <c:v>346.7048640516029</c:v>
                </c:pt>
                <c:pt idx="52">
                  <c:v>353.37226528336447</c:v>
                </c:pt>
                <c:pt idx="53">
                  <c:v>360.03966651512604</c:v>
                </c:pt>
                <c:pt idx="54">
                  <c:v>366.70706774688762</c:v>
                </c:pt>
                <c:pt idx="55">
                  <c:v>373.37446897864919</c:v>
                </c:pt>
                <c:pt idx="56">
                  <c:v>380.04187021041076</c:v>
                </c:pt>
                <c:pt idx="57">
                  <c:v>386.70927144217234</c:v>
                </c:pt>
                <c:pt idx="58">
                  <c:v>393.37667267393391</c:v>
                </c:pt>
                <c:pt idx="59">
                  <c:v>400.04407390569548</c:v>
                </c:pt>
                <c:pt idx="60">
                  <c:v>406.71147513745706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4-C94F-8771-07505000E8E8}"/>
            </c:ext>
          </c:extLst>
        </c:ser>
        <c:ser>
          <c:idx val="2"/>
          <c:order val="2"/>
          <c:tx>
            <c:strRef>
              <c:f>'LCA '!$D$74</c:f>
              <c:strCache>
                <c:ptCount val="1"/>
                <c:pt idx="0">
                  <c:v>Operational (Electricity)</c:v>
                </c:pt>
              </c:strCache>
            </c:strRef>
          </c:tx>
          <c:spPr>
            <a:solidFill>
              <a:srgbClr val="817562">
                <a:alpha val="82000"/>
              </a:srgbClr>
            </a:solidFill>
            <a:ln>
              <a:noFill/>
            </a:ln>
            <a:effectLst/>
          </c:spPr>
          <c:cat>
            <c:numRef>
              <c:f>'LCA '!$A$75:$A$135</c:f>
              <c:numCache>
                <c:formatCode>General</c:formatCode>
                <c:ptCount val="6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</c:numCache>
            </c:numRef>
          </c:cat>
          <c:val>
            <c:numRef>
              <c:f>'LCA '!$D$75:$D$135</c:f>
              <c:numCache>
                <c:formatCode>0.00</c:formatCode>
                <c:ptCount val="61"/>
                <c:pt idx="0">
                  <c:v>139.41572352912888</c:v>
                </c:pt>
                <c:pt idx="1">
                  <c:v>278.83144705825777</c:v>
                </c:pt>
                <c:pt idx="2">
                  <c:v>418.24717058738668</c:v>
                </c:pt>
                <c:pt idx="3">
                  <c:v>557.66289411651553</c:v>
                </c:pt>
                <c:pt idx="4">
                  <c:v>697.07861764564439</c:v>
                </c:pt>
                <c:pt idx="5">
                  <c:v>836.49434117477324</c:v>
                </c:pt>
                <c:pt idx="6">
                  <c:v>975.91006470390209</c:v>
                </c:pt>
                <c:pt idx="7">
                  <c:v>1115.3257882330311</c:v>
                </c:pt>
                <c:pt idx="8">
                  <c:v>1254.7415117621599</c:v>
                </c:pt>
                <c:pt idx="9">
                  <c:v>1394.1572352912888</c:v>
                </c:pt>
                <c:pt idx="10">
                  <c:v>1533.5729588204176</c:v>
                </c:pt>
                <c:pt idx="11">
                  <c:v>1672.9886823495465</c:v>
                </c:pt>
                <c:pt idx="12">
                  <c:v>1812.4044058786753</c:v>
                </c:pt>
                <c:pt idx="13">
                  <c:v>1951.8201294078042</c:v>
                </c:pt>
                <c:pt idx="14">
                  <c:v>2091.235852936933</c:v>
                </c:pt>
                <c:pt idx="15">
                  <c:v>2230.6515764660621</c:v>
                </c:pt>
                <c:pt idx="16">
                  <c:v>2370.0672999951912</c:v>
                </c:pt>
                <c:pt idx="17">
                  <c:v>2509.4830235243203</c:v>
                </c:pt>
                <c:pt idx="18">
                  <c:v>2648.8987470534494</c:v>
                </c:pt>
                <c:pt idx="19">
                  <c:v>2788.3144705825785</c:v>
                </c:pt>
                <c:pt idx="20">
                  <c:v>2927.7301941117075</c:v>
                </c:pt>
                <c:pt idx="21">
                  <c:v>3067.1459176408366</c:v>
                </c:pt>
                <c:pt idx="22">
                  <c:v>3206.5616411699657</c:v>
                </c:pt>
                <c:pt idx="23">
                  <c:v>3345.9773646990948</c:v>
                </c:pt>
                <c:pt idx="24">
                  <c:v>3485.3930882282239</c:v>
                </c:pt>
                <c:pt idx="25">
                  <c:v>3624.8088117573529</c:v>
                </c:pt>
                <c:pt idx="26">
                  <c:v>3764.224535286482</c:v>
                </c:pt>
                <c:pt idx="27">
                  <c:v>3903.6402588156111</c:v>
                </c:pt>
                <c:pt idx="28">
                  <c:v>4043.0559823447402</c:v>
                </c:pt>
                <c:pt idx="29">
                  <c:v>4182.4717058738688</c:v>
                </c:pt>
                <c:pt idx="30">
                  <c:v>4321.8874294029974</c:v>
                </c:pt>
                <c:pt idx="31">
                  <c:v>4461.3031529321261</c:v>
                </c:pt>
                <c:pt idx="32">
                  <c:v>4600.7188764612547</c:v>
                </c:pt>
                <c:pt idx="33">
                  <c:v>4740.1345999903833</c:v>
                </c:pt>
                <c:pt idx="34">
                  <c:v>4879.5503235195119</c:v>
                </c:pt>
                <c:pt idx="35">
                  <c:v>5018.9660470486406</c:v>
                </c:pt>
                <c:pt idx="36">
                  <c:v>5158.3817705777692</c:v>
                </c:pt>
                <c:pt idx="37">
                  <c:v>5297.7974941068978</c:v>
                </c:pt>
                <c:pt idx="38">
                  <c:v>5437.2132176360265</c:v>
                </c:pt>
                <c:pt idx="39">
                  <c:v>5576.6289411651551</c:v>
                </c:pt>
                <c:pt idx="40">
                  <c:v>5716.0446646942837</c:v>
                </c:pt>
                <c:pt idx="41">
                  <c:v>5855.4603882234123</c:v>
                </c:pt>
                <c:pt idx="42">
                  <c:v>5994.876111752541</c:v>
                </c:pt>
                <c:pt idx="43">
                  <c:v>6134.2918352816696</c:v>
                </c:pt>
                <c:pt idx="44">
                  <c:v>6273.7075588107982</c:v>
                </c:pt>
                <c:pt idx="45">
                  <c:v>6413.1232823399268</c:v>
                </c:pt>
                <c:pt idx="46">
                  <c:v>6552.5390058690555</c:v>
                </c:pt>
                <c:pt idx="47">
                  <c:v>6691.9547293981841</c:v>
                </c:pt>
                <c:pt idx="48">
                  <c:v>6831.3704529273127</c:v>
                </c:pt>
                <c:pt idx="49">
                  <c:v>6970.7861764564414</c:v>
                </c:pt>
                <c:pt idx="50">
                  <c:v>7110.20189998557</c:v>
                </c:pt>
                <c:pt idx="51">
                  <c:v>7249.6176235146986</c:v>
                </c:pt>
                <c:pt idx="52">
                  <c:v>7389.0333470438272</c:v>
                </c:pt>
                <c:pt idx="53">
                  <c:v>7528.4490705729559</c:v>
                </c:pt>
                <c:pt idx="54">
                  <c:v>7667.8647941020845</c:v>
                </c:pt>
                <c:pt idx="55">
                  <c:v>7807.2805176312131</c:v>
                </c:pt>
                <c:pt idx="56">
                  <c:v>7946.6962411603417</c:v>
                </c:pt>
                <c:pt idx="57">
                  <c:v>8086.1119646894704</c:v>
                </c:pt>
                <c:pt idx="58">
                  <c:v>8225.527688218599</c:v>
                </c:pt>
                <c:pt idx="59">
                  <c:v>8364.9434117477285</c:v>
                </c:pt>
                <c:pt idx="60">
                  <c:v>8504.3591352768581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34-C94F-8771-07505000E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336736"/>
        <c:axId val="1559338464"/>
      </c:areaChart>
      <c:dateAx>
        <c:axId val="155933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38464"/>
        <c:crosses val="autoZero"/>
        <c:auto val="0"/>
        <c:lblOffset val="100"/>
        <c:baseTimeUnit val="days"/>
      </c:dateAx>
      <c:valAx>
        <c:axId val="155933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tCO</a:t>
                </a:r>
                <a:r>
                  <a:rPr lang="de-DE" sz="11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eq</a:t>
                </a:r>
                <a:endParaRPr lang="de-DE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336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de-DE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rPr>
              <a:t>Timeline of CO</a:t>
            </a:r>
            <a:r>
              <a:rPr lang="de-DE" sz="16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rPr>
              <a:t>2</a:t>
            </a:r>
            <a:r>
              <a:rPr lang="de-DE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rPr>
              <a:t> emissions </a:t>
            </a:r>
          </a:p>
          <a:p>
            <a:pPr>
              <a:defRPr sz="1600">
                <a:latin typeface="+mj-lt"/>
              </a:defRPr>
            </a:pPr>
            <a:r>
              <a:rPr lang="de-DE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</a:rPr>
              <a:t>(green electricity mix)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'LCA '!$G$74</c:f>
              <c:strCache>
                <c:ptCount val="1"/>
                <c:pt idx="0">
                  <c:v>Embodied energy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cat>
            <c:numRef>
              <c:f>'LCA '!$F$75:$F$135</c:f>
              <c:numCache>
                <c:formatCode>General</c:formatCode>
                <c:ptCount val="6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</c:numCache>
            </c:numRef>
          </c:cat>
          <c:val>
            <c:numRef>
              <c:f>'LCA '!$G$75:$G$135</c:f>
              <c:numCache>
                <c:formatCode>0.00</c:formatCode>
                <c:ptCount val="61"/>
                <c:pt idx="0">
                  <c:v>200.17793441670676</c:v>
                </c:pt>
                <c:pt idx="1">
                  <c:v>200.17793441670676</c:v>
                </c:pt>
                <c:pt idx="2">
                  <c:v>200.17793441670676</c:v>
                </c:pt>
                <c:pt idx="3">
                  <c:v>200.17793441670676</c:v>
                </c:pt>
                <c:pt idx="4">
                  <c:v>200.17793441670676</c:v>
                </c:pt>
                <c:pt idx="5">
                  <c:v>200.17793441670676</c:v>
                </c:pt>
                <c:pt idx="6">
                  <c:v>200.17793441670676</c:v>
                </c:pt>
                <c:pt idx="7">
                  <c:v>200.17793441670676</c:v>
                </c:pt>
                <c:pt idx="8">
                  <c:v>200.17793441670676</c:v>
                </c:pt>
                <c:pt idx="9">
                  <c:v>200.17793441670676</c:v>
                </c:pt>
                <c:pt idx="10">
                  <c:v>200.17793441670676</c:v>
                </c:pt>
                <c:pt idx="11">
                  <c:v>200.17793441670676</c:v>
                </c:pt>
                <c:pt idx="12">
                  <c:v>200.17793441670676</c:v>
                </c:pt>
                <c:pt idx="13">
                  <c:v>200.17793441670676</c:v>
                </c:pt>
                <c:pt idx="14">
                  <c:v>200.17793441670676</c:v>
                </c:pt>
                <c:pt idx="15">
                  <c:v>200.17793441670676</c:v>
                </c:pt>
                <c:pt idx="16">
                  <c:v>200.17793441670676</c:v>
                </c:pt>
                <c:pt idx="17">
                  <c:v>200.17793441670676</c:v>
                </c:pt>
                <c:pt idx="18">
                  <c:v>200.17793441670676</c:v>
                </c:pt>
                <c:pt idx="19">
                  <c:v>200.17793441670676</c:v>
                </c:pt>
                <c:pt idx="20">
                  <c:v>200.17793441670676</c:v>
                </c:pt>
                <c:pt idx="21">
                  <c:v>200.17793441670676</c:v>
                </c:pt>
                <c:pt idx="22">
                  <c:v>200.17793441670676</c:v>
                </c:pt>
                <c:pt idx="23">
                  <c:v>200.17793441670676</c:v>
                </c:pt>
                <c:pt idx="24">
                  <c:v>200.17793441670676</c:v>
                </c:pt>
                <c:pt idx="25">
                  <c:v>200.17793441670676</c:v>
                </c:pt>
                <c:pt idx="26">
                  <c:v>200.17793441670676</c:v>
                </c:pt>
                <c:pt idx="27">
                  <c:v>200.17793441670676</c:v>
                </c:pt>
                <c:pt idx="28">
                  <c:v>200.17793441670676</c:v>
                </c:pt>
                <c:pt idx="29">
                  <c:v>200.17793441670676</c:v>
                </c:pt>
                <c:pt idx="30">
                  <c:v>400.35586883341352</c:v>
                </c:pt>
                <c:pt idx="31">
                  <c:v>400.35586883341352</c:v>
                </c:pt>
                <c:pt idx="32">
                  <c:v>400.35586883341352</c:v>
                </c:pt>
                <c:pt idx="33">
                  <c:v>400.35586883341352</c:v>
                </c:pt>
                <c:pt idx="34">
                  <c:v>400.35586883341352</c:v>
                </c:pt>
                <c:pt idx="35">
                  <c:v>400.35586883341352</c:v>
                </c:pt>
                <c:pt idx="36">
                  <c:v>400.35586883341352</c:v>
                </c:pt>
                <c:pt idx="37">
                  <c:v>400.35586883341352</c:v>
                </c:pt>
                <c:pt idx="38">
                  <c:v>400.35586883341352</c:v>
                </c:pt>
                <c:pt idx="39">
                  <c:v>400.35586883341352</c:v>
                </c:pt>
                <c:pt idx="40">
                  <c:v>400.35586883341352</c:v>
                </c:pt>
                <c:pt idx="41">
                  <c:v>400.35586883341352</c:v>
                </c:pt>
                <c:pt idx="42">
                  <c:v>400.35586883341352</c:v>
                </c:pt>
                <c:pt idx="43">
                  <c:v>400.35586883341352</c:v>
                </c:pt>
                <c:pt idx="44">
                  <c:v>400.35586883341352</c:v>
                </c:pt>
                <c:pt idx="45">
                  <c:v>400.35586883341352</c:v>
                </c:pt>
                <c:pt idx="46">
                  <c:v>400.35586883341352</c:v>
                </c:pt>
                <c:pt idx="47">
                  <c:v>400.35586883341352</c:v>
                </c:pt>
                <c:pt idx="48">
                  <c:v>400.35586883341352</c:v>
                </c:pt>
                <c:pt idx="49">
                  <c:v>400.35586883341352</c:v>
                </c:pt>
                <c:pt idx="50">
                  <c:v>400.35586883341352</c:v>
                </c:pt>
                <c:pt idx="51">
                  <c:v>400.35586883341352</c:v>
                </c:pt>
                <c:pt idx="52">
                  <c:v>400.35586883341352</c:v>
                </c:pt>
                <c:pt idx="53">
                  <c:v>400.35586883341352</c:v>
                </c:pt>
                <c:pt idx="54">
                  <c:v>400.35586883341352</c:v>
                </c:pt>
                <c:pt idx="55">
                  <c:v>400.35586883341352</c:v>
                </c:pt>
                <c:pt idx="56">
                  <c:v>400.35586883341352</c:v>
                </c:pt>
                <c:pt idx="57">
                  <c:v>400.35586883341352</c:v>
                </c:pt>
                <c:pt idx="58">
                  <c:v>400.35586883341352</c:v>
                </c:pt>
                <c:pt idx="59">
                  <c:v>400.35586883341352</c:v>
                </c:pt>
                <c:pt idx="60">
                  <c:v>400.35586883341352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0-F540-89AF-00EE49830C23}"/>
            </c:ext>
          </c:extLst>
        </c:ser>
        <c:ser>
          <c:idx val="1"/>
          <c:order val="1"/>
          <c:tx>
            <c:strRef>
              <c:f>'LCA '!$H$74</c:f>
              <c:strCache>
                <c:ptCount val="1"/>
                <c:pt idx="0">
                  <c:v>Operational (District Heating)</c:v>
                </c:pt>
              </c:strCache>
            </c:strRef>
          </c:tx>
          <c:spPr>
            <a:solidFill>
              <a:srgbClr val="E07667"/>
            </a:solidFill>
            <a:ln>
              <a:noFill/>
            </a:ln>
            <a:effectLst/>
          </c:spPr>
          <c:cat>
            <c:numRef>
              <c:f>'LCA '!$F$75:$F$135</c:f>
              <c:numCache>
                <c:formatCode>General</c:formatCode>
                <c:ptCount val="6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</c:numCache>
            </c:numRef>
          </c:cat>
          <c:val>
            <c:numRef>
              <c:f>'LCA '!$H$75:$H$135</c:f>
              <c:numCache>
                <c:formatCode>0.00</c:formatCode>
                <c:ptCount val="61"/>
                <c:pt idx="0">
                  <c:v>6.6674012317616</c:v>
                </c:pt>
                <c:pt idx="1">
                  <c:v>13.3348024635232</c:v>
                </c:pt>
                <c:pt idx="2">
                  <c:v>20.002203695284798</c:v>
                </c:pt>
                <c:pt idx="3">
                  <c:v>26.6696049270464</c:v>
                </c:pt>
                <c:pt idx="4">
                  <c:v>33.337006158808002</c:v>
                </c:pt>
                <c:pt idx="5">
                  <c:v>40.004407390569604</c:v>
                </c:pt>
                <c:pt idx="6">
                  <c:v>46.671808622331206</c:v>
                </c:pt>
                <c:pt idx="7">
                  <c:v>53.339209854092807</c:v>
                </c:pt>
                <c:pt idx="8">
                  <c:v>60.006611085854409</c:v>
                </c:pt>
                <c:pt idx="9">
                  <c:v>66.674012317616004</c:v>
                </c:pt>
                <c:pt idx="10">
                  <c:v>73.341413549377606</c:v>
                </c:pt>
                <c:pt idx="11">
                  <c:v>80.008814781139208</c:v>
                </c:pt>
                <c:pt idx="12">
                  <c:v>86.676216012900809</c:v>
                </c:pt>
                <c:pt idx="13">
                  <c:v>93.343617244662411</c:v>
                </c:pt>
                <c:pt idx="14">
                  <c:v>100.01101847642401</c:v>
                </c:pt>
                <c:pt idx="15">
                  <c:v>106.67841970818561</c:v>
                </c:pt>
                <c:pt idx="16">
                  <c:v>113.34582093994722</c:v>
                </c:pt>
                <c:pt idx="17">
                  <c:v>120.01322217170882</c:v>
                </c:pt>
                <c:pt idx="18">
                  <c:v>126.68062340347042</c:v>
                </c:pt>
                <c:pt idx="19">
                  <c:v>133.34802463523201</c:v>
                </c:pt>
                <c:pt idx="20">
                  <c:v>140.01542586699361</c:v>
                </c:pt>
                <c:pt idx="21">
                  <c:v>146.68282709875521</c:v>
                </c:pt>
                <c:pt idx="22">
                  <c:v>153.35022833051681</c:v>
                </c:pt>
                <c:pt idx="23">
                  <c:v>160.01762956227842</c:v>
                </c:pt>
                <c:pt idx="24">
                  <c:v>166.68503079404002</c:v>
                </c:pt>
                <c:pt idx="25">
                  <c:v>173.35243202580162</c:v>
                </c:pt>
                <c:pt idx="26">
                  <c:v>180.01983325756322</c:v>
                </c:pt>
                <c:pt idx="27">
                  <c:v>186.68723448932482</c:v>
                </c:pt>
                <c:pt idx="28">
                  <c:v>193.35463572108642</c:v>
                </c:pt>
                <c:pt idx="29">
                  <c:v>200.02203695284803</c:v>
                </c:pt>
                <c:pt idx="30">
                  <c:v>206.68943818460963</c:v>
                </c:pt>
                <c:pt idx="31">
                  <c:v>213.35683941637123</c:v>
                </c:pt>
                <c:pt idx="32">
                  <c:v>220.02424064813283</c:v>
                </c:pt>
                <c:pt idx="33">
                  <c:v>226.69164187989443</c:v>
                </c:pt>
                <c:pt idx="34">
                  <c:v>233.35904311165604</c:v>
                </c:pt>
                <c:pt idx="35">
                  <c:v>240.02644434341764</c:v>
                </c:pt>
                <c:pt idx="36">
                  <c:v>246.69384557517924</c:v>
                </c:pt>
                <c:pt idx="37">
                  <c:v>253.36124680694084</c:v>
                </c:pt>
                <c:pt idx="38">
                  <c:v>260.02864803870244</c:v>
                </c:pt>
                <c:pt idx="39">
                  <c:v>266.69604927046402</c:v>
                </c:pt>
                <c:pt idx="40">
                  <c:v>273.36345050222559</c:v>
                </c:pt>
                <c:pt idx="41">
                  <c:v>280.03085173398716</c:v>
                </c:pt>
                <c:pt idx="42">
                  <c:v>286.69825296574874</c:v>
                </c:pt>
                <c:pt idx="43">
                  <c:v>293.36565419751031</c:v>
                </c:pt>
                <c:pt idx="44">
                  <c:v>300.03305542927188</c:v>
                </c:pt>
                <c:pt idx="45">
                  <c:v>306.70045666103346</c:v>
                </c:pt>
                <c:pt idx="46">
                  <c:v>313.36785789279503</c:v>
                </c:pt>
                <c:pt idx="47">
                  <c:v>320.0352591245566</c:v>
                </c:pt>
                <c:pt idx="48">
                  <c:v>326.70266035631818</c:v>
                </c:pt>
                <c:pt idx="49">
                  <c:v>333.37006158807975</c:v>
                </c:pt>
                <c:pt idx="50">
                  <c:v>340.03746281984132</c:v>
                </c:pt>
                <c:pt idx="51">
                  <c:v>346.7048640516029</c:v>
                </c:pt>
                <c:pt idx="52">
                  <c:v>353.37226528336447</c:v>
                </c:pt>
                <c:pt idx="53">
                  <c:v>360.03966651512604</c:v>
                </c:pt>
                <c:pt idx="54">
                  <c:v>366.70706774688762</c:v>
                </c:pt>
                <c:pt idx="55">
                  <c:v>373.37446897864919</c:v>
                </c:pt>
                <c:pt idx="56">
                  <c:v>380.04187021041076</c:v>
                </c:pt>
                <c:pt idx="57">
                  <c:v>386.70927144217234</c:v>
                </c:pt>
                <c:pt idx="58">
                  <c:v>393.37667267393391</c:v>
                </c:pt>
                <c:pt idx="59">
                  <c:v>400.04407390569548</c:v>
                </c:pt>
                <c:pt idx="60">
                  <c:v>406.71147513745706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0-F540-89AF-00EE49830C23}"/>
            </c:ext>
          </c:extLst>
        </c:ser>
        <c:ser>
          <c:idx val="2"/>
          <c:order val="2"/>
          <c:tx>
            <c:strRef>
              <c:f>'LCA '!$I$74</c:f>
              <c:strCache>
                <c:ptCount val="1"/>
                <c:pt idx="0">
                  <c:v>Operational (Electricity)</c:v>
                </c:pt>
              </c:strCache>
            </c:strRef>
          </c:tx>
          <c:spPr>
            <a:solidFill>
              <a:srgbClr val="817562">
                <a:alpha val="50000"/>
              </a:srgbClr>
            </a:solidFill>
            <a:ln>
              <a:noFill/>
            </a:ln>
            <a:effectLst/>
          </c:spPr>
          <c:cat>
            <c:numRef>
              <c:f>'LCA '!$F$75:$F$135</c:f>
              <c:numCache>
                <c:formatCode>General</c:formatCode>
                <c:ptCount val="61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  <c:pt idx="29">
                  <c:v>2052</c:v>
                </c:pt>
                <c:pt idx="30">
                  <c:v>2053</c:v>
                </c:pt>
                <c:pt idx="31">
                  <c:v>2054</c:v>
                </c:pt>
                <c:pt idx="32">
                  <c:v>2055</c:v>
                </c:pt>
                <c:pt idx="33">
                  <c:v>2056</c:v>
                </c:pt>
                <c:pt idx="34">
                  <c:v>2057</c:v>
                </c:pt>
                <c:pt idx="35">
                  <c:v>2058</c:v>
                </c:pt>
                <c:pt idx="36">
                  <c:v>2059</c:v>
                </c:pt>
                <c:pt idx="37">
                  <c:v>2060</c:v>
                </c:pt>
                <c:pt idx="38">
                  <c:v>2061</c:v>
                </c:pt>
                <c:pt idx="39">
                  <c:v>2062</c:v>
                </c:pt>
                <c:pt idx="40">
                  <c:v>2063</c:v>
                </c:pt>
                <c:pt idx="41">
                  <c:v>2064</c:v>
                </c:pt>
                <c:pt idx="42">
                  <c:v>2065</c:v>
                </c:pt>
                <c:pt idx="43">
                  <c:v>2066</c:v>
                </c:pt>
                <c:pt idx="44">
                  <c:v>2067</c:v>
                </c:pt>
                <c:pt idx="45">
                  <c:v>2068</c:v>
                </c:pt>
                <c:pt idx="46">
                  <c:v>2069</c:v>
                </c:pt>
                <c:pt idx="47">
                  <c:v>2070</c:v>
                </c:pt>
                <c:pt idx="48">
                  <c:v>2071</c:v>
                </c:pt>
                <c:pt idx="49">
                  <c:v>2072</c:v>
                </c:pt>
                <c:pt idx="50">
                  <c:v>2073</c:v>
                </c:pt>
                <c:pt idx="51">
                  <c:v>2074</c:v>
                </c:pt>
                <c:pt idx="52">
                  <c:v>2075</c:v>
                </c:pt>
                <c:pt idx="53">
                  <c:v>2076</c:v>
                </c:pt>
                <c:pt idx="54">
                  <c:v>2077</c:v>
                </c:pt>
                <c:pt idx="55">
                  <c:v>2078</c:v>
                </c:pt>
                <c:pt idx="56">
                  <c:v>2079</c:v>
                </c:pt>
                <c:pt idx="57">
                  <c:v>2080</c:v>
                </c:pt>
                <c:pt idx="58">
                  <c:v>2081</c:v>
                </c:pt>
                <c:pt idx="59">
                  <c:v>2082</c:v>
                </c:pt>
                <c:pt idx="60">
                  <c:v>2083</c:v>
                </c:pt>
              </c:numCache>
            </c:numRef>
          </c:cat>
          <c:val>
            <c:numRef>
              <c:f>'LCA '!$I$75:$I$135</c:f>
              <c:numCache>
                <c:formatCode>0.00</c:formatCode>
                <c:ptCount val="61"/>
                <c:pt idx="0">
                  <c:v>15.320287791620162</c:v>
                </c:pt>
                <c:pt idx="1">
                  <c:v>30.640575583240324</c:v>
                </c:pt>
                <c:pt idx="2">
                  <c:v>45.960863374860487</c:v>
                </c:pt>
                <c:pt idx="3">
                  <c:v>61.281151166480647</c:v>
                </c:pt>
                <c:pt idx="4">
                  <c:v>76.601438958100815</c:v>
                </c:pt>
                <c:pt idx="5">
                  <c:v>91.921726749720975</c:v>
                </c:pt>
                <c:pt idx="6">
                  <c:v>107.24201454134113</c:v>
                </c:pt>
                <c:pt idx="7">
                  <c:v>122.56230233296129</c:v>
                </c:pt>
                <c:pt idx="8">
                  <c:v>137.88259012458147</c:v>
                </c:pt>
                <c:pt idx="9">
                  <c:v>153.20287791620163</c:v>
                </c:pt>
                <c:pt idx="10">
                  <c:v>168.52316570782179</c:v>
                </c:pt>
                <c:pt idx="11">
                  <c:v>183.84345349944195</c:v>
                </c:pt>
                <c:pt idx="12">
                  <c:v>199.16374129106211</c:v>
                </c:pt>
                <c:pt idx="13">
                  <c:v>214.48402908268227</c:v>
                </c:pt>
                <c:pt idx="14">
                  <c:v>229.80431687430243</c:v>
                </c:pt>
                <c:pt idx="15">
                  <c:v>245.12460466592259</c:v>
                </c:pt>
                <c:pt idx="16">
                  <c:v>260.44489245754278</c:v>
                </c:pt>
                <c:pt idx="17">
                  <c:v>275.76518024916294</c:v>
                </c:pt>
                <c:pt idx="18">
                  <c:v>291.0854680407831</c:v>
                </c:pt>
                <c:pt idx="19">
                  <c:v>306.40575583240326</c:v>
                </c:pt>
                <c:pt idx="20">
                  <c:v>321.72604362402342</c:v>
                </c:pt>
                <c:pt idx="21">
                  <c:v>337.04633141564358</c:v>
                </c:pt>
                <c:pt idx="22">
                  <c:v>352.36661920726374</c:v>
                </c:pt>
                <c:pt idx="23">
                  <c:v>367.6869069988839</c:v>
                </c:pt>
                <c:pt idx="24">
                  <c:v>383.00719479050406</c:v>
                </c:pt>
                <c:pt idx="25">
                  <c:v>398.32748258212422</c:v>
                </c:pt>
                <c:pt idx="26">
                  <c:v>413.64777037374438</c:v>
                </c:pt>
                <c:pt idx="27">
                  <c:v>428.96805816536454</c:v>
                </c:pt>
                <c:pt idx="28">
                  <c:v>444.2883459569847</c:v>
                </c:pt>
                <c:pt idx="29">
                  <c:v>459.60863374860486</c:v>
                </c:pt>
                <c:pt idx="30">
                  <c:v>474.92892154022502</c:v>
                </c:pt>
                <c:pt idx="31">
                  <c:v>490.24920933184518</c:v>
                </c:pt>
                <c:pt idx="32">
                  <c:v>505.56949712346534</c:v>
                </c:pt>
                <c:pt idx="33">
                  <c:v>520.88978491508556</c:v>
                </c:pt>
                <c:pt idx="34">
                  <c:v>536.21007270670577</c:v>
                </c:pt>
                <c:pt idx="35">
                  <c:v>551.53036049832599</c:v>
                </c:pt>
                <c:pt idx="36">
                  <c:v>566.85064828994621</c:v>
                </c:pt>
                <c:pt idx="37">
                  <c:v>582.17093608156642</c:v>
                </c:pt>
                <c:pt idx="38">
                  <c:v>597.49122387318664</c:v>
                </c:pt>
                <c:pt idx="39">
                  <c:v>612.81151166480686</c:v>
                </c:pt>
                <c:pt idx="40">
                  <c:v>628.13179945642707</c:v>
                </c:pt>
                <c:pt idx="41">
                  <c:v>643.45208724804729</c:v>
                </c:pt>
                <c:pt idx="42">
                  <c:v>658.77237503966751</c:v>
                </c:pt>
                <c:pt idx="43">
                  <c:v>674.09266283128773</c:v>
                </c:pt>
                <c:pt idx="44">
                  <c:v>689.41295062290794</c:v>
                </c:pt>
                <c:pt idx="45">
                  <c:v>704.73323841452816</c:v>
                </c:pt>
                <c:pt idx="46">
                  <c:v>720.05352620614838</c:v>
                </c:pt>
                <c:pt idx="47">
                  <c:v>735.37381399776859</c:v>
                </c:pt>
                <c:pt idx="48">
                  <c:v>750.69410178938881</c:v>
                </c:pt>
                <c:pt idx="49">
                  <c:v>766.01438958100903</c:v>
                </c:pt>
                <c:pt idx="50">
                  <c:v>781.33467737262924</c:v>
                </c:pt>
                <c:pt idx="51">
                  <c:v>796.65496516424946</c:v>
                </c:pt>
                <c:pt idx="52">
                  <c:v>811.97525295586968</c:v>
                </c:pt>
                <c:pt idx="53">
                  <c:v>827.29554074748989</c:v>
                </c:pt>
                <c:pt idx="54">
                  <c:v>842.61582853911011</c:v>
                </c:pt>
                <c:pt idx="55">
                  <c:v>857.93611633073033</c:v>
                </c:pt>
                <c:pt idx="56">
                  <c:v>873.25640412235055</c:v>
                </c:pt>
                <c:pt idx="57">
                  <c:v>888.57669191397076</c:v>
                </c:pt>
                <c:pt idx="58">
                  <c:v>903.89697970559098</c:v>
                </c:pt>
                <c:pt idx="59">
                  <c:v>919.2172674972112</c:v>
                </c:pt>
                <c:pt idx="60">
                  <c:v>934.53755528883141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40-F540-89AF-00EE49830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714880"/>
        <c:axId val="1484885536"/>
      </c:areaChart>
      <c:dateAx>
        <c:axId val="14797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885536"/>
        <c:crosses val="autoZero"/>
        <c:auto val="0"/>
        <c:lblOffset val="100"/>
        <c:baseTimeUnit val="days"/>
      </c:dateAx>
      <c:valAx>
        <c:axId val="1484885536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tCO</a:t>
                </a:r>
                <a:r>
                  <a:rPr lang="de-DE" sz="11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de-DE" sz="11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eq</a:t>
                </a:r>
                <a:endParaRPr lang="de-DE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71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11319</xdr:colOff>
      <xdr:row>4</xdr:row>
      <xdr:rowOff>28591</xdr:rowOff>
    </xdr:from>
    <xdr:to>
      <xdr:col>12</xdr:col>
      <xdr:colOff>679974</xdr:colOff>
      <xdr:row>19</xdr:row>
      <xdr:rowOff>176228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BF2F8DD-C8F0-A379-92E9-F68150F07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191546</xdr:colOff>
      <xdr:row>40</xdr:row>
      <xdr:rowOff>97459</xdr:rowOff>
    </xdr:from>
    <xdr:to>
      <xdr:col>11</xdr:col>
      <xdr:colOff>600768</xdr:colOff>
      <xdr:row>54</xdr:row>
      <xdr:rowOff>83190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6EC1BC6B-D831-041F-A6E9-3973200EB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687211</xdr:colOff>
      <xdr:row>23</xdr:row>
      <xdr:rowOff>11288</xdr:rowOff>
    </xdr:from>
    <xdr:to>
      <xdr:col>18</xdr:col>
      <xdr:colOff>522429</xdr:colOff>
      <xdr:row>38</xdr:row>
      <xdr:rowOff>163688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BD0D214-3236-1F55-36C3-4AC2A953A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809097</xdr:colOff>
      <xdr:row>23</xdr:row>
      <xdr:rowOff>65088</xdr:rowOff>
    </xdr:from>
    <xdr:to>
      <xdr:col>25</xdr:col>
      <xdr:colOff>644314</xdr:colOff>
      <xdr:row>39</xdr:row>
      <xdr:rowOff>19050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49CFB588-5697-EC90-6E03-57BC4C141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268558</xdr:colOff>
      <xdr:row>56</xdr:row>
      <xdr:rowOff>75350</xdr:rowOff>
    </xdr:from>
    <xdr:to>
      <xdr:col>12</xdr:col>
      <xdr:colOff>68034</xdr:colOff>
      <xdr:row>67</xdr:row>
      <xdr:rowOff>135199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AA296E72-2476-6040-50B4-B837044E45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49513</xdr:colOff>
      <xdr:row>5</xdr:row>
      <xdr:rowOff>141241</xdr:rowOff>
    </xdr:from>
    <xdr:to>
      <xdr:col>18</xdr:col>
      <xdr:colOff>374951</xdr:colOff>
      <xdr:row>18</xdr:row>
      <xdr:rowOff>149305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6BFDB6F6-0587-C218-70F4-3B2696A07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286544</xdr:colOff>
      <xdr:row>136</xdr:row>
      <xdr:rowOff>191294</xdr:rowOff>
    </xdr:from>
    <xdr:to>
      <xdr:col>3</xdr:col>
      <xdr:colOff>603250</xdr:colOff>
      <xdr:row>150</xdr:row>
      <xdr:rowOff>94456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1B5ED44-4647-8B71-5B77-31664F560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720328</xdr:colOff>
      <xdr:row>136</xdr:row>
      <xdr:rowOff>96837</xdr:rowOff>
    </xdr:from>
    <xdr:to>
      <xdr:col>10</xdr:col>
      <xdr:colOff>291703</xdr:colOff>
      <xdr:row>150</xdr:row>
      <xdr:rowOff>61912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2597046-422E-C77D-0B55-5B3908E530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609905</xdr:colOff>
      <xdr:row>2</xdr:row>
      <xdr:rowOff>174893</xdr:rowOff>
    </xdr:from>
    <xdr:to>
      <xdr:col>28</xdr:col>
      <xdr:colOff>84973</xdr:colOff>
      <xdr:row>29</xdr:row>
      <xdr:rowOff>2853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62495C4D-3E34-E057-7D38-DCE21E063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94505" y="581293"/>
          <a:ext cx="7857068" cy="5308229"/>
        </a:xfrm>
        <a:prstGeom prst="rect">
          <a:avLst/>
        </a:prstGeom>
      </xdr:spPr>
    </xdr:pic>
    <xdr:clientData/>
  </xdr:twoCellAnchor>
  <xdr:twoCellAnchor editAs="oneCell">
    <xdr:from>
      <xdr:col>28</xdr:col>
      <xdr:colOff>259612</xdr:colOff>
      <xdr:row>2</xdr:row>
      <xdr:rowOff>67932</xdr:rowOff>
    </xdr:from>
    <xdr:to>
      <xdr:col>37</xdr:col>
      <xdr:colOff>603989</xdr:colOff>
      <xdr:row>37</xdr:row>
      <xdr:rowOff>67519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16AFF887-6EE6-8CB4-90A4-B44B2D487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82403" y="481420"/>
          <a:ext cx="7787167" cy="7235634"/>
        </a:xfrm>
        <a:prstGeom prst="rect">
          <a:avLst/>
        </a:prstGeom>
      </xdr:spPr>
    </xdr:pic>
    <xdr:clientData/>
  </xdr:twoCellAnchor>
  <xdr:twoCellAnchor editAs="oneCell">
    <xdr:from>
      <xdr:col>4</xdr:col>
      <xdr:colOff>808182</xdr:colOff>
      <xdr:row>1</xdr:row>
      <xdr:rowOff>74660</xdr:rowOff>
    </xdr:from>
    <xdr:to>
      <xdr:col>9</xdr:col>
      <xdr:colOff>200891</xdr:colOff>
      <xdr:row>2</xdr:row>
      <xdr:rowOff>87038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9B74DDCC-4D7B-91C3-6F74-DEA897DA8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38334" y="286327"/>
          <a:ext cx="3587557" cy="224044"/>
        </a:xfrm>
        <a:prstGeom prst="rect">
          <a:avLst/>
        </a:prstGeom>
      </xdr:spPr>
    </xdr:pic>
    <xdr:clientData/>
  </xdr:twoCellAnchor>
  <xdr:twoCellAnchor editAs="oneCell">
    <xdr:from>
      <xdr:col>26</xdr:col>
      <xdr:colOff>684437</xdr:colOff>
      <xdr:row>67</xdr:row>
      <xdr:rowOff>155919</xdr:rowOff>
    </xdr:from>
    <xdr:to>
      <xdr:col>36</xdr:col>
      <xdr:colOff>131769</xdr:colOff>
      <xdr:row>86</xdr:row>
      <xdr:rowOff>49667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9EB19F8E-AD78-74DD-DED6-B803582CD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573575" y="13359540"/>
          <a:ext cx="7768022" cy="3638058"/>
        </a:xfrm>
        <a:prstGeom prst="rect">
          <a:avLst/>
        </a:prstGeom>
      </xdr:spPr>
    </xdr:pic>
    <xdr:clientData/>
  </xdr:twoCellAnchor>
  <xdr:twoCellAnchor editAs="oneCell">
    <xdr:from>
      <xdr:col>14</xdr:col>
      <xdr:colOff>542234</xdr:colOff>
      <xdr:row>52</xdr:row>
      <xdr:rowOff>22605</xdr:rowOff>
    </xdr:from>
    <xdr:to>
      <xdr:col>26</xdr:col>
      <xdr:colOff>679969</xdr:colOff>
      <xdr:row>86</xdr:row>
      <xdr:rowOff>68882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ACC7A9B-4279-959B-907D-918D6F65D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15703045" y="7055565"/>
          <a:ext cx="7124965" cy="10131178"/>
        </a:xfrm>
        <a:prstGeom prst="rect">
          <a:avLst/>
        </a:prstGeom>
      </xdr:spPr>
    </xdr:pic>
    <xdr:clientData/>
  </xdr:twoCellAnchor>
  <xdr:twoCellAnchor editAs="oneCell">
    <xdr:from>
      <xdr:col>36</xdr:col>
      <xdr:colOff>14278</xdr:colOff>
      <xdr:row>57</xdr:row>
      <xdr:rowOff>100961</xdr:rowOff>
    </xdr:from>
    <xdr:to>
      <xdr:col>45</xdr:col>
      <xdr:colOff>390795</xdr:colOff>
      <xdr:row>86</xdr:row>
      <xdr:rowOff>118543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3082A2AD-BF9B-80A5-F1E9-BE2BE2A60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224106" y="11333892"/>
          <a:ext cx="7865137" cy="5732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208298</xdr:colOff>
      <xdr:row>6</xdr:row>
      <xdr:rowOff>170176</xdr:rowOff>
    </xdr:from>
    <xdr:to>
      <xdr:col>39</xdr:col>
      <xdr:colOff>606504</xdr:colOff>
      <xdr:row>32</xdr:row>
      <xdr:rowOff>62401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D050270-E384-CAD7-D2DC-5735D5ADD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65698" y="1389376"/>
          <a:ext cx="7942006" cy="5175425"/>
        </a:xfrm>
        <a:prstGeom prst="rect">
          <a:avLst/>
        </a:prstGeom>
      </xdr:spPr>
    </xdr:pic>
    <xdr:clientData/>
  </xdr:twoCellAnchor>
  <xdr:twoCellAnchor editAs="oneCell">
    <xdr:from>
      <xdr:col>21</xdr:col>
      <xdr:colOff>198967</xdr:colOff>
      <xdr:row>14</xdr:row>
      <xdr:rowOff>38100</xdr:rowOff>
    </xdr:from>
    <xdr:to>
      <xdr:col>30</xdr:col>
      <xdr:colOff>563033</xdr:colOff>
      <xdr:row>32</xdr:row>
      <xdr:rowOff>127915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383F7C92-2F47-17EE-AD39-3BC8D86B6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12567" y="2882900"/>
          <a:ext cx="7907866" cy="3747415"/>
        </a:xfrm>
        <a:prstGeom prst="rect">
          <a:avLst/>
        </a:prstGeom>
      </xdr:spPr>
    </xdr:pic>
    <xdr:clientData/>
  </xdr:twoCellAnchor>
  <xdr:twoCellAnchor editAs="oneCell">
    <xdr:from>
      <xdr:col>34</xdr:col>
      <xdr:colOff>637528</xdr:colOff>
      <xdr:row>37</xdr:row>
      <xdr:rowOff>10192</xdr:rowOff>
    </xdr:from>
    <xdr:to>
      <xdr:col>39</xdr:col>
      <xdr:colOff>812800</xdr:colOff>
      <xdr:row>62</xdr:row>
      <xdr:rowOff>113269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FD0C1D5C-B44B-95C9-DF89-E886F94F3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235128" y="7325392"/>
          <a:ext cx="4493272" cy="5183077"/>
        </a:xfrm>
        <a:prstGeom prst="rect">
          <a:avLst/>
        </a:prstGeom>
      </xdr:spPr>
    </xdr:pic>
    <xdr:clientData/>
  </xdr:twoCellAnchor>
  <xdr:twoCellAnchor editAs="oneCell">
    <xdr:from>
      <xdr:col>21</xdr:col>
      <xdr:colOff>504083</xdr:colOff>
      <xdr:row>85</xdr:row>
      <xdr:rowOff>12093</xdr:rowOff>
    </xdr:from>
    <xdr:to>
      <xdr:col>31</xdr:col>
      <xdr:colOff>58835</xdr:colOff>
      <xdr:row>119</xdr:row>
      <xdr:rowOff>21505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1281AD7-7E62-706B-B1B9-E7D4569E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415869" y="17361200"/>
          <a:ext cx="7945823" cy="6949055"/>
        </a:xfrm>
        <a:prstGeom prst="rect">
          <a:avLst/>
        </a:prstGeom>
      </xdr:spPr>
    </xdr:pic>
    <xdr:clientData/>
  </xdr:twoCellAnchor>
  <xdr:twoCellAnchor editAs="oneCell">
    <xdr:from>
      <xdr:col>21</xdr:col>
      <xdr:colOff>448360</xdr:colOff>
      <xdr:row>35</xdr:row>
      <xdr:rowOff>42456</xdr:rowOff>
    </xdr:from>
    <xdr:to>
      <xdr:col>34</xdr:col>
      <xdr:colOff>105708</xdr:colOff>
      <xdr:row>84</xdr:row>
      <xdr:rowOff>101750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5F57710D-9B3A-3BF9-C9BD-DDE774D6D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19160" y="6951256"/>
          <a:ext cx="10884148" cy="100160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778933</xdr:colOff>
      <xdr:row>6</xdr:row>
      <xdr:rowOff>101599</xdr:rowOff>
    </xdr:from>
    <xdr:to>
      <xdr:col>30</xdr:col>
      <xdr:colOff>93133</xdr:colOff>
      <xdr:row>21</xdr:row>
      <xdr:rowOff>74195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6E6FEBDE-BD51-F71C-5A5D-E8027598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4333" y="1320799"/>
          <a:ext cx="7696200" cy="3020596"/>
        </a:xfrm>
        <a:prstGeom prst="rect">
          <a:avLst/>
        </a:prstGeom>
      </xdr:spPr>
    </xdr:pic>
    <xdr:clientData/>
  </xdr:twoCellAnchor>
  <xdr:twoCellAnchor editAs="oneCell">
    <xdr:from>
      <xdr:col>13</xdr:col>
      <xdr:colOff>694268</xdr:colOff>
      <xdr:row>6</xdr:row>
      <xdr:rowOff>135467</xdr:rowOff>
    </xdr:from>
    <xdr:to>
      <xdr:col>21</xdr:col>
      <xdr:colOff>93133</xdr:colOff>
      <xdr:row>22</xdr:row>
      <xdr:rowOff>721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7C5103A-111B-0C7E-3145-7871A4E3F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2268" y="1354667"/>
          <a:ext cx="6104465" cy="3111691"/>
        </a:xfrm>
        <a:prstGeom prst="rect">
          <a:avLst/>
        </a:prstGeom>
      </xdr:spPr>
    </xdr:pic>
    <xdr:clientData/>
  </xdr:twoCellAnchor>
  <xdr:twoCellAnchor editAs="oneCell">
    <xdr:from>
      <xdr:col>13</xdr:col>
      <xdr:colOff>711201</xdr:colOff>
      <xdr:row>22</xdr:row>
      <xdr:rowOff>152400</xdr:rowOff>
    </xdr:from>
    <xdr:to>
      <xdr:col>20</xdr:col>
      <xdr:colOff>604981</xdr:colOff>
      <xdr:row>35</xdr:row>
      <xdr:rowOff>84666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5AB7648B-6D46-DC5B-D755-48CB6B5E4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49201" y="4622800"/>
          <a:ext cx="5761180" cy="2573866"/>
        </a:xfrm>
        <a:prstGeom prst="rect">
          <a:avLst/>
        </a:prstGeom>
      </xdr:spPr>
    </xdr:pic>
    <xdr:clientData/>
  </xdr:twoCellAnchor>
  <xdr:twoCellAnchor editAs="oneCell">
    <xdr:from>
      <xdr:col>20</xdr:col>
      <xdr:colOff>677333</xdr:colOff>
      <xdr:row>22</xdr:row>
      <xdr:rowOff>50801</xdr:rowOff>
    </xdr:from>
    <xdr:to>
      <xdr:col>30</xdr:col>
      <xdr:colOff>2757</xdr:colOff>
      <xdr:row>35</xdr:row>
      <xdr:rowOff>94377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452D15FE-7885-D3C2-F478-583738971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482733" y="4521201"/>
          <a:ext cx="7696200" cy="2685176"/>
        </a:xfrm>
        <a:prstGeom prst="rect">
          <a:avLst/>
        </a:prstGeom>
      </xdr:spPr>
    </xdr:pic>
    <xdr:clientData/>
  </xdr:twoCellAnchor>
  <xdr:twoCellAnchor editAs="oneCell">
    <xdr:from>
      <xdr:col>13</xdr:col>
      <xdr:colOff>711201</xdr:colOff>
      <xdr:row>36</xdr:row>
      <xdr:rowOff>33867</xdr:rowOff>
    </xdr:from>
    <xdr:to>
      <xdr:col>20</xdr:col>
      <xdr:colOff>516467</xdr:colOff>
      <xdr:row>48</xdr:row>
      <xdr:rowOff>60666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B6F07D4F-F830-2482-6428-178F2B81C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49201" y="7349067"/>
          <a:ext cx="5672666" cy="2465199"/>
        </a:xfrm>
        <a:prstGeom prst="rect">
          <a:avLst/>
        </a:prstGeom>
      </xdr:spPr>
    </xdr:pic>
    <xdr:clientData/>
  </xdr:twoCellAnchor>
  <xdr:twoCellAnchor editAs="oneCell">
    <xdr:from>
      <xdr:col>20</xdr:col>
      <xdr:colOff>609600</xdr:colOff>
      <xdr:row>36</xdr:row>
      <xdr:rowOff>152400</xdr:rowOff>
    </xdr:from>
    <xdr:to>
      <xdr:col>29</xdr:col>
      <xdr:colOff>762000</xdr:colOff>
      <xdr:row>47</xdr:row>
      <xdr:rowOff>143098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57562C76-9C52-2AEA-7B01-8FE1A2527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415000" y="7467600"/>
          <a:ext cx="7696200" cy="2225898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762000</xdr:colOff>
      <xdr:row>48</xdr:row>
      <xdr:rowOff>118533</xdr:rowOff>
    </xdr:from>
    <xdr:to>
      <xdr:col>20</xdr:col>
      <xdr:colOff>533400</xdr:colOff>
      <xdr:row>61</xdr:row>
      <xdr:rowOff>55184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1B359B44-673E-7357-5841-CEF93CD78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0000" y="9872133"/>
          <a:ext cx="5638800" cy="2578251"/>
        </a:xfrm>
        <a:prstGeom prst="rect">
          <a:avLst/>
        </a:prstGeom>
      </xdr:spPr>
    </xdr:pic>
    <xdr:clientData/>
  </xdr:twoCellAnchor>
  <xdr:twoCellAnchor editAs="oneCell">
    <xdr:from>
      <xdr:col>20</xdr:col>
      <xdr:colOff>660400</xdr:colOff>
      <xdr:row>48</xdr:row>
      <xdr:rowOff>135466</xdr:rowOff>
    </xdr:from>
    <xdr:to>
      <xdr:col>29</xdr:col>
      <xdr:colOff>812800</xdr:colOff>
      <xdr:row>61</xdr:row>
      <xdr:rowOff>87721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CD4EC658-359B-8CAE-7ACB-29B7E232A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465800" y="9889066"/>
          <a:ext cx="7696200" cy="2593855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762000</xdr:colOff>
      <xdr:row>61</xdr:row>
      <xdr:rowOff>135466</xdr:rowOff>
    </xdr:from>
    <xdr:to>
      <xdr:col>20</xdr:col>
      <xdr:colOff>543749</xdr:colOff>
      <xdr:row>73</xdr:row>
      <xdr:rowOff>169333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19AD299F-2F46-4FAE-2FFC-1216454B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700000" y="12530666"/>
          <a:ext cx="5649149" cy="2472267"/>
        </a:xfrm>
        <a:prstGeom prst="rect">
          <a:avLst/>
        </a:prstGeom>
      </xdr:spPr>
    </xdr:pic>
    <xdr:clientData/>
  </xdr:twoCellAnchor>
  <xdr:twoCellAnchor editAs="oneCell">
    <xdr:from>
      <xdr:col>20</xdr:col>
      <xdr:colOff>643466</xdr:colOff>
      <xdr:row>62</xdr:row>
      <xdr:rowOff>0</xdr:rowOff>
    </xdr:from>
    <xdr:to>
      <xdr:col>29</xdr:col>
      <xdr:colOff>795866</xdr:colOff>
      <xdr:row>73</xdr:row>
      <xdr:rowOff>87267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DC74FBF4-E8A3-2F39-BEA1-222128FEE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448866" y="12598400"/>
          <a:ext cx="7696200" cy="23224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760970</xdr:colOff>
      <xdr:row>57</xdr:row>
      <xdr:rowOff>127000</xdr:rowOff>
    </xdr:from>
    <xdr:to>
      <xdr:col>49</xdr:col>
      <xdr:colOff>289583</xdr:colOff>
      <xdr:row>92</xdr:row>
      <xdr:rowOff>14839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1C699766-6D0F-9925-3FAA-9EF430A19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87370" y="11709400"/>
          <a:ext cx="7910613" cy="6999839"/>
        </a:xfrm>
        <a:prstGeom prst="rect">
          <a:avLst/>
        </a:prstGeom>
      </xdr:spPr>
    </xdr:pic>
    <xdr:clientData/>
  </xdr:twoCellAnchor>
  <xdr:twoCellAnchor editAs="oneCell">
    <xdr:from>
      <xdr:col>30</xdr:col>
      <xdr:colOff>553668</xdr:colOff>
      <xdr:row>57</xdr:row>
      <xdr:rowOff>46039</xdr:rowOff>
    </xdr:from>
    <xdr:to>
      <xdr:col>40</xdr:col>
      <xdr:colOff>91984</xdr:colOff>
      <xdr:row>75</xdr:row>
      <xdr:rowOff>113000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232586F2-48E3-5BA8-B12F-52FFB5032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60733" y="11848756"/>
          <a:ext cx="7820925" cy="3794135"/>
        </a:xfrm>
        <a:prstGeom prst="rect">
          <a:avLst/>
        </a:prstGeom>
      </xdr:spPr>
    </xdr:pic>
    <xdr:clientData/>
  </xdr:twoCellAnchor>
  <xdr:twoCellAnchor editAs="oneCell">
    <xdr:from>
      <xdr:col>30</xdr:col>
      <xdr:colOff>128105</xdr:colOff>
      <xdr:row>76</xdr:row>
      <xdr:rowOff>150191</xdr:rowOff>
    </xdr:from>
    <xdr:to>
      <xdr:col>39</xdr:col>
      <xdr:colOff>473765</xdr:colOff>
      <xdr:row>104</xdr:row>
      <xdr:rowOff>75315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F74FBFFB-A570-75AB-11BD-15472330C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735170" y="15887148"/>
          <a:ext cx="7800008" cy="5722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190849</xdr:colOff>
      <xdr:row>93</xdr:row>
      <xdr:rowOff>75773</xdr:rowOff>
    </xdr:from>
    <xdr:to>
      <xdr:col>39</xdr:col>
      <xdr:colOff>380245</xdr:colOff>
      <xdr:row>130</xdr:row>
      <xdr:rowOff>26814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BAAA3B8A-C1D9-EABF-8FB3-408D628C7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89649" y="10032573"/>
          <a:ext cx="4380396" cy="746944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tan  Monika" id="{D90CC260-7677-4848-97F7-7129DDED8427}" userId="S::mobrtan@ethz.ch::a189e7a3-e797-4f38-a998-a2244a82b95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8" dT="2023-04-01T13:03:00.68" personId="{D90CC260-7677-4848-97F7-7129DDED8427}" id="{8A8CE54F-8082-F649-B0FE-AF618A8ADCBD}">
    <text>https://www.energie-experten.org/erneuerbare-energien/erdwaerme/erdwaermetauscher/betonkernaktivierung</text>
  </threadedComment>
  <threadedComment ref="K8" dT="2023-04-01T13:03:00.68" personId="{D90CC260-7677-4848-97F7-7129DDED8427}" id="{D5F2DC9B-592D-6F44-8E87-19F989E6323C}">
    <text>https://www.energie-experten.org/erneuerbare-energien/erdwaerme/erdwaermetauscher/betonkernaktivierung</text>
  </threadedComment>
  <threadedComment ref="S100" dT="2023-04-02T06:37:30.84" personId="{D90CC260-7677-4848-97F7-7129DDED8427}" id="{2CCA8132-86B4-E44B-AA9E-B42CFBBB6E89}">
    <text>https://tabsag.ch/thermoaktive-bauteilsysteme/#1563009148711-351fb76a-6b7a</text>
    <extLst>
      <x:ext xmlns:xltc2="http://schemas.microsoft.com/office/spreadsheetml/2020/threadedcomments2" uri="{F7C98A9C-CBB3-438F-8F68-D28B6AF4A901}">
        <xltc2:checksum>3201543997</xltc2:checksum>
        <xltc2:hyperlink startIndex="0" length="74" url="https://tabsag.ch/thermoaktive-bauteilsysteme/#1563009148711-351fb76a-6b7a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" dT="2023-04-03T17:15:36.20" personId="{D90CC260-7677-4848-97F7-7129DDED8427}" id="{85054BE7-BE60-7846-B538-7A546B44ABC6}">
    <text>https://www.geberit.ch/produkte/versorgungssysteme/geberit-mapress-edelstahl/</text>
  </threadedComment>
  <threadedComment ref="A22" dT="2023-04-03T17:15:36.20" personId="{D90CC260-7677-4848-97F7-7129DDED8427}" id="{201F66A2-A725-554C-AFBC-037FE323AAFD}">
    <text>https://www.geberit.ch/produkte/versorgungssysteme/geberit-mapress-edelstahl/</text>
  </threadedComment>
  <threadedComment ref="A23" dT="2023-04-03T16:44:05.95" personId="{D90CC260-7677-4848-97F7-7129DDED8427}" id="{1C7682EC-065D-344B-A507-83C0B2EC104D}">
    <text>https://www.reflex-winkelmann.com/uploads/reflex_products/PR1724de_8115700.pdf</text>
  </threadedComment>
  <threadedComment ref="J29" dT="2023-04-01T13:03:00.68" personId="{D90CC260-7677-4848-97F7-7129DDED8427}" id="{4157AB65-674A-034B-AB80-FE1FE29D6A0A}">
    <text>https://www.energie-experten.org/erneuerbare-energien/erdwaerme/erdwaermetauscher/betonkernaktivierung</text>
  </threadedComment>
  <threadedComment ref="K29" dT="2023-04-01T13:03:00.68" personId="{D90CC260-7677-4848-97F7-7129DDED8427}" id="{13567EF1-5261-D84C-B6DF-C48BCE535D08}">
    <text>https://www.energie-experten.org/erneuerbare-energien/erdwaerme/erdwaermetauscher/betonkernaktivierung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5"/>
  <sheetViews>
    <sheetView tabSelected="1" zoomScale="70" zoomScaleNormal="70" workbookViewId="0">
      <selection activeCell="B27" sqref="B27"/>
    </sheetView>
  </sheetViews>
  <sheetFormatPr defaultColWidth="11" defaultRowHeight="15.6" x14ac:dyDescent="0.3"/>
  <cols>
    <col min="1" max="1" width="31.5" bestFit="1" customWidth="1"/>
    <col min="2" max="2" width="13" bestFit="1" customWidth="1"/>
  </cols>
  <sheetData>
    <row r="1" spans="1:17" x14ac:dyDescent="0.3">
      <c r="A1" s="12" t="s">
        <v>290</v>
      </c>
      <c r="B1" s="12"/>
      <c r="C1" s="12"/>
      <c r="D1" s="12"/>
      <c r="E1" s="12"/>
      <c r="F1" s="12"/>
    </row>
    <row r="2" spans="1:17" x14ac:dyDescent="0.3">
      <c r="A2" t="s">
        <v>289</v>
      </c>
      <c r="B2" s="15">
        <f>SUM(B8:D19)*2/1000</f>
        <v>400.35586883341352</v>
      </c>
    </row>
    <row r="3" spans="1:17" x14ac:dyDescent="0.3">
      <c r="A3" t="s">
        <v>315</v>
      </c>
      <c r="B3" s="15">
        <f>SUM(C57:C59)*60/1000</f>
        <v>8364.943411747734</v>
      </c>
      <c r="C3">
        <f>B4/B3</f>
        <v>0.10988923920349063</v>
      </c>
      <c r="D3">
        <f>B3/B2</f>
        <v>20.893769925546799</v>
      </c>
    </row>
    <row r="4" spans="1:17" x14ac:dyDescent="0.3">
      <c r="A4" t="s">
        <v>316</v>
      </c>
      <c r="B4" s="15">
        <f>SUM(D57:D59)*60/1000</f>
        <v>919.21726749720972</v>
      </c>
      <c r="D4">
        <f>B4/B2</f>
        <v>2.2960004812111108</v>
      </c>
    </row>
    <row r="6" spans="1:17" x14ac:dyDescent="0.3">
      <c r="A6" s="12" t="s">
        <v>295</v>
      </c>
      <c r="B6" s="12"/>
      <c r="C6" s="12"/>
      <c r="D6" s="12"/>
      <c r="E6" s="12"/>
      <c r="F6" s="12"/>
    </row>
    <row r="7" spans="1:17" x14ac:dyDescent="0.3">
      <c r="B7" t="s">
        <v>87</v>
      </c>
      <c r="C7" t="s">
        <v>153</v>
      </c>
      <c r="D7" t="s">
        <v>273</v>
      </c>
    </row>
    <row r="8" spans="1:17" x14ac:dyDescent="0.3">
      <c r="A8" t="str">
        <f>Heating!A81</f>
        <v>Concrete Core Actiation</v>
      </c>
      <c r="B8" s="15">
        <f>Heating!C81</f>
        <v>21787.351868943999</v>
      </c>
    </row>
    <row r="9" spans="1:17" x14ac:dyDescent="0.3">
      <c r="A9" t="str">
        <f>Heating!A82</f>
        <v>Heating: Pipes</v>
      </c>
      <c r="B9" s="15">
        <f>Heating!C82</f>
        <v>22534.698095720003</v>
      </c>
    </row>
    <row r="10" spans="1:17" x14ac:dyDescent="0.3">
      <c r="A10" t="s">
        <v>287</v>
      </c>
      <c r="B10" s="15">
        <f>SUM(Heating!C83:C84)</f>
        <v>450.2747160585908</v>
      </c>
    </row>
    <row r="11" spans="1:17" x14ac:dyDescent="0.3">
      <c r="A11" t="s">
        <v>197</v>
      </c>
      <c r="B11" s="15">
        <f>Heating!C85</f>
        <v>32294.408464164</v>
      </c>
      <c r="C11" s="15"/>
      <c r="Q11" s="1" t="s">
        <v>3</v>
      </c>
    </row>
    <row r="12" spans="1:17" x14ac:dyDescent="0.3">
      <c r="A12" t="s">
        <v>33</v>
      </c>
      <c r="C12" s="15">
        <f>SUM(Cooling!C56:C58)</f>
        <v>11491.611881199999</v>
      </c>
      <c r="Q12" s="2" t="s">
        <v>4</v>
      </c>
    </row>
    <row r="13" spans="1:17" x14ac:dyDescent="0.3">
      <c r="A13" t="str">
        <f>Cooling!A59</f>
        <v>Cooling: Pipes</v>
      </c>
      <c r="C13" s="15">
        <f>Cooling!C59</f>
        <v>10667.291581759999</v>
      </c>
      <c r="Q13" s="3" t="s">
        <v>5</v>
      </c>
    </row>
    <row r="14" spans="1:17" x14ac:dyDescent="0.3">
      <c r="A14" t="s">
        <v>288</v>
      </c>
      <c r="C14" s="15">
        <f>Cooling!C60</f>
        <v>724.45119715687338</v>
      </c>
      <c r="Q14" s="29" t="s">
        <v>6</v>
      </c>
    </row>
    <row r="15" spans="1:17" x14ac:dyDescent="0.3">
      <c r="A15" t="str">
        <f>Cooling!A61</f>
        <v>Heat Exchanger</v>
      </c>
      <c r="C15" s="15">
        <f>Cooling!C61</f>
        <v>1442.0783999999999</v>
      </c>
    </row>
    <row r="16" spans="1:17" x14ac:dyDescent="0.3">
      <c r="A16" t="str">
        <f>Cooling!A62</f>
        <v>Fancoil</v>
      </c>
      <c r="C16" s="15">
        <f>Cooling!C62</f>
        <v>3212.2943999999998</v>
      </c>
    </row>
    <row r="17" spans="1:12" x14ac:dyDescent="0.3">
      <c r="A17" t="str">
        <f>Ventilation!A100</f>
        <v>AL-KO</v>
      </c>
      <c r="D17">
        <f>Ventilation!C100</f>
        <v>52117.749599999996</v>
      </c>
    </row>
    <row r="18" spans="1:12" x14ac:dyDescent="0.3">
      <c r="A18" t="str">
        <f>Ventilation!A101</f>
        <v>Ducts</v>
      </c>
      <c r="D18">
        <f>Ventilation!C101</f>
        <v>35621.846995563312</v>
      </c>
    </row>
    <row r="19" spans="1:12" x14ac:dyDescent="0.3">
      <c r="A19" t="str">
        <f>Ventilation!A103</f>
        <v>Valve</v>
      </c>
      <c r="D19">
        <f>SUM(Ventilation!C102:C103)</f>
        <v>7833.8772161399993</v>
      </c>
    </row>
    <row r="20" spans="1:12" x14ac:dyDescent="0.3">
      <c r="B20">
        <f>SUM(B8:B19)</f>
        <v>77066.733144886588</v>
      </c>
      <c r="C20">
        <f>SUM(C8:C19)</f>
        <v>27537.727460116868</v>
      </c>
      <c r="D20">
        <f>SUM(D17:D19)</f>
        <v>95573.473811703312</v>
      </c>
    </row>
    <row r="22" spans="1:12" x14ac:dyDescent="0.3">
      <c r="A22" s="12" t="s">
        <v>298</v>
      </c>
      <c r="B22" s="12"/>
      <c r="C22" s="12"/>
      <c r="D22" s="12"/>
      <c r="E22" s="12"/>
      <c r="F22" s="12"/>
      <c r="G22" s="12" t="s">
        <v>298</v>
      </c>
      <c r="H22" s="12"/>
      <c r="I22" s="12"/>
      <c r="J22" s="12"/>
      <c r="K22" s="12"/>
      <c r="L22" s="12"/>
    </row>
    <row r="23" spans="1:12" x14ac:dyDescent="0.3">
      <c r="B23" t="s">
        <v>87</v>
      </c>
      <c r="C23" t="s">
        <v>297</v>
      </c>
      <c r="D23" t="s">
        <v>273</v>
      </c>
      <c r="H23" t="s">
        <v>87</v>
      </c>
      <c r="I23" t="s">
        <v>297</v>
      </c>
      <c r="J23" t="s">
        <v>273</v>
      </c>
    </row>
    <row r="24" spans="1:12" x14ac:dyDescent="0.3">
      <c r="A24" t="s">
        <v>42</v>
      </c>
      <c r="B24">
        <f>Heating!D82</f>
        <v>4848.0718289440001</v>
      </c>
      <c r="C24">
        <f>Cooling!D59+Cooling!D58</f>
        <v>3139.89336</v>
      </c>
      <c r="G24" t="s">
        <v>42</v>
      </c>
      <c r="H24" s="15">
        <f>Heating!C82</f>
        <v>22534.698095720003</v>
      </c>
      <c r="I24" s="15">
        <f>Cooling!C59+Cooling!C58</f>
        <v>16047.994962959998</v>
      </c>
    </row>
    <row r="25" spans="1:12" x14ac:dyDescent="0.3">
      <c r="A25" t="s">
        <v>12</v>
      </c>
      <c r="B25">
        <f>Heating!D88</f>
        <v>1638.9059999999999</v>
      </c>
      <c r="C25">
        <f>Cooling!D56+Cooling!D61+Cooling!D62</f>
        <v>7621</v>
      </c>
      <c r="D25">
        <f>Ventilation!D100+Ventilation!D101+Ventilation!D102</f>
        <v>43828.170921791425</v>
      </c>
      <c r="G25" t="s">
        <v>12</v>
      </c>
      <c r="H25">
        <f>Heating!C88</f>
        <v>8335.7790587999989</v>
      </c>
      <c r="I25" s="15">
        <f>Cooling!C56+Cooling!C61+Cooling!C62</f>
        <v>6451.8112999999994</v>
      </c>
      <c r="J25">
        <f>Ventilation!C100+Ventilation!C101+Ventilation!C102</f>
        <v>94616.255385963319</v>
      </c>
    </row>
    <row r="26" spans="1:12" x14ac:dyDescent="0.3">
      <c r="A26" t="s">
        <v>193</v>
      </c>
      <c r="B26">
        <f>Heating!D87</f>
        <v>85.293000000000006</v>
      </c>
      <c r="G26" t="s">
        <v>193</v>
      </c>
      <c r="H26">
        <f>Heating!C87</f>
        <v>1666.7958060000003</v>
      </c>
    </row>
    <row r="27" spans="1:12" x14ac:dyDescent="0.3">
      <c r="A27" t="s">
        <v>296</v>
      </c>
      <c r="B27">
        <f>Heating!D90</f>
        <v>2697.52</v>
      </c>
      <c r="G27" t="s">
        <v>296</v>
      </c>
      <c r="H27">
        <f>Heating!C90</f>
        <v>22241.591904000001</v>
      </c>
    </row>
    <row r="28" spans="1:12" x14ac:dyDescent="0.3">
      <c r="A28" t="s">
        <v>41</v>
      </c>
      <c r="B28">
        <f>Heating!D83</f>
        <v>219.52274067811507</v>
      </c>
      <c r="G28" t="s">
        <v>41</v>
      </c>
      <c r="H28" s="15">
        <f>Heating!C83</f>
        <v>237.96265089507676</v>
      </c>
    </row>
    <row r="29" spans="1:12" x14ac:dyDescent="0.3">
      <c r="A29" t="s">
        <v>149</v>
      </c>
      <c r="B29">
        <f>Heating!D84</f>
        <v>54.39714710825367</v>
      </c>
      <c r="G29" t="s">
        <v>149</v>
      </c>
      <c r="H29" s="15">
        <f>Heating!C84</f>
        <v>212.31206516351406</v>
      </c>
    </row>
    <row r="30" spans="1:12" x14ac:dyDescent="0.3">
      <c r="A30" t="s">
        <v>251</v>
      </c>
      <c r="C30">
        <f>Cooling!D60</f>
        <v>259.38102297059555</v>
      </c>
      <c r="G30" t="s">
        <v>251</v>
      </c>
      <c r="I30">
        <f>Cooling!C60</f>
        <v>724.45119715687338</v>
      </c>
    </row>
    <row r="31" spans="1:12" x14ac:dyDescent="0.3">
      <c r="A31" t="s">
        <v>17</v>
      </c>
      <c r="B31">
        <f>Heating!D81</f>
        <v>6790.4000000000005</v>
      </c>
      <c r="G31" t="s">
        <v>17</v>
      </c>
      <c r="H31" s="15">
        <f>Heating!C81</f>
        <v>21787.351868943999</v>
      </c>
    </row>
    <row r="32" spans="1:12" x14ac:dyDescent="0.3">
      <c r="A32" t="s">
        <v>46</v>
      </c>
      <c r="B32">
        <f>Heating!D89</f>
        <v>5.8892400000000009</v>
      </c>
      <c r="D32">
        <f>Ventilation!D103</f>
        <v>112.2034</v>
      </c>
      <c r="G32" t="s">
        <v>46</v>
      </c>
      <c r="H32">
        <f>Heating!C89</f>
        <v>50.241695364000009</v>
      </c>
      <c r="J32">
        <f>Ventilation!C103</f>
        <v>957.21842574000004</v>
      </c>
    </row>
    <row r="33" spans="1:10" x14ac:dyDescent="0.3">
      <c r="A33" t="s">
        <v>32</v>
      </c>
      <c r="C33">
        <f>Cooling!D57</f>
        <v>245</v>
      </c>
      <c r="G33" t="s">
        <v>32</v>
      </c>
      <c r="I33" s="15">
        <f>Cooling!C57</f>
        <v>4313.47</v>
      </c>
    </row>
    <row r="37" spans="1:10" x14ac:dyDescent="0.3">
      <c r="A37" t="s">
        <v>115</v>
      </c>
      <c r="B37">
        <f>SUM(B24:B33)</f>
        <v>16339.999956730371</v>
      </c>
      <c r="C37">
        <f>SUM(C24:C33)</f>
        <v>11265.274382970596</v>
      </c>
      <c r="D37">
        <f>SUM(D24:D33)</f>
        <v>43940.374321791423</v>
      </c>
      <c r="G37" t="s">
        <v>115</v>
      </c>
      <c r="H37">
        <f>SUM(H24:H33)</f>
        <v>77066.733144886588</v>
      </c>
      <c r="I37">
        <f>SUM(I24:I33)</f>
        <v>27537.727460116868</v>
      </c>
      <c r="J37">
        <f>SUM(J24:J33)</f>
        <v>95573.473811703312</v>
      </c>
    </row>
    <row r="48" spans="1:10" x14ac:dyDescent="0.3">
      <c r="A48" s="12" t="s">
        <v>309</v>
      </c>
      <c r="B48" s="12"/>
      <c r="C48" s="12"/>
      <c r="D48" s="12"/>
      <c r="E48" s="12"/>
      <c r="F48" s="12"/>
    </row>
    <row r="49" spans="1:6" x14ac:dyDescent="0.3">
      <c r="B49" t="s">
        <v>8</v>
      </c>
      <c r="C49" t="s">
        <v>23</v>
      </c>
    </row>
    <row r="50" spans="1:6" x14ac:dyDescent="0.3">
      <c r="A50" t="s">
        <v>311</v>
      </c>
      <c r="B50" s="15">
        <f>'operational Energy'!U3</f>
        <v>687360.95172799996</v>
      </c>
    </row>
    <row r="51" spans="1:6" x14ac:dyDescent="0.3">
      <c r="A51" t="s">
        <v>297</v>
      </c>
      <c r="C51" s="15">
        <f>'operational Energy'!U4</f>
        <v>565204.04</v>
      </c>
    </row>
    <row r="52" spans="1:6" x14ac:dyDescent="0.3">
      <c r="A52" t="s">
        <v>273</v>
      </c>
      <c r="C52" s="15">
        <f>'operational Energy'!U5</f>
        <v>883817.98</v>
      </c>
    </row>
    <row r="55" spans="1:6" x14ac:dyDescent="0.3">
      <c r="A55" s="12" t="s">
        <v>310</v>
      </c>
      <c r="B55" s="12"/>
      <c r="C55" s="12"/>
      <c r="D55" s="12"/>
      <c r="E55" s="12"/>
      <c r="F55" s="12"/>
    </row>
    <row r="56" spans="1:6" x14ac:dyDescent="0.3">
      <c r="B56" t="s">
        <v>8</v>
      </c>
      <c r="C56" t="s">
        <v>324</v>
      </c>
      <c r="D56" t="s">
        <v>325</v>
      </c>
    </row>
    <row r="57" spans="1:6" ht="31.2" x14ac:dyDescent="0.3">
      <c r="A57" s="54" t="s">
        <v>312</v>
      </c>
      <c r="B57" s="15">
        <f>'operational Energy'!V3</f>
        <v>6667.4012317615998</v>
      </c>
      <c r="D57" s="15"/>
    </row>
    <row r="58" spans="1:6" ht="31.2" x14ac:dyDescent="0.3">
      <c r="A58" s="54" t="s">
        <v>313</v>
      </c>
      <c r="C58" s="15">
        <f>'operational Energy'!V4</f>
        <v>54380.353845959289</v>
      </c>
      <c r="D58" s="15">
        <f>'operational Energy'!W4</f>
        <v>5975.8157117490837</v>
      </c>
      <c r="E58" s="15">
        <f>(SUM(C58:C59))/(SUM(D58:D59))</f>
        <v>9.1000721021302233</v>
      </c>
    </row>
    <row r="59" spans="1:6" ht="31.2" x14ac:dyDescent="0.3">
      <c r="A59" s="54" t="s">
        <v>314</v>
      </c>
      <c r="C59" s="15">
        <f>'operational Energy'!V5</f>
        <v>85035.369683169585</v>
      </c>
      <c r="D59" s="15">
        <f>'operational Energy'!W5</f>
        <v>9344.4720798710787</v>
      </c>
    </row>
    <row r="73" spans="1:9" x14ac:dyDescent="0.3">
      <c r="A73" s="12" t="s">
        <v>317</v>
      </c>
      <c r="B73" s="12" t="s">
        <v>321</v>
      </c>
      <c r="C73" s="12"/>
      <c r="D73" s="12"/>
      <c r="E73" s="12"/>
      <c r="F73" s="12"/>
    </row>
    <row r="74" spans="1:9" x14ac:dyDescent="0.3">
      <c r="B74" t="s">
        <v>318</v>
      </c>
      <c r="C74" t="s">
        <v>319</v>
      </c>
      <c r="D74" t="s">
        <v>320</v>
      </c>
      <c r="G74" t="s">
        <v>318</v>
      </c>
      <c r="H74" t="s">
        <v>319</v>
      </c>
      <c r="I74" t="s">
        <v>320</v>
      </c>
    </row>
    <row r="75" spans="1:9" x14ac:dyDescent="0.3">
      <c r="A75">
        <v>2023</v>
      </c>
      <c r="B75" s="15">
        <f>SUM($B$8:$D$19)/1000</f>
        <v>200.17793441670676</v>
      </c>
      <c r="C75" s="15">
        <f>$B$57/1000</f>
        <v>6.6674012317616</v>
      </c>
      <c r="D75" s="15">
        <f>SUM($C$58:$C$59)/1000</f>
        <v>139.41572352912888</v>
      </c>
      <c r="F75">
        <v>2023</v>
      </c>
      <c r="G75" s="15">
        <f>SUM($B$8:$D$19)/1000</f>
        <v>200.17793441670676</v>
      </c>
      <c r="H75" s="15">
        <f>$B$57/1000</f>
        <v>6.6674012317616</v>
      </c>
      <c r="I75" s="15">
        <f>SUM($D$58:$D$59)/1000</f>
        <v>15.320287791620162</v>
      </c>
    </row>
    <row r="76" spans="1:9" x14ac:dyDescent="0.3">
      <c r="A76">
        <v>2024</v>
      </c>
      <c r="B76" s="15">
        <f t="shared" ref="B76:B104" si="0">SUM($B$8:$D$19)/1000</f>
        <v>200.17793441670676</v>
      </c>
      <c r="C76" s="15">
        <f>($B$57/1000+C75)</f>
        <v>13.3348024635232</v>
      </c>
      <c r="D76" s="15">
        <f>SUM($C$58:$C$59)/1000+D75</f>
        <v>278.83144705825777</v>
      </c>
      <c r="F76">
        <v>2024</v>
      </c>
      <c r="G76" s="15">
        <f t="shared" ref="G76:G104" si="1">SUM($B$8:$D$19)/1000</f>
        <v>200.17793441670676</v>
      </c>
      <c r="H76" s="15">
        <f>$B$57/1000+H75</f>
        <v>13.3348024635232</v>
      </c>
      <c r="I76" s="15">
        <f>SUM($D$58:$D$59)/1000+I75</f>
        <v>30.640575583240324</v>
      </c>
    </row>
    <row r="77" spans="1:9" x14ac:dyDescent="0.3">
      <c r="A77">
        <v>2025</v>
      </c>
      <c r="B77" s="15">
        <f t="shared" si="0"/>
        <v>200.17793441670676</v>
      </c>
      <c r="C77" s="15">
        <f>($B$57/1000+C76)</f>
        <v>20.002203695284798</v>
      </c>
      <c r="D77" s="15">
        <f t="shared" ref="D77:D135" si="2">SUM($C$58:$C$59)/1000+D76</f>
        <v>418.24717058738668</v>
      </c>
      <c r="F77">
        <v>2025</v>
      </c>
      <c r="G77" s="15">
        <f t="shared" si="1"/>
        <v>200.17793441670676</v>
      </c>
      <c r="H77" s="15">
        <f t="shared" ref="H77:H135" si="3">$B$57/1000+H76</f>
        <v>20.002203695284798</v>
      </c>
      <c r="I77" s="15">
        <f t="shared" ref="I77:I135" si="4">SUM($D$58:$D$59)/1000+I76</f>
        <v>45.960863374860487</v>
      </c>
    </row>
    <row r="78" spans="1:9" x14ac:dyDescent="0.3">
      <c r="A78">
        <v>2026</v>
      </c>
      <c r="B78" s="15">
        <f t="shared" si="0"/>
        <v>200.17793441670676</v>
      </c>
      <c r="C78" s="15">
        <f t="shared" ref="C78:C135" si="5">($B$57/1000+C77)</f>
        <v>26.6696049270464</v>
      </c>
      <c r="D78" s="15">
        <f t="shared" si="2"/>
        <v>557.66289411651553</v>
      </c>
      <c r="F78">
        <v>2026</v>
      </c>
      <c r="G78" s="15">
        <f t="shared" si="1"/>
        <v>200.17793441670676</v>
      </c>
      <c r="H78" s="15">
        <f t="shared" si="3"/>
        <v>26.6696049270464</v>
      </c>
      <c r="I78" s="15">
        <f t="shared" si="4"/>
        <v>61.281151166480647</v>
      </c>
    </row>
    <row r="79" spans="1:9" x14ac:dyDescent="0.3">
      <c r="A79">
        <v>2027</v>
      </c>
      <c r="B79" s="15">
        <f t="shared" si="0"/>
        <v>200.17793441670676</v>
      </c>
      <c r="C79" s="15">
        <f t="shared" si="5"/>
        <v>33.337006158808002</v>
      </c>
      <c r="D79" s="15">
        <f t="shared" si="2"/>
        <v>697.07861764564439</v>
      </c>
      <c r="F79">
        <v>2027</v>
      </c>
      <c r="G79" s="15">
        <f t="shared" si="1"/>
        <v>200.17793441670676</v>
      </c>
      <c r="H79" s="15">
        <f t="shared" si="3"/>
        <v>33.337006158808002</v>
      </c>
      <c r="I79" s="15">
        <f t="shared" si="4"/>
        <v>76.601438958100815</v>
      </c>
    </row>
    <row r="80" spans="1:9" x14ac:dyDescent="0.3">
      <c r="A80">
        <v>2028</v>
      </c>
      <c r="B80" s="15">
        <f t="shared" si="0"/>
        <v>200.17793441670676</v>
      </c>
      <c r="C80" s="15">
        <f t="shared" si="5"/>
        <v>40.004407390569604</v>
      </c>
      <c r="D80" s="15">
        <f t="shared" si="2"/>
        <v>836.49434117477324</v>
      </c>
      <c r="F80">
        <v>2028</v>
      </c>
      <c r="G80" s="15">
        <f t="shared" si="1"/>
        <v>200.17793441670676</v>
      </c>
      <c r="H80" s="15">
        <f t="shared" si="3"/>
        <v>40.004407390569604</v>
      </c>
      <c r="I80" s="15">
        <f t="shared" si="4"/>
        <v>91.921726749720975</v>
      </c>
    </row>
    <row r="81" spans="1:9" x14ac:dyDescent="0.3">
      <c r="A81">
        <v>2029</v>
      </c>
      <c r="B81" s="15">
        <f t="shared" si="0"/>
        <v>200.17793441670676</v>
      </c>
      <c r="C81" s="15">
        <f t="shared" si="5"/>
        <v>46.671808622331206</v>
      </c>
      <c r="D81" s="15">
        <f t="shared" si="2"/>
        <v>975.91006470390209</v>
      </c>
      <c r="F81">
        <v>2029</v>
      </c>
      <c r="G81" s="15">
        <f t="shared" si="1"/>
        <v>200.17793441670676</v>
      </c>
      <c r="H81" s="15">
        <f t="shared" si="3"/>
        <v>46.671808622331206</v>
      </c>
      <c r="I81" s="15">
        <f t="shared" si="4"/>
        <v>107.24201454134113</v>
      </c>
    </row>
    <row r="82" spans="1:9" x14ac:dyDescent="0.3">
      <c r="A82">
        <v>2030</v>
      </c>
      <c r="B82" s="15">
        <f t="shared" si="0"/>
        <v>200.17793441670676</v>
      </c>
      <c r="C82" s="15">
        <f t="shared" si="5"/>
        <v>53.339209854092807</v>
      </c>
      <c r="D82" s="15">
        <f t="shared" si="2"/>
        <v>1115.3257882330311</v>
      </c>
      <c r="F82">
        <v>2030</v>
      </c>
      <c r="G82" s="15">
        <f t="shared" si="1"/>
        <v>200.17793441670676</v>
      </c>
      <c r="H82" s="15">
        <f t="shared" si="3"/>
        <v>53.339209854092807</v>
      </c>
      <c r="I82" s="15">
        <f t="shared" si="4"/>
        <v>122.56230233296129</v>
      </c>
    </row>
    <row r="83" spans="1:9" x14ac:dyDescent="0.3">
      <c r="A83">
        <v>2031</v>
      </c>
      <c r="B83" s="15">
        <f t="shared" si="0"/>
        <v>200.17793441670676</v>
      </c>
      <c r="C83" s="15">
        <f t="shared" si="5"/>
        <v>60.006611085854409</v>
      </c>
      <c r="D83" s="15">
        <f t="shared" si="2"/>
        <v>1254.7415117621599</v>
      </c>
      <c r="F83">
        <v>2031</v>
      </c>
      <c r="G83" s="15">
        <f t="shared" si="1"/>
        <v>200.17793441670676</v>
      </c>
      <c r="H83" s="15">
        <f t="shared" si="3"/>
        <v>60.006611085854409</v>
      </c>
      <c r="I83" s="15">
        <f t="shared" si="4"/>
        <v>137.88259012458147</v>
      </c>
    </row>
    <row r="84" spans="1:9" x14ac:dyDescent="0.3">
      <c r="A84">
        <v>2032</v>
      </c>
      <c r="B84" s="15">
        <f t="shared" si="0"/>
        <v>200.17793441670676</v>
      </c>
      <c r="C84" s="15">
        <f t="shared" si="5"/>
        <v>66.674012317616004</v>
      </c>
      <c r="D84" s="15">
        <f t="shared" si="2"/>
        <v>1394.1572352912888</v>
      </c>
      <c r="F84">
        <v>2032</v>
      </c>
      <c r="G84" s="15">
        <f t="shared" si="1"/>
        <v>200.17793441670676</v>
      </c>
      <c r="H84" s="15">
        <f t="shared" si="3"/>
        <v>66.674012317616004</v>
      </c>
      <c r="I84" s="15">
        <f t="shared" si="4"/>
        <v>153.20287791620163</v>
      </c>
    </row>
    <row r="85" spans="1:9" x14ac:dyDescent="0.3">
      <c r="A85">
        <v>2033</v>
      </c>
      <c r="B85" s="15">
        <f t="shared" si="0"/>
        <v>200.17793441670676</v>
      </c>
      <c r="C85" s="15">
        <f t="shared" si="5"/>
        <v>73.341413549377606</v>
      </c>
      <c r="D85" s="15">
        <f t="shared" si="2"/>
        <v>1533.5729588204176</v>
      </c>
      <c r="F85">
        <v>2033</v>
      </c>
      <c r="G85" s="15">
        <f t="shared" si="1"/>
        <v>200.17793441670676</v>
      </c>
      <c r="H85" s="15">
        <f t="shared" si="3"/>
        <v>73.341413549377606</v>
      </c>
      <c r="I85" s="15">
        <f t="shared" si="4"/>
        <v>168.52316570782179</v>
      </c>
    </row>
    <row r="86" spans="1:9" x14ac:dyDescent="0.3">
      <c r="A86">
        <v>2034</v>
      </c>
      <c r="B86" s="15">
        <f t="shared" si="0"/>
        <v>200.17793441670676</v>
      </c>
      <c r="C86" s="15">
        <f t="shared" si="5"/>
        <v>80.008814781139208</v>
      </c>
      <c r="D86" s="15">
        <f t="shared" si="2"/>
        <v>1672.9886823495465</v>
      </c>
      <c r="F86">
        <v>2034</v>
      </c>
      <c r="G86" s="15">
        <f t="shared" si="1"/>
        <v>200.17793441670676</v>
      </c>
      <c r="H86" s="15">
        <f t="shared" si="3"/>
        <v>80.008814781139208</v>
      </c>
      <c r="I86" s="15">
        <f t="shared" si="4"/>
        <v>183.84345349944195</v>
      </c>
    </row>
    <row r="87" spans="1:9" x14ac:dyDescent="0.3">
      <c r="A87">
        <v>2035</v>
      </c>
      <c r="B87" s="15">
        <f t="shared" si="0"/>
        <v>200.17793441670676</v>
      </c>
      <c r="C87" s="15">
        <f t="shared" si="5"/>
        <v>86.676216012900809</v>
      </c>
      <c r="D87" s="15">
        <f t="shared" si="2"/>
        <v>1812.4044058786753</v>
      </c>
      <c r="F87">
        <v>2035</v>
      </c>
      <c r="G87" s="15">
        <f t="shared" si="1"/>
        <v>200.17793441670676</v>
      </c>
      <c r="H87" s="15">
        <f t="shared" si="3"/>
        <v>86.676216012900809</v>
      </c>
      <c r="I87" s="15">
        <f t="shared" si="4"/>
        <v>199.16374129106211</v>
      </c>
    </row>
    <row r="88" spans="1:9" x14ac:dyDescent="0.3">
      <c r="A88">
        <v>2036</v>
      </c>
      <c r="B88" s="15">
        <f t="shared" si="0"/>
        <v>200.17793441670676</v>
      </c>
      <c r="C88" s="15">
        <f t="shared" si="5"/>
        <v>93.343617244662411</v>
      </c>
      <c r="D88" s="15">
        <f t="shared" si="2"/>
        <v>1951.8201294078042</v>
      </c>
      <c r="F88">
        <v>2036</v>
      </c>
      <c r="G88" s="15">
        <f t="shared" si="1"/>
        <v>200.17793441670676</v>
      </c>
      <c r="H88" s="15">
        <f t="shared" si="3"/>
        <v>93.343617244662411</v>
      </c>
      <c r="I88" s="15">
        <f t="shared" si="4"/>
        <v>214.48402908268227</v>
      </c>
    </row>
    <row r="89" spans="1:9" x14ac:dyDescent="0.3">
      <c r="A89">
        <v>2037</v>
      </c>
      <c r="B89" s="15">
        <f t="shared" si="0"/>
        <v>200.17793441670676</v>
      </c>
      <c r="C89" s="15">
        <f t="shared" si="5"/>
        <v>100.01101847642401</v>
      </c>
      <c r="D89" s="15">
        <f t="shared" si="2"/>
        <v>2091.235852936933</v>
      </c>
      <c r="F89">
        <v>2037</v>
      </c>
      <c r="G89" s="15">
        <f t="shared" si="1"/>
        <v>200.17793441670676</v>
      </c>
      <c r="H89" s="15">
        <f t="shared" si="3"/>
        <v>100.01101847642401</v>
      </c>
      <c r="I89" s="15">
        <f t="shared" si="4"/>
        <v>229.80431687430243</v>
      </c>
    </row>
    <row r="90" spans="1:9" x14ac:dyDescent="0.3">
      <c r="A90">
        <v>2038</v>
      </c>
      <c r="B90" s="15">
        <f t="shared" si="0"/>
        <v>200.17793441670676</v>
      </c>
      <c r="C90" s="15">
        <f t="shared" si="5"/>
        <v>106.67841970818561</v>
      </c>
      <c r="D90" s="15">
        <f t="shared" si="2"/>
        <v>2230.6515764660621</v>
      </c>
      <c r="F90">
        <v>2038</v>
      </c>
      <c r="G90" s="15">
        <f t="shared" si="1"/>
        <v>200.17793441670676</v>
      </c>
      <c r="H90" s="15">
        <f t="shared" si="3"/>
        <v>106.67841970818561</v>
      </c>
      <c r="I90" s="15">
        <f t="shared" si="4"/>
        <v>245.12460466592259</v>
      </c>
    </row>
    <row r="91" spans="1:9" x14ac:dyDescent="0.3">
      <c r="A91">
        <v>2039</v>
      </c>
      <c r="B91" s="15">
        <f t="shared" si="0"/>
        <v>200.17793441670676</v>
      </c>
      <c r="C91" s="15">
        <f t="shared" si="5"/>
        <v>113.34582093994722</v>
      </c>
      <c r="D91" s="15">
        <f t="shared" si="2"/>
        <v>2370.0672999951912</v>
      </c>
      <c r="F91">
        <v>2039</v>
      </c>
      <c r="G91" s="15">
        <f t="shared" si="1"/>
        <v>200.17793441670676</v>
      </c>
      <c r="H91" s="15">
        <f t="shared" si="3"/>
        <v>113.34582093994722</v>
      </c>
      <c r="I91" s="15">
        <f t="shared" si="4"/>
        <v>260.44489245754278</v>
      </c>
    </row>
    <row r="92" spans="1:9" x14ac:dyDescent="0.3">
      <c r="A92">
        <v>2040</v>
      </c>
      <c r="B92" s="15">
        <f t="shared" si="0"/>
        <v>200.17793441670676</v>
      </c>
      <c r="C92" s="15">
        <f t="shared" si="5"/>
        <v>120.01322217170882</v>
      </c>
      <c r="D92" s="15">
        <f t="shared" si="2"/>
        <v>2509.4830235243203</v>
      </c>
      <c r="F92">
        <v>2040</v>
      </c>
      <c r="G92" s="15">
        <f t="shared" si="1"/>
        <v>200.17793441670676</v>
      </c>
      <c r="H92" s="15">
        <f t="shared" si="3"/>
        <v>120.01322217170882</v>
      </c>
      <c r="I92" s="15">
        <f t="shared" si="4"/>
        <v>275.76518024916294</v>
      </c>
    </row>
    <row r="93" spans="1:9" x14ac:dyDescent="0.3">
      <c r="A93">
        <v>2041</v>
      </c>
      <c r="B93" s="15">
        <f t="shared" si="0"/>
        <v>200.17793441670676</v>
      </c>
      <c r="C93" s="15">
        <f t="shared" si="5"/>
        <v>126.68062340347042</v>
      </c>
      <c r="D93" s="15">
        <f t="shared" si="2"/>
        <v>2648.8987470534494</v>
      </c>
      <c r="F93">
        <v>2041</v>
      </c>
      <c r="G93" s="15">
        <f t="shared" si="1"/>
        <v>200.17793441670676</v>
      </c>
      <c r="H93" s="15">
        <f t="shared" si="3"/>
        <v>126.68062340347042</v>
      </c>
      <c r="I93" s="15">
        <f t="shared" si="4"/>
        <v>291.0854680407831</v>
      </c>
    </row>
    <row r="94" spans="1:9" x14ac:dyDescent="0.3">
      <c r="A94">
        <v>2042</v>
      </c>
      <c r="B94" s="15">
        <f t="shared" si="0"/>
        <v>200.17793441670676</v>
      </c>
      <c r="C94" s="15">
        <f t="shared" si="5"/>
        <v>133.34802463523201</v>
      </c>
      <c r="D94" s="15">
        <f t="shared" si="2"/>
        <v>2788.3144705825785</v>
      </c>
      <c r="F94">
        <v>2042</v>
      </c>
      <c r="G94" s="15">
        <f t="shared" si="1"/>
        <v>200.17793441670676</v>
      </c>
      <c r="H94" s="15">
        <f t="shared" si="3"/>
        <v>133.34802463523201</v>
      </c>
      <c r="I94" s="15">
        <f t="shared" si="4"/>
        <v>306.40575583240326</v>
      </c>
    </row>
    <row r="95" spans="1:9" x14ac:dyDescent="0.3">
      <c r="A95">
        <v>2043</v>
      </c>
      <c r="B95" s="15">
        <f t="shared" si="0"/>
        <v>200.17793441670676</v>
      </c>
      <c r="C95" s="15">
        <f t="shared" si="5"/>
        <v>140.01542586699361</v>
      </c>
      <c r="D95" s="15">
        <f t="shared" si="2"/>
        <v>2927.7301941117075</v>
      </c>
      <c r="F95">
        <v>2043</v>
      </c>
      <c r="G95" s="15">
        <f t="shared" si="1"/>
        <v>200.17793441670676</v>
      </c>
      <c r="H95" s="15">
        <f t="shared" si="3"/>
        <v>140.01542586699361</v>
      </c>
      <c r="I95" s="15">
        <f t="shared" si="4"/>
        <v>321.72604362402342</v>
      </c>
    </row>
    <row r="96" spans="1:9" x14ac:dyDescent="0.3">
      <c r="A96">
        <v>2044</v>
      </c>
      <c r="B96" s="15">
        <f t="shared" si="0"/>
        <v>200.17793441670676</v>
      </c>
      <c r="C96" s="15">
        <f t="shared" si="5"/>
        <v>146.68282709875521</v>
      </c>
      <c r="D96" s="15">
        <f t="shared" si="2"/>
        <v>3067.1459176408366</v>
      </c>
      <c r="F96">
        <v>2044</v>
      </c>
      <c r="G96" s="15">
        <f t="shared" si="1"/>
        <v>200.17793441670676</v>
      </c>
      <c r="H96" s="15">
        <f t="shared" si="3"/>
        <v>146.68282709875521</v>
      </c>
      <c r="I96" s="15">
        <f t="shared" si="4"/>
        <v>337.04633141564358</v>
      </c>
    </row>
    <row r="97" spans="1:9" x14ac:dyDescent="0.3">
      <c r="A97">
        <v>2045</v>
      </c>
      <c r="B97" s="15">
        <f t="shared" si="0"/>
        <v>200.17793441670676</v>
      </c>
      <c r="C97" s="15">
        <f t="shared" si="5"/>
        <v>153.35022833051681</v>
      </c>
      <c r="D97" s="15">
        <f t="shared" si="2"/>
        <v>3206.5616411699657</v>
      </c>
      <c r="F97">
        <v>2045</v>
      </c>
      <c r="G97" s="15">
        <f t="shared" si="1"/>
        <v>200.17793441670676</v>
      </c>
      <c r="H97" s="15">
        <f t="shared" si="3"/>
        <v>153.35022833051681</v>
      </c>
      <c r="I97" s="15">
        <f t="shared" si="4"/>
        <v>352.36661920726374</v>
      </c>
    </row>
    <row r="98" spans="1:9" x14ac:dyDescent="0.3">
      <c r="A98">
        <v>2046</v>
      </c>
      <c r="B98" s="15">
        <f t="shared" si="0"/>
        <v>200.17793441670676</v>
      </c>
      <c r="C98" s="15">
        <f t="shared" si="5"/>
        <v>160.01762956227842</v>
      </c>
      <c r="D98" s="15">
        <f t="shared" si="2"/>
        <v>3345.9773646990948</v>
      </c>
      <c r="F98">
        <v>2046</v>
      </c>
      <c r="G98" s="15">
        <f t="shared" si="1"/>
        <v>200.17793441670676</v>
      </c>
      <c r="H98" s="15">
        <f t="shared" si="3"/>
        <v>160.01762956227842</v>
      </c>
      <c r="I98" s="15">
        <f t="shared" si="4"/>
        <v>367.6869069988839</v>
      </c>
    </row>
    <row r="99" spans="1:9" x14ac:dyDescent="0.3">
      <c r="A99">
        <v>2047</v>
      </c>
      <c r="B99" s="15">
        <f t="shared" si="0"/>
        <v>200.17793441670676</v>
      </c>
      <c r="C99" s="15">
        <f t="shared" si="5"/>
        <v>166.68503079404002</v>
      </c>
      <c r="D99" s="15">
        <f t="shared" si="2"/>
        <v>3485.3930882282239</v>
      </c>
      <c r="F99">
        <v>2047</v>
      </c>
      <c r="G99" s="15">
        <f t="shared" si="1"/>
        <v>200.17793441670676</v>
      </c>
      <c r="H99" s="15">
        <f t="shared" si="3"/>
        <v>166.68503079404002</v>
      </c>
      <c r="I99" s="15">
        <f t="shared" si="4"/>
        <v>383.00719479050406</v>
      </c>
    </row>
    <row r="100" spans="1:9" x14ac:dyDescent="0.3">
      <c r="A100">
        <v>2048</v>
      </c>
      <c r="B100" s="15">
        <f t="shared" si="0"/>
        <v>200.17793441670676</v>
      </c>
      <c r="C100" s="15">
        <f t="shared" si="5"/>
        <v>173.35243202580162</v>
      </c>
      <c r="D100" s="15">
        <f t="shared" si="2"/>
        <v>3624.8088117573529</v>
      </c>
      <c r="F100">
        <v>2048</v>
      </c>
      <c r="G100" s="15">
        <f t="shared" si="1"/>
        <v>200.17793441670676</v>
      </c>
      <c r="H100" s="15">
        <f t="shared" si="3"/>
        <v>173.35243202580162</v>
      </c>
      <c r="I100" s="15">
        <f t="shared" si="4"/>
        <v>398.32748258212422</v>
      </c>
    </row>
    <row r="101" spans="1:9" x14ac:dyDescent="0.3">
      <c r="A101">
        <v>2049</v>
      </c>
      <c r="B101" s="15">
        <f t="shared" si="0"/>
        <v>200.17793441670676</v>
      </c>
      <c r="C101" s="15">
        <f t="shared" si="5"/>
        <v>180.01983325756322</v>
      </c>
      <c r="D101" s="15">
        <f t="shared" si="2"/>
        <v>3764.224535286482</v>
      </c>
      <c r="F101">
        <v>2049</v>
      </c>
      <c r="G101" s="15">
        <f t="shared" si="1"/>
        <v>200.17793441670676</v>
      </c>
      <c r="H101" s="15">
        <f t="shared" si="3"/>
        <v>180.01983325756322</v>
      </c>
      <c r="I101" s="15">
        <f t="shared" si="4"/>
        <v>413.64777037374438</v>
      </c>
    </row>
    <row r="102" spans="1:9" x14ac:dyDescent="0.3">
      <c r="A102">
        <v>2050</v>
      </c>
      <c r="B102" s="15">
        <f t="shared" si="0"/>
        <v>200.17793441670676</v>
      </c>
      <c r="C102" s="15">
        <f t="shared" si="5"/>
        <v>186.68723448932482</v>
      </c>
      <c r="D102" s="15">
        <f t="shared" si="2"/>
        <v>3903.6402588156111</v>
      </c>
      <c r="F102">
        <v>2050</v>
      </c>
      <c r="G102" s="15">
        <f t="shared" si="1"/>
        <v>200.17793441670676</v>
      </c>
      <c r="H102" s="15">
        <f t="shared" si="3"/>
        <v>186.68723448932482</v>
      </c>
      <c r="I102" s="15">
        <f t="shared" si="4"/>
        <v>428.96805816536454</v>
      </c>
    </row>
    <row r="103" spans="1:9" x14ac:dyDescent="0.3">
      <c r="A103">
        <v>2051</v>
      </c>
      <c r="B103" s="15">
        <f t="shared" si="0"/>
        <v>200.17793441670676</v>
      </c>
      <c r="C103" s="15">
        <f t="shared" si="5"/>
        <v>193.35463572108642</v>
      </c>
      <c r="D103" s="15">
        <f t="shared" si="2"/>
        <v>4043.0559823447402</v>
      </c>
      <c r="F103">
        <v>2051</v>
      </c>
      <c r="G103" s="15">
        <f t="shared" si="1"/>
        <v>200.17793441670676</v>
      </c>
      <c r="H103" s="15">
        <f t="shared" si="3"/>
        <v>193.35463572108642</v>
      </c>
      <c r="I103" s="15">
        <f t="shared" si="4"/>
        <v>444.2883459569847</v>
      </c>
    </row>
    <row r="104" spans="1:9" x14ac:dyDescent="0.3">
      <c r="A104">
        <v>2052</v>
      </c>
      <c r="B104" s="15">
        <f t="shared" si="0"/>
        <v>200.17793441670676</v>
      </c>
      <c r="C104" s="15">
        <f t="shared" si="5"/>
        <v>200.02203695284803</v>
      </c>
      <c r="D104" s="15">
        <f t="shared" si="2"/>
        <v>4182.4717058738688</v>
      </c>
      <c r="F104">
        <v>2052</v>
      </c>
      <c r="G104" s="15">
        <f t="shared" si="1"/>
        <v>200.17793441670676</v>
      </c>
      <c r="H104" s="15">
        <f t="shared" si="3"/>
        <v>200.02203695284803</v>
      </c>
      <c r="I104" s="15">
        <f t="shared" si="4"/>
        <v>459.60863374860486</v>
      </c>
    </row>
    <row r="105" spans="1:9" x14ac:dyDescent="0.3">
      <c r="A105">
        <v>2053</v>
      </c>
      <c r="B105" s="15">
        <f>SUM($B$8:$D$19)*2/1000</f>
        <v>400.35586883341352</v>
      </c>
      <c r="C105" s="15">
        <f t="shared" si="5"/>
        <v>206.68943818460963</v>
      </c>
      <c r="D105" s="15">
        <f t="shared" si="2"/>
        <v>4321.8874294029974</v>
      </c>
      <c r="F105">
        <v>2053</v>
      </c>
      <c r="G105" s="15">
        <f>SUM($B$8:$D$19)*2/1000</f>
        <v>400.35586883341352</v>
      </c>
      <c r="H105" s="15">
        <f t="shared" si="3"/>
        <v>206.68943818460963</v>
      </c>
      <c r="I105" s="15">
        <f t="shared" si="4"/>
        <v>474.92892154022502</v>
      </c>
    </row>
    <row r="106" spans="1:9" x14ac:dyDescent="0.3">
      <c r="A106">
        <v>2054</v>
      </c>
      <c r="B106" s="15">
        <f t="shared" ref="B106:B135" si="6">SUM($B$8:$D$19)*2/1000</f>
        <v>400.35586883341352</v>
      </c>
      <c r="C106" s="15">
        <f t="shared" si="5"/>
        <v>213.35683941637123</v>
      </c>
      <c r="D106" s="15">
        <f t="shared" si="2"/>
        <v>4461.3031529321261</v>
      </c>
      <c r="F106">
        <v>2054</v>
      </c>
      <c r="G106" s="15">
        <f t="shared" ref="G106:G135" si="7">SUM($B$8:$D$19)*2/1000</f>
        <v>400.35586883341352</v>
      </c>
      <c r="H106" s="15">
        <f t="shared" si="3"/>
        <v>213.35683941637123</v>
      </c>
      <c r="I106" s="15">
        <f t="shared" si="4"/>
        <v>490.24920933184518</v>
      </c>
    </row>
    <row r="107" spans="1:9" x14ac:dyDescent="0.3">
      <c r="A107">
        <v>2055</v>
      </c>
      <c r="B107" s="15">
        <f t="shared" si="6"/>
        <v>400.35586883341352</v>
      </c>
      <c r="C107" s="15">
        <f t="shared" si="5"/>
        <v>220.02424064813283</v>
      </c>
      <c r="D107" s="15">
        <f t="shared" si="2"/>
        <v>4600.7188764612547</v>
      </c>
      <c r="F107">
        <v>2055</v>
      </c>
      <c r="G107" s="15">
        <f t="shared" si="7"/>
        <v>400.35586883341352</v>
      </c>
      <c r="H107" s="15">
        <f t="shared" si="3"/>
        <v>220.02424064813283</v>
      </c>
      <c r="I107" s="15">
        <f t="shared" si="4"/>
        <v>505.56949712346534</v>
      </c>
    </row>
    <row r="108" spans="1:9" x14ac:dyDescent="0.3">
      <c r="A108">
        <v>2056</v>
      </c>
      <c r="B108" s="15">
        <f t="shared" si="6"/>
        <v>400.35586883341352</v>
      </c>
      <c r="C108" s="15">
        <f t="shared" si="5"/>
        <v>226.69164187989443</v>
      </c>
      <c r="D108" s="15">
        <f t="shared" si="2"/>
        <v>4740.1345999903833</v>
      </c>
      <c r="F108">
        <v>2056</v>
      </c>
      <c r="G108" s="15">
        <f t="shared" si="7"/>
        <v>400.35586883341352</v>
      </c>
      <c r="H108" s="15">
        <f t="shared" si="3"/>
        <v>226.69164187989443</v>
      </c>
      <c r="I108" s="15">
        <f t="shared" si="4"/>
        <v>520.88978491508556</v>
      </c>
    </row>
    <row r="109" spans="1:9" x14ac:dyDescent="0.3">
      <c r="A109">
        <v>2057</v>
      </c>
      <c r="B109" s="15">
        <f t="shared" si="6"/>
        <v>400.35586883341352</v>
      </c>
      <c r="C109" s="15">
        <f t="shared" si="5"/>
        <v>233.35904311165604</v>
      </c>
      <c r="D109" s="15">
        <f t="shared" si="2"/>
        <v>4879.5503235195119</v>
      </c>
      <c r="F109">
        <v>2057</v>
      </c>
      <c r="G109" s="15">
        <f t="shared" si="7"/>
        <v>400.35586883341352</v>
      </c>
      <c r="H109" s="15">
        <f t="shared" si="3"/>
        <v>233.35904311165604</v>
      </c>
      <c r="I109" s="15">
        <f t="shared" si="4"/>
        <v>536.21007270670577</v>
      </c>
    </row>
    <row r="110" spans="1:9" x14ac:dyDescent="0.3">
      <c r="A110">
        <v>2058</v>
      </c>
      <c r="B110" s="15">
        <f t="shared" si="6"/>
        <v>400.35586883341352</v>
      </c>
      <c r="C110" s="15">
        <f t="shared" si="5"/>
        <v>240.02644434341764</v>
      </c>
      <c r="D110" s="15">
        <f t="shared" si="2"/>
        <v>5018.9660470486406</v>
      </c>
      <c r="F110">
        <v>2058</v>
      </c>
      <c r="G110" s="15">
        <f t="shared" si="7"/>
        <v>400.35586883341352</v>
      </c>
      <c r="H110" s="15">
        <f t="shared" si="3"/>
        <v>240.02644434341764</v>
      </c>
      <c r="I110" s="15">
        <f t="shared" si="4"/>
        <v>551.53036049832599</v>
      </c>
    </row>
    <row r="111" spans="1:9" x14ac:dyDescent="0.3">
      <c r="A111">
        <v>2059</v>
      </c>
      <c r="B111" s="15">
        <f t="shared" si="6"/>
        <v>400.35586883341352</v>
      </c>
      <c r="C111" s="15">
        <f t="shared" si="5"/>
        <v>246.69384557517924</v>
      </c>
      <c r="D111" s="15">
        <f t="shared" si="2"/>
        <v>5158.3817705777692</v>
      </c>
      <c r="F111">
        <v>2059</v>
      </c>
      <c r="G111" s="15">
        <f t="shared" si="7"/>
        <v>400.35586883341352</v>
      </c>
      <c r="H111" s="15">
        <f t="shared" si="3"/>
        <v>246.69384557517924</v>
      </c>
      <c r="I111" s="15">
        <f t="shared" si="4"/>
        <v>566.85064828994621</v>
      </c>
    </row>
    <row r="112" spans="1:9" x14ac:dyDescent="0.3">
      <c r="A112">
        <v>2060</v>
      </c>
      <c r="B112" s="15">
        <f t="shared" si="6"/>
        <v>400.35586883341352</v>
      </c>
      <c r="C112" s="15">
        <f t="shared" si="5"/>
        <v>253.36124680694084</v>
      </c>
      <c r="D112" s="15">
        <f t="shared" si="2"/>
        <v>5297.7974941068978</v>
      </c>
      <c r="F112">
        <v>2060</v>
      </c>
      <c r="G112" s="15">
        <f t="shared" si="7"/>
        <v>400.35586883341352</v>
      </c>
      <c r="H112" s="15">
        <f t="shared" si="3"/>
        <v>253.36124680694084</v>
      </c>
      <c r="I112" s="15">
        <f t="shared" si="4"/>
        <v>582.17093608156642</v>
      </c>
    </row>
    <row r="113" spans="1:9" x14ac:dyDescent="0.3">
      <c r="A113">
        <v>2061</v>
      </c>
      <c r="B113" s="15">
        <f t="shared" si="6"/>
        <v>400.35586883341352</v>
      </c>
      <c r="C113" s="15">
        <f t="shared" si="5"/>
        <v>260.02864803870244</v>
      </c>
      <c r="D113" s="15">
        <f t="shared" si="2"/>
        <v>5437.2132176360265</v>
      </c>
      <c r="F113">
        <v>2061</v>
      </c>
      <c r="G113" s="15">
        <f t="shared" si="7"/>
        <v>400.35586883341352</v>
      </c>
      <c r="H113" s="15">
        <f t="shared" si="3"/>
        <v>260.02864803870244</v>
      </c>
      <c r="I113" s="15">
        <f t="shared" si="4"/>
        <v>597.49122387318664</v>
      </c>
    </row>
    <row r="114" spans="1:9" x14ac:dyDescent="0.3">
      <c r="A114">
        <v>2062</v>
      </c>
      <c r="B114" s="15">
        <f t="shared" si="6"/>
        <v>400.35586883341352</v>
      </c>
      <c r="C114" s="15">
        <f t="shared" si="5"/>
        <v>266.69604927046402</v>
      </c>
      <c r="D114" s="15">
        <f t="shared" si="2"/>
        <v>5576.6289411651551</v>
      </c>
      <c r="F114">
        <v>2062</v>
      </c>
      <c r="G114" s="15">
        <f t="shared" si="7"/>
        <v>400.35586883341352</v>
      </c>
      <c r="H114" s="15">
        <f t="shared" si="3"/>
        <v>266.69604927046402</v>
      </c>
      <c r="I114" s="15">
        <f t="shared" si="4"/>
        <v>612.81151166480686</v>
      </c>
    </row>
    <row r="115" spans="1:9" x14ac:dyDescent="0.3">
      <c r="A115">
        <v>2063</v>
      </c>
      <c r="B115" s="15">
        <f t="shared" si="6"/>
        <v>400.35586883341352</v>
      </c>
      <c r="C115" s="15">
        <f t="shared" si="5"/>
        <v>273.36345050222559</v>
      </c>
      <c r="D115" s="15">
        <f t="shared" si="2"/>
        <v>5716.0446646942837</v>
      </c>
      <c r="F115">
        <v>2063</v>
      </c>
      <c r="G115" s="15">
        <f t="shared" si="7"/>
        <v>400.35586883341352</v>
      </c>
      <c r="H115" s="15">
        <f t="shared" si="3"/>
        <v>273.36345050222559</v>
      </c>
      <c r="I115" s="15">
        <f t="shared" si="4"/>
        <v>628.13179945642707</v>
      </c>
    </row>
    <row r="116" spans="1:9" x14ac:dyDescent="0.3">
      <c r="A116">
        <v>2064</v>
      </c>
      <c r="B116" s="15">
        <f t="shared" si="6"/>
        <v>400.35586883341352</v>
      </c>
      <c r="C116" s="15">
        <f t="shared" si="5"/>
        <v>280.03085173398716</v>
      </c>
      <c r="D116" s="15">
        <f t="shared" si="2"/>
        <v>5855.4603882234123</v>
      </c>
      <c r="F116">
        <v>2064</v>
      </c>
      <c r="G116" s="15">
        <f t="shared" si="7"/>
        <v>400.35586883341352</v>
      </c>
      <c r="H116" s="15">
        <f t="shared" si="3"/>
        <v>280.03085173398716</v>
      </c>
      <c r="I116" s="15">
        <f t="shared" si="4"/>
        <v>643.45208724804729</v>
      </c>
    </row>
    <row r="117" spans="1:9" x14ac:dyDescent="0.3">
      <c r="A117">
        <v>2065</v>
      </c>
      <c r="B117" s="15">
        <f t="shared" si="6"/>
        <v>400.35586883341352</v>
      </c>
      <c r="C117" s="15">
        <f t="shared" si="5"/>
        <v>286.69825296574874</v>
      </c>
      <c r="D117" s="15">
        <f t="shared" si="2"/>
        <v>5994.876111752541</v>
      </c>
      <c r="F117">
        <v>2065</v>
      </c>
      <c r="G117" s="15">
        <f t="shared" si="7"/>
        <v>400.35586883341352</v>
      </c>
      <c r="H117" s="15">
        <f t="shared" si="3"/>
        <v>286.69825296574874</v>
      </c>
      <c r="I117" s="15">
        <f t="shared" si="4"/>
        <v>658.77237503966751</v>
      </c>
    </row>
    <row r="118" spans="1:9" x14ac:dyDescent="0.3">
      <c r="A118">
        <v>2066</v>
      </c>
      <c r="B118" s="15">
        <f t="shared" si="6"/>
        <v>400.35586883341352</v>
      </c>
      <c r="C118" s="15">
        <f t="shared" si="5"/>
        <v>293.36565419751031</v>
      </c>
      <c r="D118" s="15">
        <f t="shared" si="2"/>
        <v>6134.2918352816696</v>
      </c>
      <c r="F118">
        <v>2066</v>
      </c>
      <c r="G118" s="15">
        <f t="shared" si="7"/>
        <v>400.35586883341352</v>
      </c>
      <c r="H118" s="15">
        <f t="shared" si="3"/>
        <v>293.36565419751031</v>
      </c>
      <c r="I118" s="15">
        <f t="shared" si="4"/>
        <v>674.09266283128773</v>
      </c>
    </row>
    <row r="119" spans="1:9" x14ac:dyDescent="0.3">
      <c r="A119">
        <v>2067</v>
      </c>
      <c r="B119" s="15">
        <f t="shared" si="6"/>
        <v>400.35586883341352</v>
      </c>
      <c r="C119" s="15">
        <f t="shared" si="5"/>
        <v>300.03305542927188</v>
      </c>
      <c r="D119" s="15">
        <f t="shared" si="2"/>
        <v>6273.7075588107982</v>
      </c>
      <c r="F119">
        <v>2067</v>
      </c>
      <c r="G119" s="15">
        <f t="shared" si="7"/>
        <v>400.35586883341352</v>
      </c>
      <c r="H119" s="15">
        <f t="shared" si="3"/>
        <v>300.03305542927188</v>
      </c>
      <c r="I119" s="15">
        <f t="shared" si="4"/>
        <v>689.41295062290794</v>
      </c>
    </row>
    <row r="120" spans="1:9" x14ac:dyDescent="0.3">
      <c r="A120">
        <v>2068</v>
      </c>
      <c r="B120" s="15">
        <f t="shared" si="6"/>
        <v>400.35586883341352</v>
      </c>
      <c r="C120" s="15">
        <f t="shared" si="5"/>
        <v>306.70045666103346</v>
      </c>
      <c r="D120" s="15">
        <f t="shared" si="2"/>
        <v>6413.1232823399268</v>
      </c>
      <c r="F120">
        <v>2068</v>
      </c>
      <c r="G120" s="15">
        <f t="shared" si="7"/>
        <v>400.35586883341352</v>
      </c>
      <c r="H120" s="15">
        <f t="shared" si="3"/>
        <v>306.70045666103346</v>
      </c>
      <c r="I120" s="15">
        <f t="shared" si="4"/>
        <v>704.73323841452816</v>
      </c>
    </row>
    <row r="121" spans="1:9" x14ac:dyDescent="0.3">
      <c r="A121">
        <v>2069</v>
      </c>
      <c r="B121" s="15">
        <f t="shared" si="6"/>
        <v>400.35586883341352</v>
      </c>
      <c r="C121" s="15">
        <f t="shared" si="5"/>
        <v>313.36785789279503</v>
      </c>
      <c r="D121" s="15">
        <f t="shared" si="2"/>
        <v>6552.5390058690555</v>
      </c>
      <c r="F121">
        <v>2069</v>
      </c>
      <c r="G121" s="15">
        <f t="shared" si="7"/>
        <v>400.35586883341352</v>
      </c>
      <c r="H121" s="15">
        <f t="shared" si="3"/>
        <v>313.36785789279503</v>
      </c>
      <c r="I121" s="15">
        <f t="shared" si="4"/>
        <v>720.05352620614838</v>
      </c>
    </row>
    <row r="122" spans="1:9" x14ac:dyDescent="0.3">
      <c r="A122">
        <v>2070</v>
      </c>
      <c r="B122" s="15">
        <f t="shared" si="6"/>
        <v>400.35586883341352</v>
      </c>
      <c r="C122" s="15">
        <f t="shared" si="5"/>
        <v>320.0352591245566</v>
      </c>
      <c r="D122" s="15">
        <f t="shared" si="2"/>
        <v>6691.9547293981841</v>
      </c>
      <c r="F122">
        <v>2070</v>
      </c>
      <c r="G122" s="15">
        <f t="shared" si="7"/>
        <v>400.35586883341352</v>
      </c>
      <c r="H122" s="15">
        <f t="shared" si="3"/>
        <v>320.0352591245566</v>
      </c>
      <c r="I122" s="15">
        <f t="shared" si="4"/>
        <v>735.37381399776859</v>
      </c>
    </row>
    <row r="123" spans="1:9" x14ac:dyDescent="0.3">
      <c r="A123">
        <v>2071</v>
      </c>
      <c r="B123" s="15">
        <f t="shared" si="6"/>
        <v>400.35586883341352</v>
      </c>
      <c r="C123" s="15">
        <f t="shared" si="5"/>
        <v>326.70266035631818</v>
      </c>
      <c r="D123" s="15">
        <f t="shared" si="2"/>
        <v>6831.3704529273127</v>
      </c>
      <c r="F123">
        <v>2071</v>
      </c>
      <c r="G123" s="15">
        <f t="shared" si="7"/>
        <v>400.35586883341352</v>
      </c>
      <c r="H123" s="15">
        <f t="shared" si="3"/>
        <v>326.70266035631818</v>
      </c>
      <c r="I123" s="15">
        <f t="shared" si="4"/>
        <v>750.69410178938881</v>
      </c>
    </row>
    <row r="124" spans="1:9" x14ac:dyDescent="0.3">
      <c r="A124">
        <v>2072</v>
      </c>
      <c r="B124" s="15">
        <f t="shared" si="6"/>
        <v>400.35586883341352</v>
      </c>
      <c r="C124" s="15">
        <f t="shared" si="5"/>
        <v>333.37006158807975</v>
      </c>
      <c r="D124" s="15">
        <f t="shared" si="2"/>
        <v>6970.7861764564414</v>
      </c>
      <c r="F124">
        <v>2072</v>
      </c>
      <c r="G124" s="15">
        <f t="shared" si="7"/>
        <v>400.35586883341352</v>
      </c>
      <c r="H124" s="15">
        <f t="shared" si="3"/>
        <v>333.37006158807975</v>
      </c>
      <c r="I124" s="15">
        <f t="shared" si="4"/>
        <v>766.01438958100903</v>
      </c>
    </row>
    <row r="125" spans="1:9" x14ac:dyDescent="0.3">
      <c r="A125">
        <v>2073</v>
      </c>
      <c r="B125" s="15">
        <f t="shared" si="6"/>
        <v>400.35586883341352</v>
      </c>
      <c r="C125" s="15">
        <f t="shared" si="5"/>
        <v>340.03746281984132</v>
      </c>
      <c r="D125" s="15">
        <f t="shared" si="2"/>
        <v>7110.20189998557</v>
      </c>
      <c r="F125">
        <v>2073</v>
      </c>
      <c r="G125" s="15">
        <f t="shared" si="7"/>
        <v>400.35586883341352</v>
      </c>
      <c r="H125" s="15">
        <f t="shared" si="3"/>
        <v>340.03746281984132</v>
      </c>
      <c r="I125" s="15">
        <f t="shared" si="4"/>
        <v>781.33467737262924</v>
      </c>
    </row>
    <row r="126" spans="1:9" x14ac:dyDescent="0.3">
      <c r="A126">
        <v>2074</v>
      </c>
      <c r="B126" s="15">
        <f t="shared" si="6"/>
        <v>400.35586883341352</v>
      </c>
      <c r="C126" s="15">
        <f t="shared" si="5"/>
        <v>346.7048640516029</v>
      </c>
      <c r="D126" s="15">
        <f t="shared" si="2"/>
        <v>7249.6176235146986</v>
      </c>
      <c r="F126">
        <v>2074</v>
      </c>
      <c r="G126" s="15">
        <f t="shared" si="7"/>
        <v>400.35586883341352</v>
      </c>
      <c r="H126" s="15">
        <f t="shared" si="3"/>
        <v>346.7048640516029</v>
      </c>
      <c r="I126" s="15">
        <f t="shared" si="4"/>
        <v>796.65496516424946</v>
      </c>
    </row>
    <row r="127" spans="1:9" x14ac:dyDescent="0.3">
      <c r="A127">
        <v>2075</v>
      </c>
      <c r="B127" s="15">
        <f t="shared" si="6"/>
        <v>400.35586883341352</v>
      </c>
      <c r="C127" s="15">
        <f t="shared" si="5"/>
        <v>353.37226528336447</v>
      </c>
      <c r="D127" s="15">
        <f t="shared" si="2"/>
        <v>7389.0333470438272</v>
      </c>
      <c r="F127">
        <v>2075</v>
      </c>
      <c r="G127" s="15">
        <f t="shared" si="7"/>
        <v>400.35586883341352</v>
      </c>
      <c r="H127" s="15">
        <f t="shared" si="3"/>
        <v>353.37226528336447</v>
      </c>
      <c r="I127" s="15">
        <f t="shared" si="4"/>
        <v>811.97525295586968</v>
      </c>
    </row>
    <row r="128" spans="1:9" x14ac:dyDescent="0.3">
      <c r="A128">
        <v>2076</v>
      </c>
      <c r="B128" s="15">
        <f t="shared" si="6"/>
        <v>400.35586883341352</v>
      </c>
      <c r="C128" s="15">
        <f t="shared" si="5"/>
        <v>360.03966651512604</v>
      </c>
      <c r="D128" s="15">
        <f t="shared" si="2"/>
        <v>7528.4490705729559</v>
      </c>
      <c r="F128">
        <v>2076</v>
      </c>
      <c r="G128" s="15">
        <f t="shared" si="7"/>
        <v>400.35586883341352</v>
      </c>
      <c r="H128" s="15">
        <f t="shared" si="3"/>
        <v>360.03966651512604</v>
      </c>
      <c r="I128" s="15">
        <f t="shared" si="4"/>
        <v>827.29554074748989</v>
      </c>
    </row>
    <row r="129" spans="1:9" x14ac:dyDescent="0.3">
      <c r="A129">
        <v>2077</v>
      </c>
      <c r="B129" s="15">
        <f t="shared" si="6"/>
        <v>400.35586883341352</v>
      </c>
      <c r="C129" s="15">
        <f t="shared" si="5"/>
        <v>366.70706774688762</v>
      </c>
      <c r="D129" s="15">
        <f t="shared" si="2"/>
        <v>7667.8647941020845</v>
      </c>
      <c r="F129">
        <v>2077</v>
      </c>
      <c r="G129" s="15">
        <f t="shared" si="7"/>
        <v>400.35586883341352</v>
      </c>
      <c r="H129" s="15">
        <f t="shared" si="3"/>
        <v>366.70706774688762</v>
      </c>
      <c r="I129" s="15">
        <f t="shared" si="4"/>
        <v>842.61582853911011</v>
      </c>
    </row>
    <row r="130" spans="1:9" x14ac:dyDescent="0.3">
      <c r="A130">
        <v>2078</v>
      </c>
      <c r="B130" s="15">
        <f t="shared" si="6"/>
        <v>400.35586883341352</v>
      </c>
      <c r="C130" s="15">
        <f t="shared" si="5"/>
        <v>373.37446897864919</v>
      </c>
      <c r="D130" s="15">
        <f t="shared" si="2"/>
        <v>7807.2805176312131</v>
      </c>
      <c r="F130">
        <v>2078</v>
      </c>
      <c r="G130" s="15">
        <f t="shared" si="7"/>
        <v>400.35586883341352</v>
      </c>
      <c r="H130" s="15">
        <f t="shared" si="3"/>
        <v>373.37446897864919</v>
      </c>
      <c r="I130" s="15">
        <f t="shared" si="4"/>
        <v>857.93611633073033</v>
      </c>
    </row>
    <row r="131" spans="1:9" x14ac:dyDescent="0.3">
      <c r="A131">
        <v>2079</v>
      </c>
      <c r="B131" s="15">
        <f t="shared" si="6"/>
        <v>400.35586883341352</v>
      </c>
      <c r="C131" s="15">
        <f t="shared" si="5"/>
        <v>380.04187021041076</v>
      </c>
      <c r="D131" s="15">
        <f t="shared" si="2"/>
        <v>7946.6962411603417</v>
      </c>
      <c r="F131">
        <v>2079</v>
      </c>
      <c r="G131" s="15">
        <f t="shared" si="7"/>
        <v>400.35586883341352</v>
      </c>
      <c r="H131" s="15">
        <f t="shared" si="3"/>
        <v>380.04187021041076</v>
      </c>
      <c r="I131" s="15">
        <f t="shared" si="4"/>
        <v>873.25640412235055</v>
      </c>
    </row>
    <row r="132" spans="1:9" x14ac:dyDescent="0.3">
      <c r="A132">
        <v>2080</v>
      </c>
      <c r="B132" s="15">
        <f t="shared" si="6"/>
        <v>400.35586883341352</v>
      </c>
      <c r="C132" s="15">
        <f t="shared" si="5"/>
        <v>386.70927144217234</v>
      </c>
      <c r="D132" s="15">
        <f t="shared" si="2"/>
        <v>8086.1119646894704</v>
      </c>
      <c r="F132">
        <v>2080</v>
      </c>
      <c r="G132" s="15">
        <f t="shared" si="7"/>
        <v>400.35586883341352</v>
      </c>
      <c r="H132" s="15">
        <f t="shared" si="3"/>
        <v>386.70927144217234</v>
      </c>
      <c r="I132" s="15">
        <f t="shared" si="4"/>
        <v>888.57669191397076</v>
      </c>
    </row>
    <row r="133" spans="1:9" x14ac:dyDescent="0.3">
      <c r="A133">
        <v>2081</v>
      </c>
      <c r="B133" s="15">
        <f t="shared" si="6"/>
        <v>400.35586883341352</v>
      </c>
      <c r="C133" s="15">
        <f t="shared" si="5"/>
        <v>393.37667267393391</v>
      </c>
      <c r="D133" s="15">
        <f t="shared" si="2"/>
        <v>8225.527688218599</v>
      </c>
      <c r="F133">
        <v>2081</v>
      </c>
      <c r="G133" s="15">
        <f t="shared" si="7"/>
        <v>400.35586883341352</v>
      </c>
      <c r="H133" s="15">
        <f t="shared" si="3"/>
        <v>393.37667267393391</v>
      </c>
      <c r="I133" s="15">
        <f t="shared" si="4"/>
        <v>903.89697970559098</v>
      </c>
    </row>
    <row r="134" spans="1:9" x14ac:dyDescent="0.3">
      <c r="A134">
        <v>2082</v>
      </c>
      <c r="B134" s="15">
        <f t="shared" si="6"/>
        <v>400.35586883341352</v>
      </c>
      <c r="C134" s="15">
        <f t="shared" si="5"/>
        <v>400.04407390569548</v>
      </c>
      <c r="D134" s="15">
        <f t="shared" si="2"/>
        <v>8364.9434117477285</v>
      </c>
      <c r="F134">
        <v>2082</v>
      </c>
      <c r="G134" s="15">
        <f t="shared" si="7"/>
        <v>400.35586883341352</v>
      </c>
      <c r="H134" s="15">
        <f t="shared" si="3"/>
        <v>400.04407390569548</v>
      </c>
      <c r="I134" s="15">
        <f t="shared" si="4"/>
        <v>919.2172674972112</v>
      </c>
    </row>
    <row r="135" spans="1:9" x14ac:dyDescent="0.3">
      <c r="A135">
        <v>2083</v>
      </c>
      <c r="B135" s="15">
        <f t="shared" si="6"/>
        <v>400.35586883341352</v>
      </c>
      <c r="C135" s="15">
        <f t="shared" si="5"/>
        <v>406.71147513745706</v>
      </c>
      <c r="D135" s="15">
        <f t="shared" si="2"/>
        <v>8504.3591352768581</v>
      </c>
      <c r="F135">
        <v>2083</v>
      </c>
      <c r="G135" s="15">
        <f t="shared" si="7"/>
        <v>400.35586883341352</v>
      </c>
      <c r="H135" s="15">
        <f t="shared" si="3"/>
        <v>406.71147513745706</v>
      </c>
      <c r="I135" s="15">
        <f t="shared" si="4"/>
        <v>934.53755528883141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zoomScale="58" zoomScaleNormal="58" workbookViewId="0">
      <selection activeCell="E10" sqref="E10:E20"/>
    </sheetView>
  </sheetViews>
  <sheetFormatPr defaultColWidth="11" defaultRowHeight="15.6" x14ac:dyDescent="0.3"/>
  <cols>
    <col min="1" max="1" width="31.5" bestFit="1" customWidth="1"/>
    <col min="2" max="2" width="13.796875" bestFit="1" customWidth="1"/>
    <col min="3" max="3" width="13.69921875" bestFit="1" customWidth="1"/>
    <col min="4" max="4" width="14.19921875" style="8" bestFit="1" customWidth="1"/>
    <col min="5" max="5" width="10.796875" style="15"/>
    <col min="6" max="6" width="10.796875" style="8"/>
  </cols>
  <sheetData>
    <row r="1" spans="1:20" x14ac:dyDescent="0.3">
      <c r="A1" s="2" t="s">
        <v>2</v>
      </c>
      <c r="B1" s="3" t="s">
        <v>87</v>
      </c>
      <c r="D1" s="7"/>
      <c r="F1" s="8" t="s">
        <v>19</v>
      </c>
      <c r="G1">
        <v>3.1415926535900001</v>
      </c>
      <c r="T1" t="s">
        <v>45</v>
      </c>
    </row>
    <row r="2" spans="1:20" x14ac:dyDescent="0.3">
      <c r="A2" s="2" t="s">
        <v>7</v>
      </c>
      <c r="B2" s="3" t="s">
        <v>8</v>
      </c>
      <c r="T2" t="s">
        <v>18</v>
      </c>
    </row>
    <row r="3" spans="1:20" x14ac:dyDescent="0.3">
      <c r="A3" s="2" t="s">
        <v>144</v>
      </c>
      <c r="B3" s="3">
        <v>8488</v>
      </c>
    </row>
    <row r="7" spans="1:20" x14ac:dyDescent="0.3">
      <c r="A7" s="16" t="s">
        <v>9</v>
      </c>
      <c r="B7" s="12"/>
      <c r="C7" s="12"/>
      <c r="D7" s="17"/>
      <c r="E7" s="18"/>
      <c r="F7" s="17"/>
      <c r="G7" s="12"/>
      <c r="H7" s="12"/>
      <c r="I7" s="12"/>
      <c r="J7" s="12"/>
      <c r="K7" s="12"/>
      <c r="L7" s="12"/>
      <c r="M7" s="12"/>
      <c r="N7" s="12"/>
    </row>
    <row r="8" spans="1:20" x14ac:dyDescent="0.3">
      <c r="A8" s="4"/>
      <c r="B8" s="13" t="s">
        <v>11</v>
      </c>
      <c r="C8" s="13" t="s">
        <v>10</v>
      </c>
      <c r="D8" s="13" t="s">
        <v>15</v>
      </c>
      <c r="E8" s="19" t="s">
        <v>16</v>
      </c>
      <c r="F8" s="20" t="s">
        <v>44</v>
      </c>
      <c r="G8" s="20" t="s">
        <v>43</v>
      </c>
      <c r="I8" s="2" t="s">
        <v>323</v>
      </c>
      <c r="J8" s="2" t="s">
        <v>13</v>
      </c>
      <c r="K8" s="2" t="s">
        <v>82</v>
      </c>
      <c r="L8" s="2" t="s">
        <v>248</v>
      </c>
      <c r="M8" s="2" t="s">
        <v>250</v>
      </c>
      <c r="N8" s="2" t="s">
        <v>55</v>
      </c>
    </row>
    <row r="9" spans="1:20" x14ac:dyDescent="0.3">
      <c r="A9" s="4" t="s">
        <v>145</v>
      </c>
      <c r="B9" s="3" t="s">
        <v>21</v>
      </c>
      <c r="C9" s="3" t="s">
        <v>17</v>
      </c>
      <c r="D9" s="2">
        <f>(1/I9*1)</f>
        <v>6.666666666666667</v>
      </c>
      <c r="E9" s="9">
        <f>D9*$B$3</f>
        <v>56586.666666666672</v>
      </c>
      <c r="F9" s="9">
        <f>((J9/2)^2*$G$1)-(((J9-K9)/2)^2*G1)</f>
        <v>5.9690260418209938E-5</v>
      </c>
      <c r="G9" s="9">
        <f>E9*F9</f>
        <v>3.3776728695317733</v>
      </c>
      <c r="I9" s="3">
        <v>0.15</v>
      </c>
      <c r="J9" s="3">
        <v>0.02</v>
      </c>
      <c r="K9" s="3">
        <v>2E-3</v>
      </c>
      <c r="L9" s="3">
        <v>0.12</v>
      </c>
      <c r="M9" s="3"/>
      <c r="N9" s="9">
        <f>L9*E9</f>
        <v>6790.4000000000005</v>
      </c>
    </row>
    <row r="10" spans="1:20" x14ac:dyDescent="0.3">
      <c r="A10" s="31" t="s">
        <v>279</v>
      </c>
      <c r="B10" s="32" t="s">
        <v>78</v>
      </c>
      <c r="C10" s="33" t="s">
        <v>42</v>
      </c>
      <c r="D10" s="34"/>
      <c r="E10" s="35">
        <f>Worksheet_Pipes!V3</f>
        <v>34.42</v>
      </c>
      <c r="F10" s="35">
        <f>((J10/2)^2*$G$1)-(((J10-K10)/2)^2*$G$1)</f>
        <v>6.9064772896522755E-4</v>
      </c>
      <c r="G10" s="35">
        <f>F10*E10</f>
        <v>2.3772094830983134E-2</v>
      </c>
      <c r="H10" s="36"/>
      <c r="I10" s="34"/>
      <c r="J10" s="33">
        <v>0.13900000000000001</v>
      </c>
      <c r="K10" s="33">
        <v>3.2000000000000002E-3</v>
      </c>
      <c r="L10" s="33">
        <v>10.72</v>
      </c>
      <c r="M10" s="33"/>
      <c r="N10" s="35">
        <f t="shared" ref="N10:N20" si="0">L10*E10</f>
        <v>368.98240000000004</v>
      </c>
    </row>
    <row r="11" spans="1:20" x14ac:dyDescent="0.3">
      <c r="A11" s="4"/>
      <c r="B11" s="10" t="s">
        <v>90</v>
      </c>
      <c r="C11" s="3" t="s">
        <v>42</v>
      </c>
      <c r="E11" s="9">
        <f>Worksheet_Pipes!V4</f>
        <v>171.63</v>
      </c>
      <c r="F11" s="9">
        <f t="shared" ref="F11:F20" si="1">((J11/2)^2*$G$1)-(((J11-K11)/2)^2*$G$1)</f>
        <v>3.3615041393413037E-4</v>
      </c>
      <c r="G11" s="9">
        <f t="shared" ref="G11:G20" si="2">F11*E11</f>
        <v>5.7693495543514793E-2</v>
      </c>
      <c r="H11" s="11"/>
      <c r="I11" s="8"/>
      <c r="J11" s="3">
        <v>0.108</v>
      </c>
      <c r="K11" s="3">
        <v>2E-3</v>
      </c>
      <c r="L11" s="3">
        <v>5.23</v>
      </c>
      <c r="M11" s="3"/>
      <c r="N11" s="9">
        <f t="shared" si="0"/>
        <v>897.62490000000003</v>
      </c>
    </row>
    <row r="12" spans="1:20" x14ac:dyDescent="0.3">
      <c r="A12" s="4"/>
      <c r="B12" s="10" t="s">
        <v>99</v>
      </c>
      <c r="C12" s="3" t="s">
        <v>42</v>
      </c>
      <c r="E12" s="9">
        <f>Worksheet_Pipes!V5</f>
        <v>29.97</v>
      </c>
      <c r="F12" s="9">
        <f t="shared" si="1"/>
        <v>2.7614599425056056E-4</v>
      </c>
      <c r="G12" s="9">
        <f t="shared" si="2"/>
        <v>8.2760954476892995E-3</v>
      </c>
      <c r="I12" s="8"/>
      <c r="J12" s="3">
        <v>8.8900000000000007E-2</v>
      </c>
      <c r="K12" s="3">
        <v>2E-3</v>
      </c>
      <c r="L12" s="3">
        <v>4.29</v>
      </c>
      <c r="M12" s="3"/>
      <c r="N12" s="9">
        <f t="shared" si="0"/>
        <v>128.57130000000001</v>
      </c>
    </row>
    <row r="13" spans="1:20" x14ac:dyDescent="0.3">
      <c r="A13" s="4"/>
      <c r="B13" s="10" t="s">
        <v>95</v>
      </c>
      <c r="C13" s="3" t="s">
        <v>42</v>
      </c>
      <c r="E13" s="9">
        <f>Worksheet_Pipes!V6</f>
        <v>362.27</v>
      </c>
      <c r="F13" s="9">
        <f t="shared" si="1"/>
        <v>2.3593360828460912E-4</v>
      </c>
      <c r="G13" s="9">
        <f t="shared" si="2"/>
        <v>8.5471668273265342E-2</v>
      </c>
      <c r="J13" s="3">
        <v>7.6100000000000001E-2</v>
      </c>
      <c r="K13" s="3">
        <v>2E-3</v>
      </c>
      <c r="L13" s="3">
        <v>3.65</v>
      </c>
      <c r="M13" s="3"/>
      <c r="N13" s="9">
        <f t="shared" si="0"/>
        <v>1322.2855</v>
      </c>
    </row>
    <row r="14" spans="1:20" x14ac:dyDescent="0.3">
      <c r="A14" s="4"/>
      <c r="B14" s="10" t="s">
        <v>100</v>
      </c>
      <c r="C14" s="3" t="s">
        <v>42</v>
      </c>
      <c r="E14" s="9">
        <f>Worksheet_Pipes!V7</f>
        <v>253.76999999999998</v>
      </c>
      <c r="F14" s="9">
        <f t="shared" si="1"/>
        <v>1.25467356602751E-4</v>
      </c>
      <c r="G14" s="9">
        <f t="shared" si="2"/>
        <v>3.1839851085080119E-2</v>
      </c>
      <c r="J14" s="3">
        <v>5.3999999999999999E-2</v>
      </c>
      <c r="K14" s="3">
        <v>1.5E-3</v>
      </c>
      <c r="L14" s="3">
        <v>1.94</v>
      </c>
      <c r="M14" s="3"/>
      <c r="N14" s="9">
        <f t="shared" si="0"/>
        <v>492.31379999999996</v>
      </c>
    </row>
    <row r="15" spans="1:20" x14ac:dyDescent="0.3">
      <c r="A15" s="4"/>
      <c r="B15" s="10" t="s">
        <v>93</v>
      </c>
      <c r="C15" s="3" t="s">
        <v>42</v>
      </c>
      <c r="E15" s="9">
        <f>Worksheet_Pipes!V8</f>
        <v>258.83999999999997</v>
      </c>
      <c r="F15" s="9">
        <f t="shared" si="1"/>
        <v>9.7193022720440956E-5</v>
      </c>
      <c r="G15" s="9">
        <f t="shared" si="2"/>
        <v>2.5157442000958933E-2</v>
      </c>
      <c r="J15" s="3">
        <v>4.2000000000000003E-2</v>
      </c>
      <c r="K15" s="3">
        <v>1.5E-3</v>
      </c>
      <c r="L15" s="3">
        <v>1.5</v>
      </c>
      <c r="M15" s="3"/>
      <c r="N15" s="9">
        <f t="shared" si="0"/>
        <v>388.26</v>
      </c>
    </row>
    <row r="16" spans="1:20" x14ac:dyDescent="0.3">
      <c r="A16" s="4"/>
      <c r="B16" s="10" t="s">
        <v>94</v>
      </c>
      <c r="C16" s="3" t="s">
        <v>42</v>
      </c>
      <c r="E16" s="9">
        <f>Worksheet_Pipes!V9</f>
        <v>160.33000000000001</v>
      </c>
      <c r="F16" s="9">
        <f t="shared" si="1"/>
        <v>8.0699661289093086E-5</v>
      </c>
      <c r="G16" s="9">
        <f t="shared" si="2"/>
        <v>1.2938576694480295E-2</v>
      </c>
      <c r="J16" s="3">
        <v>3.5000000000000003E-2</v>
      </c>
      <c r="K16" s="3">
        <v>1.5E-3</v>
      </c>
      <c r="L16" s="3">
        <v>1.24</v>
      </c>
      <c r="M16" s="3"/>
      <c r="N16" s="9">
        <f t="shared" si="0"/>
        <v>198.8092</v>
      </c>
    </row>
    <row r="17" spans="1:14" x14ac:dyDescent="0.3">
      <c r="A17" s="4"/>
      <c r="B17" s="10" t="s">
        <v>97</v>
      </c>
      <c r="C17" s="3" t="s">
        <v>42</v>
      </c>
      <c r="E17" s="9">
        <f>Worksheet_Pipes!V10</f>
        <v>196.70000000000002</v>
      </c>
      <c r="F17" s="9">
        <f t="shared" si="1"/>
        <v>6.4206299857745759E-5</v>
      </c>
      <c r="G17" s="9">
        <f t="shared" si="2"/>
        <v>1.2629379182018593E-2</v>
      </c>
      <c r="J17" s="3">
        <v>2.8000000000000001E-2</v>
      </c>
      <c r="K17" s="3">
        <v>1.5E-3</v>
      </c>
      <c r="L17" s="3">
        <v>0.98</v>
      </c>
      <c r="M17" s="3"/>
      <c r="N17" s="9">
        <f t="shared" si="0"/>
        <v>192.76600000000002</v>
      </c>
    </row>
    <row r="18" spans="1:14" x14ac:dyDescent="0.3">
      <c r="A18" s="4"/>
      <c r="B18" s="10" t="s">
        <v>107</v>
      </c>
      <c r="C18" s="3" t="s">
        <v>42</v>
      </c>
      <c r="E18" s="9">
        <f>Worksheet_Pipes!V11</f>
        <v>173.74</v>
      </c>
      <c r="F18" s="9">
        <f t="shared" si="1"/>
        <v>5.0069132916590682E-5</v>
      </c>
      <c r="G18" s="9">
        <f t="shared" si="2"/>
        <v>8.6990111529284663E-3</v>
      </c>
      <c r="J18" s="3">
        <v>2.1999999999999999E-2</v>
      </c>
      <c r="K18" s="3">
        <v>1.5E-3</v>
      </c>
      <c r="L18" s="3">
        <v>0.76</v>
      </c>
      <c r="M18" s="3"/>
      <c r="N18" s="9">
        <f t="shared" si="0"/>
        <v>132.04240000000001</v>
      </c>
    </row>
    <row r="19" spans="1:14" x14ac:dyDescent="0.3">
      <c r="A19" s="4"/>
      <c r="B19" s="10" t="s">
        <v>106</v>
      </c>
      <c r="C19" s="3" t="s">
        <v>42</v>
      </c>
      <c r="E19" s="9">
        <f>Worksheet_Pipes!V12</f>
        <v>166.71499999999997</v>
      </c>
      <c r="F19" s="9">
        <f t="shared" si="1"/>
        <v>3.2798227303479594E-5</v>
      </c>
      <c r="G19" s="9">
        <f t="shared" si="2"/>
        <v>5.4679564648995992E-3</v>
      </c>
      <c r="J19" s="3">
        <v>1.7999999999999999E-2</v>
      </c>
      <c r="K19" s="3">
        <v>1.1999999999999999E-3</v>
      </c>
      <c r="L19" s="3">
        <v>0.5</v>
      </c>
      <c r="M19" s="3"/>
      <c r="N19" s="9">
        <f t="shared" si="0"/>
        <v>83.357499999999987</v>
      </c>
    </row>
    <row r="20" spans="1:14" x14ac:dyDescent="0.3">
      <c r="A20" s="4"/>
      <c r="B20" s="10" t="s">
        <v>96</v>
      </c>
      <c r="C20" s="3" t="s">
        <v>42</v>
      </c>
      <c r="E20" s="9">
        <f>Worksheet_Pipes!V13</f>
        <v>497.67200000000003</v>
      </c>
      <c r="F20" s="39">
        <f t="shared" si="1"/>
        <v>2.7143360527017617E-5</v>
      </c>
      <c r="G20" s="39">
        <f t="shared" si="2"/>
        <v>1.3508490520201913E-2</v>
      </c>
      <c r="J20" s="3">
        <v>1.4999999999999999E-2</v>
      </c>
      <c r="K20" s="3">
        <v>1.1999999999999999E-3</v>
      </c>
      <c r="L20" s="3">
        <v>0.41</v>
      </c>
      <c r="M20" s="3"/>
      <c r="N20" s="9">
        <f t="shared" si="0"/>
        <v>204.04552000000001</v>
      </c>
    </row>
    <row r="21" spans="1:14" x14ac:dyDescent="0.3">
      <c r="A21" s="31" t="s">
        <v>146</v>
      </c>
      <c r="B21" s="32" t="s">
        <v>78</v>
      </c>
      <c r="C21" s="33" t="s">
        <v>41</v>
      </c>
      <c r="D21" s="34"/>
      <c r="E21" s="35">
        <f>Worksheet_Pipes!AZ197+Worksheet_Pipes!BJ142</f>
        <v>0</v>
      </c>
      <c r="F21" s="9">
        <f>((J21/2)^2*$G$1)-(((J21-K21)/2)^2*$G$1)</f>
        <v>7.2570790297928969E-3</v>
      </c>
      <c r="G21" s="9">
        <f>F21*E21</f>
        <v>0</v>
      </c>
      <c r="H21" s="36"/>
      <c r="I21" s="36"/>
      <c r="J21" s="33">
        <f t="shared" ref="J21:J31" si="3">K21+J10</f>
        <v>0.16900000000000001</v>
      </c>
      <c r="K21" s="33">
        <v>0.03</v>
      </c>
      <c r="L21" s="33"/>
      <c r="M21" s="33">
        <v>120</v>
      </c>
      <c r="N21" s="35">
        <f>G21*M21</f>
        <v>0</v>
      </c>
    </row>
    <row r="22" spans="1:14" x14ac:dyDescent="0.3">
      <c r="A22" s="4"/>
      <c r="B22" s="10" t="s">
        <v>90</v>
      </c>
      <c r="C22" s="3" t="s">
        <v>41</v>
      </c>
      <c r="E22" s="9">
        <f>Worksheet_Pipes!AZ198+Worksheet_Pipes!BJ143</f>
        <v>0</v>
      </c>
      <c r="F22" s="9">
        <f t="shared" ref="F22:F32" si="4">((J22/2)^2*$G$1)-(((J22-K22)/2)^2*$G$1)</f>
        <v>5.7962384458735503E-3</v>
      </c>
      <c r="G22" s="9">
        <f t="shared" ref="G22:G32" si="5">F22*E22</f>
        <v>0</v>
      </c>
      <c r="J22" s="3">
        <f t="shared" si="3"/>
        <v>0.13800000000000001</v>
      </c>
      <c r="K22" s="3">
        <v>0.03</v>
      </c>
      <c r="L22" s="3"/>
      <c r="M22" s="3">
        <v>120</v>
      </c>
      <c r="N22" s="9">
        <f t="shared" ref="N22:N42" si="6">G22*M22</f>
        <v>0</v>
      </c>
    </row>
    <row r="23" spans="1:14" x14ac:dyDescent="0.3">
      <c r="A23" s="4"/>
      <c r="B23" s="10" t="s">
        <v>99</v>
      </c>
      <c r="C23" s="3" t="s">
        <v>41</v>
      </c>
      <c r="E23" s="9">
        <f>Worksheet_Pipes!AZ199+Worksheet_Pipes!BJ144</f>
        <v>16.88</v>
      </c>
      <c r="F23" s="9">
        <f t="shared" si="4"/>
        <v>4.8961721506200154E-3</v>
      </c>
      <c r="G23" s="9">
        <f>F23*E23</f>
        <v>8.2647385902465856E-2</v>
      </c>
      <c r="J23" s="3">
        <f t="shared" si="3"/>
        <v>0.11890000000000001</v>
      </c>
      <c r="K23" s="3">
        <v>0.03</v>
      </c>
      <c r="L23" s="3"/>
      <c r="M23" s="3">
        <v>120</v>
      </c>
      <c r="N23" s="9">
        <f t="shared" si="6"/>
        <v>9.9176863082959024</v>
      </c>
    </row>
    <row r="24" spans="1:14" x14ac:dyDescent="0.3">
      <c r="A24" s="4"/>
      <c r="B24" s="10" t="s">
        <v>95</v>
      </c>
      <c r="C24" s="3" t="s">
        <v>41</v>
      </c>
      <c r="E24" s="9">
        <f>Worksheet_Pipes!AZ200+Worksheet_Pipes!BJ145</f>
        <v>140.5</v>
      </c>
      <c r="F24" s="9">
        <f t="shared" si="4"/>
        <v>4.2929863611307359E-3</v>
      </c>
      <c r="G24" s="9">
        <f t="shared" si="5"/>
        <v>0.60316458373886839</v>
      </c>
      <c r="J24" s="3">
        <f t="shared" si="3"/>
        <v>0.1061</v>
      </c>
      <c r="K24" s="3">
        <v>0.03</v>
      </c>
      <c r="L24" s="3"/>
      <c r="M24" s="3">
        <v>120</v>
      </c>
      <c r="N24" s="9">
        <f t="shared" si="6"/>
        <v>72.379750048664206</v>
      </c>
    </row>
    <row r="25" spans="1:14" x14ac:dyDescent="0.3">
      <c r="A25" s="4"/>
      <c r="B25" s="10" t="s">
        <v>100</v>
      </c>
      <c r="C25" s="3" t="s">
        <v>41</v>
      </c>
      <c r="E25" s="9">
        <f>Worksheet_Pipes!AZ201+Worksheet_Pipes!BJ146</f>
        <v>225.82</v>
      </c>
      <c r="F25" s="9">
        <f t="shared" si="4"/>
        <v>2.6114488932966881E-3</v>
      </c>
      <c r="G25" s="9">
        <f t="shared" si="5"/>
        <v>0.58971738908425808</v>
      </c>
      <c r="J25" s="3">
        <f t="shared" si="3"/>
        <v>7.9000000000000001E-2</v>
      </c>
      <c r="K25" s="3">
        <v>2.5000000000000001E-2</v>
      </c>
      <c r="L25" s="3"/>
      <c r="M25" s="3">
        <v>120</v>
      </c>
      <c r="N25" s="9">
        <f t="shared" si="6"/>
        <v>70.766086690110967</v>
      </c>
    </row>
    <row r="26" spans="1:14" x14ac:dyDescent="0.3">
      <c r="A26" s="4"/>
      <c r="B26" s="10" t="s">
        <v>93</v>
      </c>
      <c r="C26" s="3" t="s">
        <v>41</v>
      </c>
      <c r="E26" s="9">
        <f>Worksheet_Pipes!AZ202+Worksheet_Pipes!BJ147</f>
        <v>91.559999999999974</v>
      </c>
      <c r="F26" s="9">
        <f t="shared" si="4"/>
        <v>2.1402099952581881E-3</v>
      </c>
      <c r="G26" s="9">
        <f t="shared" si="5"/>
        <v>0.19595762716583964</v>
      </c>
      <c r="J26" s="3">
        <f t="shared" si="3"/>
        <v>6.7000000000000004E-2</v>
      </c>
      <c r="K26" s="3">
        <v>2.5000000000000001E-2</v>
      </c>
      <c r="L26" s="3"/>
      <c r="M26" s="3">
        <v>120</v>
      </c>
      <c r="N26" s="9">
        <f t="shared" si="6"/>
        <v>23.514915259900757</v>
      </c>
    </row>
    <row r="27" spans="1:14" x14ac:dyDescent="0.3">
      <c r="A27" s="4"/>
      <c r="B27" s="10" t="s">
        <v>94</v>
      </c>
      <c r="C27" s="3" t="s">
        <v>41</v>
      </c>
      <c r="E27" s="9">
        <f>Worksheet_Pipes!AZ203+Worksheet_Pipes!BJ148</f>
        <v>97.02000000000001</v>
      </c>
      <c r="F27" s="9">
        <f t="shared" si="4"/>
        <v>1.4137166941155005E-3</v>
      </c>
      <c r="G27" s="9">
        <f t="shared" si="5"/>
        <v>0.13715879366308587</v>
      </c>
      <c r="J27" s="3">
        <f t="shared" si="3"/>
        <v>5.5000000000000007E-2</v>
      </c>
      <c r="K27" s="3">
        <v>0.02</v>
      </c>
      <c r="L27" s="3"/>
      <c r="M27" s="3">
        <v>120</v>
      </c>
      <c r="N27" s="9">
        <f t="shared" si="6"/>
        <v>16.459055239570304</v>
      </c>
    </row>
    <row r="28" spans="1:14" x14ac:dyDescent="0.3">
      <c r="A28" s="4"/>
      <c r="B28" s="10" t="s">
        <v>97</v>
      </c>
      <c r="C28" s="3" t="s">
        <v>41</v>
      </c>
      <c r="E28" s="9">
        <f>Worksheet_Pipes!AZ204+Worksheet_Pipes!BJ149</f>
        <v>91.935000000000016</v>
      </c>
      <c r="F28" s="9">
        <f t="shared" si="4"/>
        <v>1.1938052083642001E-3</v>
      </c>
      <c r="G28" s="9">
        <f t="shared" si="5"/>
        <v>0.10975248183096276</v>
      </c>
      <c r="J28" s="3">
        <f t="shared" si="3"/>
        <v>4.8000000000000001E-2</v>
      </c>
      <c r="K28" s="3">
        <v>0.02</v>
      </c>
      <c r="L28" s="3"/>
      <c r="M28" s="3">
        <v>120</v>
      </c>
      <c r="N28" s="9">
        <f t="shared" si="6"/>
        <v>13.170297819715531</v>
      </c>
    </row>
    <row r="29" spans="1:14" x14ac:dyDescent="0.3">
      <c r="A29" s="4"/>
      <c r="B29" s="10" t="s">
        <v>107</v>
      </c>
      <c r="C29" s="3" t="s">
        <v>41</v>
      </c>
      <c r="E29" s="9">
        <f>Worksheet_Pipes!AZ205+Worksheet_Pipes!BJ150</f>
        <v>87.920000000000016</v>
      </c>
      <c r="F29" s="9">
        <f t="shared" si="4"/>
        <v>1.0053096491488001E-3</v>
      </c>
      <c r="G29" s="9">
        <f t="shared" si="5"/>
        <v>8.8386824353162516E-2</v>
      </c>
      <c r="J29" s="3">
        <f t="shared" si="3"/>
        <v>4.1999999999999996E-2</v>
      </c>
      <c r="K29" s="3">
        <v>0.02</v>
      </c>
      <c r="L29" s="3"/>
      <c r="M29" s="3">
        <v>120</v>
      </c>
      <c r="N29" s="9">
        <f t="shared" si="6"/>
        <v>10.606418922379502</v>
      </c>
    </row>
    <row r="30" spans="1:14" x14ac:dyDescent="0.3">
      <c r="A30" s="4"/>
      <c r="B30" s="10" t="s">
        <v>106</v>
      </c>
      <c r="C30" s="3" t="s">
        <v>41</v>
      </c>
      <c r="E30" s="9">
        <f>Worksheet_Pipes!AZ206+Worksheet_Pipes!BJ151</f>
        <v>11.695</v>
      </c>
      <c r="F30" s="9">
        <f t="shared" si="4"/>
        <v>8.7964594300520005E-4</v>
      </c>
      <c r="G30" s="9">
        <f t="shared" si="5"/>
        <v>1.0287459303445814E-2</v>
      </c>
      <c r="J30" s="3">
        <f t="shared" si="3"/>
        <v>3.7999999999999999E-2</v>
      </c>
      <c r="K30" s="3">
        <v>0.02</v>
      </c>
      <c r="L30" s="3"/>
      <c r="M30" s="3">
        <v>120</v>
      </c>
      <c r="N30" s="9">
        <f t="shared" si="6"/>
        <v>1.2344951164134976</v>
      </c>
    </row>
    <row r="31" spans="1:14" x14ac:dyDescent="0.3">
      <c r="A31" s="4"/>
      <c r="B31" s="10" t="s">
        <v>96</v>
      </c>
      <c r="C31" s="3" t="s">
        <v>41</v>
      </c>
      <c r="E31" s="9">
        <f>Worksheet_Pipes!AZ207+Worksheet_Pipes!BJ152</f>
        <v>15.64</v>
      </c>
      <c r="F31" s="9">
        <f t="shared" si="4"/>
        <v>7.8539816339750004E-4</v>
      </c>
      <c r="G31" s="9">
        <f t="shared" si="5"/>
        <v>1.2283627275536901E-2</v>
      </c>
      <c r="J31" s="3">
        <f t="shared" si="3"/>
        <v>3.5000000000000003E-2</v>
      </c>
      <c r="K31" s="3">
        <v>0.02</v>
      </c>
      <c r="L31" s="3"/>
      <c r="M31" s="3">
        <v>120</v>
      </c>
      <c r="N31" s="9">
        <f t="shared" si="6"/>
        <v>1.4740352730644282</v>
      </c>
    </row>
    <row r="32" spans="1:14" x14ac:dyDescent="0.3">
      <c r="A32" s="31" t="s">
        <v>147</v>
      </c>
      <c r="B32" s="32" t="s">
        <v>78</v>
      </c>
      <c r="C32" s="33" t="s">
        <v>149</v>
      </c>
      <c r="D32" s="34"/>
      <c r="E32" s="35">
        <f>Worksheet_Pipes!H27+Worksheet_Pipes!H60</f>
        <v>34.42</v>
      </c>
      <c r="F32" s="35">
        <f t="shared" si="4"/>
        <v>4.4320018360520901E-3</v>
      </c>
      <c r="G32" s="35">
        <f t="shared" si="5"/>
        <v>0.15254950319691293</v>
      </c>
      <c r="H32" s="36"/>
      <c r="I32" s="36"/>
      <c r="J32" s="33">
        <f t="shared" ref="J32:J42" si="7">J10+K32</f>
        <v>0.158</v>
      </c>
      <c r="K32" s="33">
        <v>1.9E-2</v>
      </c>
      <c r="L32" s="33"/>
      <c r="M32" s="33">
        <v>29</v>
      </c>
      <c r="N32" s="35">
        <f>G32*M32</f>
        <v>4.4239355927104747</v>
      </c>
    </row>
    <row r="33" spans="1:14" x14ac:dyDescent="0.3">
      <c r="B33" s="10" t="s">
        <v>90</v>
      </c>
      <c r="C33" s="3" t="s">
        <v>149</v>
      </c>
      <c r="E33" s="9">
        <f>Worksheet_Pipes!H28+Worksheet_Pipes!H61</f>
        <v>171.63</v>
      </c>
      <c r="F33" s="9">
        <f t="shared" ref="F33:F43" si="8">((J33/2)^2*$G$1)-(((J33-K33)/2)^2*$G$1)</f>
        <v>3.506802799569839E-3</v>
      </c>
      <c r="G33" s="9">
        <f t="shared" ref="G33:G43" si="9">F33*E33</f>
        <v>0.60187256449017146</v>
      </c>
      <c r="J33" s="3">
        <f t="shared" si="7"/>
        <v>0.127</v>
      </c>
      <c r="K33" s="3">
        <v>1.9E-2</v>
      </c>
      <c r="L33" s="3"/>
      <c r="M33" s="3">
        <v>29</v>
      </c>
      <c r="N33" s="9">
        <f t="shared" si="6"/>
        <v>17.454304370214974</v>
      </c>
    </row>
    <row r="34" spans="1:14" x14ac:dyDescent="0.3">
      <c r="B34" s="10" t="s">
        <v>99</v>
      </c>
      <c r="C34" s="3" t="s">
        <v>149</v>
      </c>
      <c r="E34" s="9">
        <f>Worksheet_Pipes!H29+Worksheet_Pipes!H62</f>
        <v>13.09</v>
      </c>
      <c r="F34" s="9">
        <f t="shared" si="8"/>
        <v>2.9367608125759337E-3</v>
      </c>
      <c r="G34" s="9">
        <f t="shared" si="9"/>
        <v>3.8442199036618968E-2</v>
      </c>
      <c r="J34" s="3">
        <f t="shared" si="7"/>
        <v>0.10790000000000001</v>
      </c>
      <c r="K34" s="3">
        <v>1.9E-2</v>
      </c>
      <c r="L34" s="3"/>
      <c r="M34" s="3">
        <v>29</v>
      </c>
      <c r="N34" s="9">
        <f t="shared" si="6"/>
        <v>1.11482377206195</v>
      </c>
    </row>
    <row r="35" spans="1:14" x14ac:dyDescent="0.3">
      <c r="B35" s="10" t="s">
        <v>95</v>
      </c>
      <c r="C35" s="3" t="s">
        <v>149</v>
      </c>
      <c r="E35" s="9">
        <f>Worksheet_Pipes!H30+Worksheet_Pipes!H63</f>
        <v>221.77</v>
      </c>
      <c r="F35" s="9">
        <f t="shared" si="8"/>
        <v>2.554743145899388E-3</v>
      </c>
      <c r="G35" s="9">
        <f t="shared" si="9"/>
        <v>0.5665653874661073</v>
      </c>
      <c r="J35" s="3">
        <f t="shared" si="7"/>
        <v>9.5100000000000004E-2</v>
      </c>
      <c r="K35" s="3">
        <v>1.9E-2</v>
      </c>
      <c r="L35" s="3"/>
      <c r="M35" s="3">
        <v>29</v>
      </c>
      <c r="N35" s="9">
        <f t="shared" si="6"/>
        <v>16.430396236517112</v>
      </c>
    </row>
    <row r="36" spans="1:14" x14ac:dyDescent="0.3">
      <c r="B36" s="10" t="s">
        <v>100</v>
      </c>
      <c r="C36" s="3" t="s">
        <v>149</v>
      </c>
      <c r="E36" s="9">
        <f>Worksheet_Pipes!H31+Worksheet_Pipes!H64</f>
        <v>27.95</v>
      </c>
      <c r="F36" s="9">
        <f t="shared" si="8"/>
        <v>1.2354313110242679E-3</v>
      </c>
      <c r="G36" s="9">
        <f t="shared" si="9"/>
        <v>3.4530305143128284E-2</v>
      </c>
      <c r="J36" s="3">
        <f t="shared" si="7"/>
        <v>6.7000000000000004E-2</v>
      </c>
      <c r="K36" s="3">
        <v>1.2999999999999999E-2</v>
      </c>
      <c r="L36" s="3"/>
      <c r="M36" s="3">
        <v>29</v>
      </c>
      <c r="N36" s="9">
        <f t="shared" si="6"/>
        <v>1.0013788491507203</v>
      </c>
    </row>
    <row r="37" spans="1:14" x14ac:dyDescent="0.3">
      <c r="B37" s="10" t="s">
        <v>93</v>
      </c>
      <c r="C37" s="3" t="s">
        <v>149</v>
      </c>
      <c r="E37" s="9">
        <f>Worksheet_Pipes!H32+Worksheet_Pipes!H65</f>
        <v>167.28</v>
      </c>
      <c r="F37" s="9">
        <f t="shared" si="8"/>
        <v>9.9038708404424738E-4</v>
      </c>
      <c r="G37" s="9">
        <f t="shared" si="9"/>
        <v>0.16567195141892171</v>
      </c>
      <c r="J37" s="3">
        <f t="shared" si="7"/>
        <v>5.5E-2</v>
      </c>
      <c r="K37" s="3">
        <v>1.2999999999999999E-2</v>
      </c>
      <c r="L37" s="3"/>
      <c r="M37" s="3">
        <v>29</v>
      </c>
      <c r="N37" s="9">
        <f t="shared" si="6"/>
        <v>4.8044865911487298</v>
      </c>
    </row>
    <row r="38" spans="1:14" x14ac:dyDescent="0.3">
      <c r="B38" s="10" t="s">
        <v>94</v>
      </c>
      <c r="C38" s="3" t="s">
        <v>149</v>
      </c>
      <c r="E38" s="9">
        <f>Worksheet_Pipes!H33+Worksheet_Pipes!H66</f>
        <v>63.31</v>
      </c>
      <c r="F38" s="9">
        <f t="shared" si="8"/>
        <v>8.4744461830590239E-4</v>
      </c>
      <c r="G38" s="9">
        <f t="shared" si="9"/>
        <v>5.3651718784946685E-2</v>
      </c>
      <c r="J38" s="3">
        <f t="shared" si="7"/>
        <v>4.8000000000000001E-2</v>
      </c>
      <c r="K38" s="3">
        <v>1.2999999999999999E-2</v>
      </c>
      <c r="L38" s="3"/>
      <c r="M38" s="3">
        <v>29</v>
      </c>
      <c r="N38" s="9">
        <f t="shared" si="6"/>
        <v>1.5558998447634538</v>
      </c>
    </row>
    <row r="39" spans="1:14" x14ac:dyDescent="0.3">
      <c r="B39" s="10" t="s">
        <v>97</v>
      </c>
      <c r="C39" s="3" t="s">
        <v>149</v>
      </c>
      <c r="E39" s="9">
        <f>Worksheet_Pipes!H34+Worksheet_Pipes!H67</f>
        <v>104.765</v>
      </c>
      <c r="F39" s="9">
        <f t="shared" si="8"/>
        <v>4.5945792558753742E-4</v>
      </c>
      <c r="G39" s="9">
        <f t="shared" si="9"/>
        <v>4.813510957417836E-2</v>
      </c>
      <c r="J39" s="3">
        <f t="shared" si="7"/>
        <v>3.6999999999999998E-2</v>
      </c>
      <c r="K39" s="3">
        <v>8.9999999999999993E-3</v>
      </c>
      <c r="L39" s="3"/>
      <c r="M39" s="3">
        <v>29</v>
      </c>
      <c r="N39" s="9">
        <f t="shared" si="6"/>
        <v>1.3959181776511724</v>
      </c>
    </row>
    <row r="40" spans="1:14" x14ac:dyDescent="0.3">
      <c r="B40" s="10" t="s">
        <v>107</v>
      </c>
      <c r="C40" s="3" t="s">
        <v>149</v>
      </c>
      <c r="E40" s="9">
        <f>Worksheet_Pipes!H35+Worksheet_Pipes!H68</f>
        <v>85.82</v>
      </c>
      <c r="F40" s="9">
        <f t="shared" si="8"/>
        <v>3.746349239406075E-4</v>
      </c>
      <c r="G40" s="9">
        <f t="shared" si="9"/>
        <v>3.2151169172582934E-2</v>
      </c>
      <c r="J40" s="3">
        <f t="shared" si="7"/>
        <v>3.1E-2</v>
      </c>
      <c r="K40" s="3">
        <v>8.9999999999999993E-3</v>
      </c>
      <c r="L40" s="3"/>
      <c r="M40" s="3">
        <v>29</v>
      </c>
      <c r="N40" s="9">
        <f t="shared" si="6"/>
        <v>0.93238390600490506</v>
      </c>
    </row>
    <row r="41" spans="1:14" x14ac:dyDescent="0.3">
      <c r="B41" s="10" t="s">
        <v>106</v>
      </c>
      <c r="C41" s="3" t="s">
        <v>149</v>
      </c>
      <c r="E41" s="9">
        <f>Worksheet_Pipes!H36+Worksheet_Pipes!H69</f>
        <v>155.01999999999998</v>
      </c>
      <c r="F41" s="9">
        <f t="shared" si="8"/>
        <v>3.1808625617598752E-4</v>
      </c>
      <c r="G41" s="9">
        <f t="shared" si="9"/>
        <v>4.9309731432401582E-2</v>
      </c>
      <c r="J41" s="3">
        <f t="shared" si="7"/>
        <v>2.6999999999999996E-2</v>
      </c>
      <c r="K41" s="3">
        <v>8.9999999999999993E-3</v>
      </c>
      <c r="L41" s="3"/>
      <c r="M41" s="3">
        <v>29</v>
      </c>
      <c r="N41" s="9">
        <f t="shared" si="6"/>
        <v>1.4299822115396459</v>
      </c>
    </row>
    <row r="42" spans="1:14" x14ac:dyDescent="0.3">
      <c r="B42" s="10" t="s">
        <v>96</v>
      </c>
      <c r="C42" s="3" t="s">
        <v>149</v>
      </c>
      <c r="E42" s="9">
        <f>Worksheet_Pipes!H37+Worksheet_Pipes!H70</f>
        <v>482.03200000000004</v>
      </c>
      <c r="F42" s="9">
        <f t="shared" si="8"/>
        <v>2.7567475535252245E-4</v>
      </c>
      <c r="G42" s="9">
        <f t="shared" si="9"/>
        <v>0.13288405367208711</v>
      </c>
      <c r="J42" s="3">
        <f t="shared" si="7"/>
        <v>2.4E-2</v>
      </c>
      <c r="K42" s="3">
        <v>8.9999999999999993E-3</v>
      </c>
      <c r="L42" s="3"/>
      <c r="M42" s="3">
        <v>29</v>
      </c>
      <c r="N42" s="9">
        <f t="shared" si="6"/>
        <v>3.8536375564905261</v>
      </c>
    </row>
    <row r="43" spans="1:14" x14ac:dyDescent="0.3">
      <c r="A43" s="31" t="s">
        <v>280</v>
      </c>
      <c r="B43" s="32" t="s">
        <v>78</v>
      </c>
      <c r="C43" s="33" t="s">
        <v>42</v>
      </c>
      <c r="D43" s="34"/>
      <c r="E43" s="35">
        <f>Worksheet_Pipes!Y3</f>
        <v>29.99</v>
      </c>
      <c r="F43" s="35">
        <f t="shared" si="8"/>
        <v>6.9064772896522755E-4</v>
      </c>
      <c r="G43" s="35">
        <f t="shared" si="9"/>
        <v>2.0712525391667173E-2</v>
      </c>
      <c r="H43" s="36"/>
      <c r="I43" s="34"/>
      <c r="J43" s="33">
        <v>0.13900000000000001</v>
      </c>
      <c r="K43" s="33">
        <v>3.2000000000000002E-3</v>
      </c>
      <c r="L43" s="33">
        <v>10.72</v>
      </c>
      <c r="M43" s="33"/>
      <c r="N43" s="35">
        <f t="shared" ref="N43:N53" si="10">L43*E43</f>
        <v>321.49279999999999</v>
      </c>
    </row>
    <row r="44" spans="1:14" x14ac:dyDescent="0.3">
      <c r="A44" s="4"/>
      <c r="B44" s="10" t="s">
        <v>90</v>
      </c>
      <c r="C44" s="3" t="s">
        <v>42</v>
      </c>
      <c r="E44" s="9">
        <f>Worksheet_Pipes!Y4</f>
        <v>16.939999999999998</v>
      </c>
      <c r="F44" s="9">
        <f t="shared" ref="F44:F53" si="11">((J44/2)^2*$G$1)-(((J44-K44)/2)^2*$G$1)</f>
        <v>3.3615041393413037E-4</v>
      </c>
      <c r="G44" s="9">
        <f t="shared" ref="G44:G53" si="12">F44*E44</f>
        <v>5.6943880120441676E-3</v>
      </c>
      <c r="H44" s="11"/>
      <c r="I44" s="8"/>
      <c r="J44" s="3">
        <v>0.108</v>
      </c>
      <c r="K44" s="3">
        <v>2E-3</v>
      </c>
      <c r="L44" s="3">
        <v>5.23</v>
      </c>
      <c r="M44" s="3"/>
      <c r="N44" s="9">
        <f t="shared" si="10"/>
        <v>88.596199999999996</v>
      </c>
    </row>
    <row r="45" spans="1:14" x14ac:dyDescent="0.3">
      <c r="A45" s="4"/>
      <c r="B45" s="10" t="s">
        <v>99</v>
      </c>
      <c r="C45" s="3" t="s">
        <v>42</v>
      </c>
      <c r="E45" s="9">
        <f>Worksheet_Pipes!Y5</f>
        <v>39.059999999999995</v>
      </c>
      <c r="F45" s="9">
        <f t="shared" si="11"/>
        <v>2.7614599425056056E-4</v>
      </c>
      <c r="G45" s="9">
        <f t="shared" si="12"/>
        <v>1.0786262535426895E-2</v>
      </c>
      <c r="I45" s="8"/>
      <c r="J45" s="3">
        <v>8.8900000000000007E-2</v>
      </c>
      <c r="K45" s="3">
        <v>2E-3</v>
      </c>
      <c r="L45" s="3">
        <v>4.29</v>
      </c>
      <c r="M45" s="3"/>
      <c r="N45" s="9">
        <f t="shared" si="10"/>
        <v>167.56739999999999</v>
      </c>
    </row>
    <row r="46" spans="1:14" x14ac:dyDescent="0.3">
      <c r="A46" s="4"/>
      <c r="B46" s="10" t="s">
        <v>95</v>
      </c>
      <c r="C46" s="3" t="s">
        <v>42</v>
      </c>
      <c r="E46" s="9">
        <f>Worksheet_Pipes!Y6</f>
        <v>285.89000000000004</v>
      </c>
      <c r="F46" s="9">
        <f t="shared" si="11"/>
        <v>2.3593360828460912E-4</v>
      </c>
      <c r="G46" s="9">
        <f t="shared" si="12"/>
        <v>6.7451059272486916E-2</v>
      </c>
      <c r="J46" s="3">
        <v>7.6100000000000001E-2</v>
      </c>
      <c r="K46" s="3">
        <v>2E-3</v>
      </c>
      <c r="L46" s="3">
        <v>3.65</v>
      </c>
      <c r="M46" s="3"/>
      <c r="N46" s="9">
        <f t="shared" si="10"/>
        <v>1043.4985000000001</v>
      </c>
    </row>
    <row r="47" spans="1:14" x14ac:dyDescent="0.3">
      <c r="A47" s="4"/>
      <c r="B47" s="10" t="s">
        <v>100</v>
      </c>
      <c r="C47" s="3" t="s">
        <v>42</v>
      </c>
      <c r="E47" s="9">
        <f>Worksheet_Pipes!Y7</f>
        <v>77.960000000000008</v>
      </c>
      <c r="F47" s="9">
        <f t="shared" si="11"/>
        <v>1.25467356602751E-4</v>
      </c>
      <c r="G47" s="9">
        <f t="shared" si="12"/>
        <v>9.7814351207504684E-3</v>
      </c>
      <c r="J47" s="3">
        <v>5.3999999999999999E-2</v>
      </c>
      <c r="K47" s="3">
        <v>1.5E-3</v>
      </c>
      <c r="L47" s="3">
        <v>1.94</v>
      </c>
      <c r="M47" s="3"/>
      <c r="N47" s="9">
        <f t="shared" si="10"/>
        <v>151.2424</v>
      </c>
    </row>
    <row r="48" spans="1:14" x14ac:dyDescent="0.3">
      <c r="A48" s="4"/>
      <c r="B48" s="10" t="s">
        <v>93</v>
      </c>
      <c r="C48" s="3" t="s">
        <v>42</v>
      </c>
      <c r="E48" s="9">
        <f>Worksheet_Pipes!Y8</f>
        <v>160.53400000000002</v>
      </c>
      <c r="F48" s="9">
        <f t="shared" si="11"/>
        <v>9.7193022720440956E-5</v>
      </c>
      <c r="G48" s="9">
        <f t="shared" si="12"/>
        <v>1.560278470940327E-2</v>
      </c>
      <c r="J48" s="3">
        <v>4.2000000000000003E-2</v>
      </c>
      <c r="K48" s="3">
        <v>1.5E-3</v>
      </c>
      <c r="L48" s="3">
        <v>1.5</v>
      </c>
      <c r="M48" s="3"/>
      <c r="N48" s="9">
        <f t="shared" si="10"/>
        <v>240.80100000000004</v>
      </c>
    </row>
    <row r="49" spans="1:14" x14ac:dyDescent="0.3">
      <c r="A49" s="4"/>
      <c r="B49" s="10" t="s">
        <v>94</v>
      </c>
      <c r="C49" s="3" t="s">
        <v>42</v>
      </c>
      <c r="E49" s="9">
        <f>Worksheet_Pipes!Y9</f>
        <v>21.222999999999999</v>
      </c>
      <c r="F49" s="9">
        <f t="shared" si="11"/>
        <v>8.0699661289093086E-5</v>
      </c>
      <c r="G49" s="9">
        <f t="shared" si="12"/>
        <v>1.7126889115384224E-3</v>
      </c>
      <c r="J49" s="3">
        <v>3.5000000000000003E-2</v>
      </c>
      <c r="K49" s="3">
        <v>1.5E-3</v>
      </c>
      <c r="L49" s="3">
        <v>1.24</v>
      </c>
      <c r="M49" s="3"/>
      <c r="N49" s="9">
        <f t="shared" si="10"/>
        <v>26.316519999999997</v>
      </c>
    </row>
    <row r="50" spans="1:14" x14ac:dyDescent="0.3">
      <c r="A50" s="4"/>
      <c r="B50" s="10" t="s">
        <v>97</v>
      </c>
      <c r="C50" s="3" t="s">
        <v>42</v>
      </c>
      <c r="E50" s="9">
        <f>Worksheet_Pipes!Y10</f>
        <v>42.563000000000002</v>
      </c>
      <c r="F50" s="9">
        <f t="shared" si="11"/>
        <v>6.4206299857745759E-5</v>
      </c>
      <c r="G50" s="9">
        <f t="shared" si="12"/>
        <v>2.7328127408452331E-3</v>
      </c>
      <c r="J50" s="3">
        <v>2.8000000000000001E-2</v>
      </c>
      <c r="K50" s="3">
        <v>1.5E-3</v>
      </c>
      <c r="L50" s="3">
        <v>0.98</v>
      </c>
      <c r="M50" s="3"/>
      <c r="N50" s="9">
        <f t="shared" si="10"/>
        <v>41.711739999999999</v>
      </c>
    </row>
    <row r="51" spans="1:14" x14ac:dyDescent="0.3">
      <c r="A51" s="4"/>
      <c r="B51" s="10" t="s">
        <v>107</v>
      </c>
      <c r="C51" s="3" t="s">
        <v>42</v>
      </c>
      <c r="E51" s="9">
        <f>Worksheet_Pipes!Y11</f>
        <v>7.76</v>
      </c>
      <c r="F51" s="9">
        <f t="shared" si="11"/>
        <v>5.0069132916590682E-5</v>
      </c>
      <c r="G51" s="9">
        <f t="shared" si="12"/>
        <v>3.8853647143274368E-4</v>
      </c>
      <c r="J51" s="3">
        <v>2.1999999999999999E-2</v>
      </c>
      <c r="K51" s="3">
        <v>1.5E-3</v>
      </c>
      <c r="L51" s="3">
        <v>0.76</v>
      </c>
      <c r="M51" s="3"/>
      <c r="N51" s="9">
        <f t="shared" si="10"/>
        <v>5.8975999999999997</v>
      </c>
    </row>
    <row r="52" spans="1:14" x14ac:dyDescent="0.3">
      <c r="A52" s="4"/>
      <c r="B52" s="10" t="s">
        <v>106</v>
      </c>
      <c r="C52" s="3" t="s">
        <v>42</v>
      </c>
      <c r="E52" s="9">
        <f>Worksheet_Pipes!Y12</f>
        <v>0</v>
      </c>
      <c r="F52" s="9">
        <f t="shared" si="11"/>
        <v>3.2798227303479594E-5</v>
      </c>
      <c r="G52" s="9">
        <f t="shared" si="12"/>
        <v>0</v>
      </c>
      <c r="J52" s="3">
        <v>1.7999999999999999E-2</v>
      </c>
      <c r="K52" s="3">
        <v>1.1999999999999999E-3</v>
      </c>
      <c r="L52" s="3">
        <v>0.5</v>
      </c>
      <c r="M52" s="3"/>
      <c r="N52" s="9">
        <f t="shared" si="10"/>
        <v>0</v>
      </c>
    </row>
    <row r="53" spans="1:14" x14ac:dyDescent="0.3">
      <c r="A53" s="4"/>
      <c r="B53" s="10" t="s">
        <v>96</v>
      </c>
      <c r="C53" s="3" t="s">
        <v>42</v>
      </c>
      <c r="E53" s="9">
        <f>Worksheet_Pipes!Y13</f>
        <v>0</v>
      </c>
      <c r="F53" s="39">
        <f t="shared" si="11"/>
        <v>2.7143360527017617E-5</v>
      </c>
      <c r="G53" s="39">
        <f t="shared" si="12"/>
        <v>0</v>
      </c>
      <c r="J53" s="3">
        <v>1.4999999999999999E-2</v>
      </c>
      <c r="K53" s="3">
        <v>1.1999999999999999E-3</v>
      </c>
      <c r="L53" s="3">
        <v>0.41</v>
      </c>
      <c r="M53" s="3"/>
      <c r="N53" s="9">
        <f t="shared" si="10"/>
        <v>0</v>
      </c>
    </row>
    <row r="54" spans="1:14" x14ac:dyDescent="0.3">
      <c r="A54" s="31" t="s">
        <v>148</v>
      </c>
      <c r="B54" s="32" t="s">
        <v>78</v>
      </c>
      <c r="C54" s="33" t="s">
        <v>150</v>
      </c>
      <c r="D54" s="34"/>
      <c r="E54" s="35">
        <f>Worksheet_Pipes!H42+Worksheet_Pipes!BJ158+Worksheet_Pipes!AZ213</f>
        <v>29.99</v>
      </c>
      <c r="F54" s="35">
        <f>((J54/2)^2*$G$1)-(((J54-K54)/2)^2*$G$1)</f>
        <v>9.9902646384162005E-3</v>
      </c>
      <c r="G54" s="35">
        <f>F54*E54</f>
        <v>0.29960803650610185</v>
      </c>
      <c r="H54" s="36"/>
      <c r="I54" s="36"/>
      <c r="J54" s="33">
        <f t="shared" ref="J54:J64" si="13">J10+K54</f>
        <v>0.17900000000000002</v>
      </c>
      <c r="K54" s="33">
        <v>0.04</v>
      </c>
      <c r="L54" s="33"/>
      <c r="M54" s="33">
        <v>80</v>
      </c>
      <c r="N54" s="35">
        <f t="shared" ref="N54:N76" si="14">G54*M54</f>
        <v>23.968642920488147</v>
      </c>
    </row>
    <row r="55" spans="1:14" x14ac:dyDescent="0.3">
      <c r="A55" s="4"/>
      <c r="B55" s="10" t="s">
        <v>90</v>
      </c>
      <c r="C55" s="3" t="s">
        <v>150</v>
      </c>
      <c r="E55" s="9">
        <f>Worksheet_Pipes!H43+Worksheet_Pipes!BJ159+Worksheet_Pipes!AZ214</f>
        <v>16.939999999999998</v>
      </c>
      <c r="F55" s="9">
        <f t="shared" ref="F55:F64" si="15">((J55/2)^2*$G$1)-(((J55-K55)/2)^2*$G$1)</f>
        <v>8.0424771931903987E-3</v>
      </c>
      <c r="G55" s="9">
        <f t="shared" ref="G55:G64" si="16">F55*E55</f>
        <v>0.13623956365264533</v>
      </c>
      <c r="J55" s="3">
        <f t="shared" si="13"/>
        <v>0.14799999999999999</v>
      </c>
      <c r="K55" s="3">
        <v>0.04</v>
      </c>
      <c r="L55" s="3"/>
      <c r="M55" s="3">
        <v>80</v>
      </c>
      <c r="N55" s="9">
        <f t="shared" si="14"/>
        <v>10.899165092211627</v>
      </c>
    </row>
    <row r="56" spans="1:14" x14ac:dyDescent="0.3">
      <c r="A56" s="4"/>
      <c r="B56" s="10" t="s">
        <v>99</v>
      </c>
      <c r="C56" s="3" t="s">
        <v>150</v>
      </c>
      <c r="E56" s="9">
        <f>Worksheet_Pipes!H44+Worksheet_Pipes!BJ160+Worksheet_Pipes!AZ215</f>
        <v>39.059999999999995</v>
      </c>
      <c r="F56" s="9">
        <f t="shared" si="15"/>
        <v>6.8423887995190235E-3</v>
      </c>
      <c r="G56" s="9">
        <f t="shared" si="16"/>
        <v>0.26726370650921305</v>
      </c>
      <c r="J56" s="3">
        <f t="shared" si="13"/>
        <v>0.12890000000000001</v>
      </c>
      <c r="K56" s="3">
        <v>0.04</v>
      </c>
      <c r="L56" s="3"/>
      <c r="M56" s="3">
        <v>80</v>
      </c>
      <c r="N56" s="9">
        <f t="shared" si="14"/>
        <v>21.381096520737046</v>
      </c>
    </row>
    <row r="57" spans="1:14" x14ac:dyDescent="0.3">
      <c r="A57" s="4"/>
      <c r="B57" s="10" t="s">
        <v>95</v>
      </c>
      <c r="C57" s="3" t="s">
        <v>150</v>
      </c>
      <c r="E57" s="9">
        <f>Worksheet_Pipes!H45+Worksheet_Pipes!BJ161+Worksheet_Pipes!AZ216</f>
        <v>285.89000000000004</v>
      </c>
      <c r="F57" s="9">
        <f t="shared" si="15"/>
        <v>6.0381410801999815E-3</v>
      </c>
      <c r="G57" s="9">
        <f>F57*E57</f>
        <v>1.726244153418373</v>
      </c>
      <c r="J57" s="3">
        <f t="shared" si="13"/>
        <v>0.11610000000000001</v>
      </c>
      <c r="K57" s="3">
        <v>0.04</v>
      </c>
      <c r="L57" s="3"/>
      <c r="M57" s="3">
        <v>80</v>
      </c>
      <c r="N57" s="9">
        <f t="shared" si="14"/>
        <v>138.09953227346983</v>
      </c>
    </row>
    <row r="58" spans="1:14" x14ac:dyDescent="0.3">
      <c r="A58" s="4"/>
      <c r="B58" s="10" t="s">
        <v>100</v>
      </c>
      <c r="C58" s="3" t="s">
        <v>150</v>
      </c>
      <c r="E58" s="9">
        <f>Worksheet_Pipes!H46+Worksheet_Pipes!BJ162+Worksheet_Pipes!AZ217</f>
        <v>77.960000000000008</v>
      </c>
      <c r="F58" s="9">
        <f t="shared" si="15"/>
        <v>3.2515483964656497E-3</v>
      </c>
      <c r="G58" s="9">
        <f t="shared" si="16"/>
        <v>0.2534907129884621</v>
      </c>
      <c r="J58" s="3">
        <f t="shared" si="13"/>
        <v>8.3999999999999991E-2</v>
      </c>
      <c r="K58" s="3">
        <v>0.03</v>
      </c>
      <c r="L58" s="3"/>
      <c r="M58" s="3">
        <v>80</v>
      </c>
      <c r="N58" s="9">
        <f t="shared" si="14"/>
        <v>20.279257039076967</v>
      </c>
    </row>
    <row r="59" spans="1:14" x14ac:dyDescent="0.3">
      <c r="A59" s="4"/>
      <c r="B59" s="10" t="s">
        <v>93</v>
      </c>
      <c r="C59" s="3" t="s">
        <v>150</v>
      </c>
      <c r="E59" s="9">
        <f>Worksheet_Pipes!H47+Worksheet_Pipes!BJ163+Worksheet_Pipes!AZ218</f>
        <v>160.53400000000002</v>
      </c>
      <c r="F59" s="9">
        <f t="shared" si="15"/>
        <v>2.6860617188194506E-3</v>
      </c>
      <c r="G59" s="9">
        <f t="shared" si="16"/>
        <v>0.43120423196896174</v>
      </c>
      <c r="J59" s="3">
        <f t="shared" si="13"/>
        <v>7.2000000000000008E-2</v>
      </c>
      <c r="K59" s="3">
        <v>0.03</v>
      </c>
      <c r="L59" s="3"/>
      <c r="M59" s="3">
        <v>80</v>
      </c>
      <c r="N59" s="9">
        <f t="shared" si="14"/>
        <v>34.496338557516935</v>
      </c>
    </row>
    <row r="60" spans="1:14" x14ac:dyDescent="0.3">
      <c r="A60" s="4"/>
      <c r="B60" s="10" t="s">
        <v>94</v>
      </c>
      <c r="C60" s="3" t="s">
        <v>150</v>
      </c>
      <c r="E60" s="9">
        <f>Worksheet_Pipes!H48+Worksheet_Pipes!BJ164+Worksheet_Pipes!AZ219</f>
        <v>21.222999999999999</v>
      </c>
      <c r="F60" s="9">
        <f t="shared" si="15"/>
        <v>2.3561944901925006E-3</v>
      </c>
      <c r="G60" s="9">
        <f t="shared" si="16"/>
        <v>5.0005515665355438E-2</v>
      </c>
      <c r="J60" s="3">
        <f t="shared" si="13"/>
        <v>6.5000000000000002E-2</v>
      </c>
      <c r="K60" s="3">
        <v>0.03</v>
      </c>
      <c r="L60" s="3"/>
      <c r="M60" s="3">
        <v>80</v>
      </c>
      <c r="N60" s="9">
        <f t="shared" si="14"/>
        <v>4.000441253228435</v>
      </c>
    </row>
    <row r="61" spans="1:14" x14ac:dyDescent="0.3">
      <c r="A61" s="4"/>
      <c r="B61" s="10" t="s">
        <v>97</v>
      </c>
      <c r="C61" s="3" t="s">
        <v>150</v>
      </c>
      <c r="E61" s="9">
        <f>Worksheet_Pipes!H49+Worksheet_Pipes!BJ165+Worksheet_Pipes!AZ220</f>
        <v>42.563000000000002</v>
      </c>
      <c r="F61" s="9">
        <f t="shared" si="15"/>
        <v>1.590431280879938E-3</v>
      </c>
      <c r="G61" s="9">
        <f t="shared" si="16"/>
        <v>6.7693526608092802E-2</v>
      </c>
      <c r="J61" s="3">
        <f t="shared" si="13"/>
        <v>5.3000000000000005E-2</v>
      </c>
      <c r="K61" s="3">
        <v>2.5000000000000001E-2</v>
      </c>
      <c r="L61" s="3"/>
      <c r="M61" s="3">
        <v>80</v>
      </c>
      <c r="N61" s="9">
        <f t="shared" si="14"/>
        <v>5.4154821286474242</v>
      </c>
    </row>
    <row r="62" spans="1:14" x14ac:dyDescent="0.3">
      <c r="A62" s="4"/>
      <c r="B62" s="10" t="s">
        <v>107</v>
      </c>
      <c r="C62" s="3" t="s">
        <v>150</v>
      </c>
      <c r="E62" s="9">
        <f>Worksheet_Pipes!H50+Worksheet_Pipes!BJ166+Worksheet_Pipes!AZ221</f>
        <v>7.76</v>
      </c>
      <c r="F62" s="9">
        <f t="shared" si="15"/>
        <v>1.3548118318606876E-3</v>
      </c>
      <c r="G62" s="9">
        <f t="shared" si="16"/>
        <v>1.0513339815238935E-2</v>
      </c>
      <c r="J62" s="3">
        <f t="shared" si="13"/>
        <v>4.7E-2</v>
      </c>
      <c r="K62" s="3">
        <v>2.5000000000000001E-2</v>
      </c>
      <c r="L62" s="3"/>
      <c r="M62" s="3">
        <v>80</v>
      </c>
      <c r="N62" s="9">
        <f t="shared" si="14"/>
        <v>0.84106718521911483</v>
      </c>
    </row>
    <row r="63" spans="1:14" x14ac:dyDescent="0.3">
      <c r="A63" s="4"/>
      <c r="B63" s="10" t="s">
        <v>106</v>
      </c>
      <c r="C63" s="3" t="s">
        <v>150</v>
      </c>
      <c r="E63" s="9">
        <f>Worksheet_Pipes!H51+Worksheet_Pipes!BJ167+Worksheet_Pipes!AZ222</f>
        <v>0</v>
      </c>
      <c r="F63" s="9">
        <f t="shared" si="15"/>
        <v>1.1977321991811876E-3</v>
      </c>
      <c r="G63" s="9">
        <f t="shared" si="16"/>
        <v>0</v>
      </c>
      <c r="J63" s="3">
        <f t="shared" si="13"/>
        <v>4.2999999999999997E-2</v>
      </c>
      <c r="K63" s="3">
        <v>2.5000000000000001E-2</v>
      </c>
      <c r="L63" s="3"/>
      <c r="M63" s="3">
        <v>80</v>
      </c>
      <c r="N63" s="9">
        <f t="shared" si="14"/>
        <v>0</v>
      </c>
    </row>
    <row r="64" spans="1:14" x14ac:dyDescent="0.3">
      <c r="A64" s="4"/>
      <c r="B64" s="10" t="s">
        <v>96</v>
      </c>
      <c r="C64" s="3" t="s">
        <v>150</v>
      </c>
      <c r="E64" s="9">
        <f>Worksheet_Pipes!H52+Worksheet_Pipes!BJ168+Worksheet_Pipes!AZ223</f>
        <v>0</v>
      </c>
      <c r="F64" s="9">
        <f t="shared" si="15"/>
        <v>1.0799224746715626E-3</v>
      </c>
      <c r="G64" s="9">
        <f t="shared" si="16"/>
        <v>0</v>
      </c>
      <c r="J64" s="3">
        <f t="shared" si="13"/>
        <v>0.04</v>
      </c>
      <c r="K64" s="3">
        <v>2.5000000000000001E-2</v>
      </c>
      <c r="L64" s="3"/>
      <c r="M64" s="3">
        <v>80</v>
      </c>
      <c r="N64" s="39">
        <f t="shared" si="14"/>
        <v>0</v>
      </c>
    </row>
    <row r="65" spans="1:26" x14ac:dyDescent="0.3">
      <c r="A65" s="36"/>
      <c r="B65" s="36"/>
      <c r="C65" s="36"/>
      <c r="D65" s="34"/>
      <c r="E65" s="37"/>
      <c r="F65" s="34"/>
      <c r="G65" s="36"/>
      <c r="H65" s="36"/>
      <c r="I65" s="38" t="s">
        <v>48</v>
      </c>
      <c r="J65" s="38" t="s">
        <v>47</v>
      </c>
      <c r="K65" s="38" t="s">
        <v>77</v>
      </c>
      <c r="L65" s="38" t="s">
        <v>50</v>
      </c>
      <c r="M65" s="9"/>
      <c r="N65" s="9"/>
    </row>
    <row r="66" spans="1:26" x14ac:dyDescent="0.3">
      <c r="A66" s="4" t="s">
        <v>163</v>
      </c>
      <c r="B66" s="10" t="s">
        <v>160</v>
      </c>
      <c r="C66" s="3" t="s">
        <v>12</v>
      </c>
      <c r="G66" s="9">
        <f>I66*J66*K66*L66*0.02</f>
        <v>3.3801300000000007E-3</v>
      </c>
      <c r="I66" s="3">
        <v>0.53500000000000003</v>
      </c>
      <c r="J66" s="3">
        <v>0.39</v>
      </c>
      <c r="K66" s="3">
        <v>0.13500000000000001</v>
      </c>
      <c r="L66" s="2">
        <v>6</v>
      </c>
      <c r="M66" s="3">
        <v>8000</v>
      </c>
      <c r="N66" s="9">
        <f>G66*M66</f>
        <v>27.041040000000006</v>
      </c>
    </row>
    <row r="67" spans="1:26" x14ac:dyDescent="0.3">
      <c r="B67" s="10" t="s">
        <v>159</v>
      </c>
      <c r="C67" s="3" t="s">
        <v>12</v>
      </c>
      <c r="G67" s="9">
        <f t="shared" ref="G67:G71" si="17">I67*J67*K67*L67*0.02</f>
        <v>8.9926199999999998E-3</v>
      </c>
      <c r="I67" s="3">
        <v>0.61</v>
      </c>
      <c r="J67" s="3">
        <v>0.39</v>
      </c>
      <c r="K67" s="3">
        <v>0.13500000000000001</v>
      </c>
      <c r="L67" s="2">
        <v>14</v>
      </c>
      <c r="M67" s="3">
        <v>8000</v>
      </c>
      <c r="N67" s="9">
        <f t="shared" si="14"/>
        <v>71.940960000000004</v>
      </c>
    </row>
    <row r="68" spans="1:26" x14ac:dyDescent="0.3">
      <c r="B68" s="10" t="s">
        <v>162</v>
      </c>
      <c r="C68" s="3" t="s">
        <v>12</v>
      </c>
      <c r="G68" s="9">
        <f t="shared" si="17"/>
        <v>2.4219000000000003E-3</v>
      </c>
      <c r="I68" s="3">
        <v>0.46</v>
      </c>
      <c r="J68" s="3">
        <v>0.39</v>
      </c>
      <c r="K68" s="3">
        <v>0.13500000000000001</v>
      </c>
      <c r="L68" s="2">
        <v>5</v>
      </c>
      <c r="M68" s="3">
        <v>8000</v>
      </c>
      <c r="N68" s="9">
        <f t="shared" si="14"/>
        <v>19.375200000000003</v>
      </c>
    </row>
    <row r="69" spans="1:26" x14ac:dyDescent="0.3">
      <c r="B69" s="10" t="s">
        <v>161</v>
      </c>
      <c r="C69" s="3" t="s">
        <v>12</v>
      </c>
      <c r="G69" s="9">
        <f t="shared" si="17"/>
        <v>2.8378350000000008E-3</v>
      </c>
      <c r="I69" s="3">
        <v>0.38500000000000001</v>
      </c>
      <c r="J69" s="3">
        <v>0.39</v>
      </c>
      <c r="K69" s="3">
        <v>0.13500000000000001</v>
      </c>
      <c r="L69" s="2">
        <v>7</v>
      </c>
      <c r="M69" s="3">
        <v>8000</v>
      </c>
      <c r="N69" s="9">
        <f t="shared" si="14"/>
        <v>22.702680000000008</v>
      </c>
    </row>
    <row r="70" spans="1:26" x14ac:dyDescent="0.3">
      <c r="A70" s="4" t="s">
        <v>158</v>
      </c>
      <c r="B70" s="10" t="s">
        <v>87</v>
      </c>
      <c r="C70" s="3" t="s">
        <v>12</v>
      </c>
      <c r="F70"/>
      <c r="G70" s="9">
        <f t="shared" si="17"/>
        <v>4.0875E-3</v>
      </c>
      <c r="I70" s="3">
        <v>3.27</v>
      </c>
      <c r="J70" s="3">
        <v>0.25</v>
      </c>
      <c r="K70" s="3">
        <v>0.25</v>
      </c>
      <c r="L70" s="2">
        <v>1</v>
      </c>
      <c r="M70" s="3">
        <v>8000</v>
      </c>
      <c r="N70" s="9">
        <f t="shared" si="14"/>
        <v>32.700000000000003</v>
      </c>
    </row>
    <row r="71" spans="1:26" x14ac:dyDescent="0.3">
      <c r="B71" s="10" t="s">
        <v>153</v>
      </c>
      <c r="C71" s="3" t="s">
        <v>12</v>
      </c>
      <c r="F71"/>
      <c r="G71" s="9">
        <f t="shared" si="17"/>
        <v>3.7000000000000002E-3</v>
      </c>
      <c r="I71" s="3">
        <v>2.96</v>
      </c>
      <c r="J71" s="3">
        <v>0.25</v>
      </c>
      <c r="K71" s="3">
        <v>0.25</v>
      </c>
      <c r="L71" s="2">
        <v>1</v>
      </c>
      <c r="M71" s="3">
        <v>8000</v>
      </c>
      <c r="N71" s="9">
        <f t="shared" si="14"/>
        <v>29.6</v>
      </c>
    </row>
    <row r="72" spans="1:26" x14ac:dyDescent="0.3">
      <c r="A72" s="31" t="s">
        <v>200</v>
      </c>
      <c r="B72" s="32" t="s">
        <v>191</v>
      </c>
      <c r="C72" s="33" t="s">
        <v>198</v>
      </c>
      <c r="D72" s="36"/>
      <c r="E72" s="37"/>
      <c r="F72" s="36"/>
      <c r="G72" s="35">
        <f>Worksheet_Pipes!Z71</f>
        <v>0.20834999999999998</v>
      </c>
      <c r="H72" s="36"/>
      <c r="I72" s="36"/>
      <c r="J72" s="36"/>
      <c r="K72" s="36"/>
      <c r="L72" s="36"/>
      <c r="M72" s="33">
        <v>7800</v>
      </c>
      <c r="N72" s="35">
        <f>G72*M72</f>
        <v>1625.1299999999999</v>
      </c>
      <c r="Z72" s="30"/>
    </row>
    <row r="73" spans="1:26" x14ac:dyDescent="0.3">
      <c r="B73" s="10" t="s">
        <v>194</v>
      </c>
      <c r="C73" s="3" t="s">
        <v>193</v>
      </c>
      <c r="D73"/>
      <c r="F73"/>
      <c r="G73" s="9">
        <f>Worksheet_Pipes!AA71</f>
        <v>3.159E-2</v>
      </c>
      <c r="M73" s="3">
        <v>2700</v>
      </c>
      <c r="N73" s="9">
        <f t="shared" si="14"/>
        <v>85.293000000000006</v>
      </c>
    </row>
    <row r="74" spans="1:26" x14ac:dyDescent="0.3">
      <c r="A74" t="s">
        <v>164</v>
      </c>
      <c r="B74" s="10" t="s">
        <v>192</v>
      </c>
      <c r="C74" s="3" t="s">
        <v>12</v>
      </c>
      <c r="D74"/>
      <c r="F74"/>
      <c r="G74" s="9">
        <f>Worksheet_Pipes!AB71</f>
        <v>1.7219999999999996E-3</v>
      </c>
      <c r="M74" s="3">
        <v>8000</v>
      </c>
      <c r="N74" s="9">
        <f t="shared" si="14"/>
        <v>13.775999999999996</v>
      </c>
    </row>
    <row r="75" spans="1:26" x14ac:dyDescent="0.3">
      <c r="B75" s="10" t="s">
        <v>36</v>
      </c>
      <c r="C75" s="3" t="s">
        <v>46</v>
      </c>
      <c r="D75"/>
      <c r="G75" s="9">
        <f>Worksheet_Pipes!AC71</f>
        <v>5.1660000000000005E-3</v>
      </c>
      <c r="M75" s="3">
        <v>1140</v>
      </c>
      <c r="N75" s="9">
        <f t="shared" si="14"/>
        <v>5.8892400000000009</v>
      </c>
    </row>
    <row r="76" spans="1:26" x14ac:dyDescent="0.3">
      <c r="A76" t="s">
        <v>197</v>
      </c>
      <c r="B76" s="10" t="s">
        <v>195</v>
      </c>
      <c r="C76" s="3" t="s">
        <v>196</v>
      </c>
      <c r="D76"/>
      <c r="G76" s="9">
        <f>Worksheet_Pipes!AD71</f>
        <v>0.96340000000000003</v>
      </c>
      <c r="M76" s="3">
        <v>2800</v>
      </c>
      <c r="N76" s="9">
        <f t="shared" si="14"/>
        <v>2697.52</v>
      </c>
    </row>
    <row r="77" spans="1:26" x14ac:dyDescent="0.3">
      <c r="D77"/>
    </row>
    <row r="79" spans="1:26" x14ac:dyDescent="0.3">
      <c r="A79" s="16" t="s">
        <v>246</v>
      </c>
      <c r="B79" s="12"/>
      <c r="C79" s="12"/>
      <c r="D79" s="17"/>
      <c r="E79" s="18"/>
      <c r="F79" s="17"/>
      <c r="G79" s="12"/>
      <c r="H79" s="12"/>
      <c r="I79" s="12"/>
      <c r="J79" s="12"/>
      <c r="K79" s="12"/>
      <c r="L79" s="12"/>
      <c r="M79" s="12"/>
      <c r="N79" s="12"/>
    </row>
    <row r="80" spans="1:26" x14ac:dyDescent="0.3">
      <c r="B80" s="4" t="s">
        <v>10</v>
      </c>
      <c r="C80" s="4" t="s">
        <v>240</v>
      </c>
      <c r="D80" s="8" t="s">
        <v>55</v>
      </c>
    </row>
    <row r="81" spans="1:9" x14ac:dyDescent="0.3">
      <c r="A81" t="s">
        <v>247</v>
      </c>
      <c r="B81" t="s">
        <v>17</v>
      </c>
      <c r="C81" s="41">
        <f>N9*'GWP2013'!E5+I81</f>
        <v>21787.351868943999</v>
      </c>
      <c r="D81" s="8">
        <f>N9</f>
        <v>6790.4000000000005</v>
      </c>
      <c r="G81" t="s">
        <v>163</v>
      </c>
      <c r="H81" t="s">
        <v>12</v>
      </c>
      <c r="I81" s="41">
        <f>SUM(N66:N71)*'GWP2013'!C6</f>
        <v>439.01330894399996</v>
      </c>
    </row>
    <row r="82" spans="1:9" x14ac:dyDescent="0.3">
      <c r="A82" t="s">
        <v>279</v>
      </c>
      <c r="B82" t="s">
        <v>42</v>
      </c>
      <c r="C82" s="41">
        <f>SUM(N10:N20)*'GWP2013'!C4</f>
        <v>22534.698095720003</v>
      </c>
      <c r="D82" s="8">
        <f>SUM(N10:N20)+I81</f>
        <v>4848.0718289440001</v>
      </c>
      <c r="I82" s="41"/>
    </row>
    <row r="83" spans="1:9" x14ac:dyDescent="0.3">
      <c r="A83" t="s">
        <v>146</v>
      </c>
      <c r="B83" t="s">
        <v>41</v>
      </c>
      <c r="C83" s="41">
        <f>SUM(N21:N31)*'GWP2013'!C3</f>
        <v>237.96265089507676</v>
      </c>
      <c r="D83" s="8">
        <f>SUM(N21:N31)</f>
        <v>219.52274067811507</v>
      </c>
      <c r="I83" s="41"/>
    </row>
    <row r="84" spans="1:9" x14ac:dyDescent="0.3">
      <c r="A84" t="s">
        <v>147</v>
      </c>
      <c r="B84" t="s">
        <v>149</v>
      </c>
      <c r="C84" s="41">
        <f>SUM(N32:N42)*'GWP2013'!C2</f>
        <v>212.31206516351406</v>
      </c>
      <c r="D84" s="8">
        <f>SUM(N32:N42)</f>
        <v>54.39714710825367</v>
      </c>
      <c r="I84" s="41"/>
    </row>
    <row r="85" spans="1:9" x14ac:dyDescent="0.3">
      <c r="A85" t="s">
        <v>252</v>
      </c>
      <c r="C85" s="40">
        <f>N72*'GWP2013'!C7+Heating!N73*'GWP2013'!C14+Heating!N74*'GWP2013'!C6+Heating!N75*'GWP2013'!C16+Heating!N76*'GWP2013'!C8</f>
        <v>32294.408464164</v>
      </c>
      <c r="E85" s="41">
        <f>SUM(D81:D84)</f>
        <v>11912.39171673037</v>
      </c>
      <c r="I85" s="40"/>
    </row>
    <row r="87" spans="1:9" x14ac:dyDescent="0.3">
      <c r="B87" t="s">
        <v>193</v>
      </c>
      <c r="C87">
        <f>D87*'GWP2013'!C14</f>
        <v>1666.7958060000003</v>
      </c>
      <c r="D87" s="8">
        <f>N73</f>
        <v>85.293000000000006</v>
      </c>
    </row>
    <row r="88" spans="1:9" x14ac:dyDescent="0.3">
      <c r="B88" t="s">
        <v>12</v>
      </c>
      <c r="C88">
        <f>N74*'GWP2013'!C6+Heating!N72*'GWP2013'!C7</f>
        <v>8335.7790587999989</v>
      </c>
      <c r="D88" s="8">
        <f>N74+N72</f>
        <v>1638.9059999999999</v>
      </c>
    </row>
    <row r="89" spans="1:9" x14ac:dyDescent="0.3">
      <c r="B89" t="s">
        <v>46</v>
      </c>
      <c r="C89">
        <f>D89*'GWP2013'!C16</f>
        <v>50.241695364000009</v>
      </c>
      <c r="D89" s="8">
        <f>N75</f>
        <v>5.8892400000000009</v>
      </c>
    </row>
    <row r="90" spans="1:9" x14ac:dyDescent="0.3">
      <c r="B90" t="s">
        <v>296</v>
      </c>
      <c r="C90">
        <f>D90*'GWP2013'!C8</f>
        <v>22241.591904000001</v>
      </c>
      <c r="D90" s="8">
        <f>N76</f>
        <v>2697.52</v>
      </c>
    </row>
    <row r="91" spans="1:9" x14ac:dyDescent="0.3">
      <c r="A91" t="s">
        <v>115</v>
      </c>
      <c r="C91" s="15">
        <f>SUM(C81:C85)</f>
        <v>77066.733144886588</v>
      </c>
      <c r="D91" s="15">
        <f>SUM(D81:D90)</f>
        <v>16339.999956730371</v>
      </c>
      <c r="E91" s="41">
        <f>SUM(D87:D90)</f>
        <v>4427.6082399999996</v>
      </c>
    </row>
    <row r="100" spans="19:19" x14ac:dyDescent="0.3"/>
  </sheetData>
  <pageMargins left="0.7" right="0.7" top="0.78740157499999996" bottom="0.78740157499999996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2"/>
  <sheetViews>
    <sheetView zoomScale="85" zoomScaleNormal="85" workbookViewId="0">
      <selection activeCell="E21" sqref="E21"/>
    </sheetView>
  </sheetViews>
  <sheetFormatPr defaultColWidth="11" defaultRowHeight="15.6" x14ac:dyDescent="0.3"/>
  <cols>
    <col min="1" max="1" width="23.69921875" bestFit="1" customWidth="1"/>
    <col min="2" max="2" width="17.5" bestFit="1" customWidth="1"/>
    <col min="3" max="3" width="21.796875" bestFit="1" customWidth="1"/>
    <col min="16" max="16" width="11" style="8"/>
  </cols>
  <sheetData>
    <row r="1" spans="1:16" x14ac:dyDescent="0.3">
      <c r="A1" s="2" t="s">
        <v>2</v>
      </c>
      <c r="B1" s="3" t="s">
        <v>22</v>
      </c>
      <c r="F1" s="8" t="s">
        <v>19</v>
      </c>
      <c r="G1">
        <v>3.1415926535900001</v>
      </c>
      <c r="M1" t="s">
        <v>24</v>
      </c>
    </row>
    <row r="2" spans="1:16" x14ac:dyDescent="0.3">
      <c r="A2" s="2" t="s">
        <v>7</v>
      </c>
      <c r="B2" s="3" t="s">
        <v>23</v>
      </c>
      <c r="M2" t="s">
        <v>25</v>
      </c>
    </row>
    <row r="3" spans="1:16" x14ac:dyDescent="0.3">
      <c r="A3" s="2" t="s">
        <v>166</v>
      </c>
      <c r="B3" s="3">
        <v>297.10000000000002</v>
      </c>
      <c r="N3" t="s">
        <v>209</v>
      </c>
      <c r="O3" t="s">
        <v>206</v>
      </c>
      <c r="P3" s="8" t="s">
        <v>210</v>
      </c>
    </row>
    <row r="4" spans="1:16" x14ac:dyDescent="0.3">
      <c r="M4" t="s">
        <v>27</v>
      </c>
      <c r="N4">
        <v>7.6999999999999999E-2</v>
      </c>
      <c r="P4" s="8">
        <v>0.01</v>
      </c>
    </row>
    <row r="7" spans="1:16" x14ac:dyDescent="0.3">
      <c r="A7" s="16" t="s">
        <v>9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44"/>
    </row>
    <row r="8" spans="1:16" x14ac:dyDescent="0.3">
      <c r="A8" s="2"/>
      <c r="B8" s="13" t="s">
        <v>11</v>
      </c>
      <c r="C8" s="13" t="s">
        <v>10</v>
      </c>
      <c r="D8" s="13" t="s">
        <v>50</v>
      </c>
      <c r="E8" s="13" t="s">
        <v>53</v>
      </c>
      <c r="F8" s="13" t="s">
        <v>54</v>
      </c>
      <c r="G8" s="13" t="s">
        <v>49</v>
      </c>
      <c r="H8" s="13" t="s">
        <v>48</v>
      </c>
      <c r="I8" s="13" t="s">
        <v>208</v>
      </c>
      <c r="J8" s="20" t="s">
        <v>43</v>
      </c>
      <c r="K8" s="4"/>
      <c r="L8" s="13" t="s">
        <v>13</v>
      </c>
      <c r="M8" s="13" t="s">
        <v>82</v>
      </c>
      <c r="N8" s="13" t="s">
        <v>248</v>
      </c>
      <c r="O8" s="13" t="s">
        <v>250</v>
      </c>
      <c r="P8" s="20" t="s">
        <v>55</v>
      </c>
    </row>
    <row r="9" spans="1:16" x14ac:dyDescent="0.3">
      <c r="A9" s="5" t="s">
        <v>33</v>
      </c>
      <c r="B9" s="3" t="s">
        <v>26</v>
      </c>
      <c r="C9" s="3" t="s">
        <v>12</v>
      </c>
      <c r="D9" s="3">
        <v>10</v>
      </c>
      <c r="E9" s="3">
        <v>10</v>
      </c>
      <c r="F9" s="3" t="s">
        <v>205</v>
      </c>
      <c r="L9">
        <v>0.92</v>
      </c>
    </row>
    <row r="10" spans="1:16" x14ac:dyDescent="0.3">
      <c r="A10" s="5"/>
      <c r="B10" s="3" t="s">
        <v>236</v>
      </c>
      <c r="C10" s="3" t="s">
        <v>12</v>
      </c>
      <c r="D10" s="3">
        <v>1</v>
      </c>
      <c r="E10" s="3"/>
      <c r="F10" s="3"/>
      <c r="G10">
        <v>2.2789999999999999</v>
      </c>
      <c r="H10">
        <v>7.9210000000000003</v>
      </c>
      <c r="I10">
        <v>0.08</v>
      </c>
    </row>
    <row r="11" spans="1:16" x14ac:dyDescent="0.3">
      <c r="B11" s="3" t="s">
        <v>237</v>
      </c>
      <c r="C11" s="3" t="s">
        <v>12</v>
      </c>
      <c r="D11" s="3">
        <v>1</v>
      </c>
      <c r="E11" s="3"/>
      <c r="F11" s="3"/>
      <c r="G11">
        <v>2.2789999999999999</v>
      </c>
      <c r="H11">
        <v>7.9210000000000003</v>
      </c>
    </row>
    <row r="12" spans="1:16" x14ac:dyDescent="0.3">
      <c r="A12" s="5"/>
      <c r="B12" s="3" t="s">
        <v>28</v>
      </c>
      <c r="C12" s="3"/>
      <c r="D12" s="3">
        <v>1</v>
      </c>
      <c r="E12" s="3"/>
      <c r="F12" s="3"/>
    </row>
    <row r="13" spans="1:16" x14ac:dyDescent="0.3">
      <c r="A13" s="5"/>
      <c r="B13" s="3" t="s">
        <v>29</v>
      </c>
      <c r="C13" s="3" t="s">
        <v>193</v>
      </c>
      <c r="D13" s="3">
        <v>1</v>
      </c>
      <c r="E13" s="3"/>
      <c r="F13" s="3"/>
      <c r="G13">
        <v>0.3</v>
      </c>
      <c r="H13">
        <v>2.04</v>
      </c>
      <c r="I13">
        <v>1.07</v>
      </c>
    </row>
    <row r="14" spans="1:16" x14ac:dyDescent="0.3">
      <c r="A14" s="5"/>
      <c r="B14" s="3" t="s">
        <v>30</v>
      </c>
      <c r="C14" s="3"/>
      <c r="D14" s="3"/>
      <c r="E14" s="3"/>
      <c r="F14" s="3"/>
      <c r="G14">
        <v>0.52</v>
      </c>
      <c r="I14">
        <v>1</v>
      </c>
    </row>
    <row r="15" spans="1:16" x14ac:dyDescent="0.3">
      <c r="A15" s="5"/>
      <c r="B15" s="3" t="s">
        <v>31</v>
      </c>
      <c r="C15" s="3" t="s">
        <v>12</v>
      </c>
      <c r="D15" s="3">
        <v>1</v>
      </c>
      <c r="E15" s="3"/>
      <c r="F15" s="3"/>
    </row>
    <row r="16" spans="1:16" x14ac:dyDescent="0.3">
      <c r="A16" s="5"/>
      <c r="B16" s="3" t="s">
        <v>232</v>
      </c>
      <c r="C16" s="3" t="s">
        <v>12</v>
      </c>
      <c r="D16" s="3">
        <v>1</v>
      </c>
      <c r="E16" s="3"/>
      <c r="F16" s="3"/>
      <c r="H16">
        <v>3.5</v>
      </c>
      <c r="L16">
        <v>0.5</v>
      </c>
    </row>
    <row r="17" spans="1:16" x14ac:dyDescent="0.3">
      <c r="A17" s="5"/>
      <c r="B17" s="3" t="s">
        <v>233</v>
      </c>
      <c r="C17" s="3" t="s">
        <v>12</v>
      </c>
      <c r="D17" s="3">
        <v>7</v>
      </c>
      <c r="E17" s="3"/>
      <c r="F17" s="3"/>
      <c r="G17">
        <v>2.23</v>
      </c>
      <c r="H17">
        <v>1.05</v>
      </c>
      <c r="I17">
        <v>1.1599999999999999</v>
      </c>
      <c r="L17" t="s">
        <v>234</v>
      </c>
    </row>
    <row r="18" spans="1:16" x14ac:dyDescent="0.3">
      <c r="A18" s="5"/>
      <c r="B18" s="3" t="s">
        <v>235</v>
      </c>
      <c r="C18" s="3" t="s">
        <v>12</v>
      </c>
      <c r="D18" s="3">
        <v>14</v>
      </c>
      <c r="E18" s="3"/>
      <c r="F18" s="3"/>
    </row>
    <row r="19" spans="1:16" x14ac:dyDescent="0.3">
      <c r="A19" s="5"/>
      <c r="B19" s="3" t="s">
        <v>32</v>
      </c>
      <c r="C19" s="3" t="s">
        <v>52</v>
      </c>
      <c r="D19" s="3"/>
      <c r="E19" s="3">
        <v>245</v>
      </c>
      <c r="F19" s="3" t="s">
        <v>55</v>
      </c>
      <c r="P19" s="8">
        <v>245</v>
      </c>
    </row>
    <row r="20" spans="1:16" x14ac:dyDescent="0.3">
      <c r="A20" s="5"/>
      <c r="B20" s="3" t="s">
        <v>255</v>
      </c>
      <c r="C20" s="3"/>
      <c r="D20" s="3"/>
      <c r="E20" s="3"/>
      <c r="F20" s="3"/>
      <c r="P20" s="8">
        <v>5465</v>
      </c>
    </row>
    <row r="21" spans="1:16" x14ac:dyDescent="0.3">
      <c r="A21" s="36" t="s">
        <v>64</v>
      </c>
      <c r="B21" s="33" t="s">
        <v>62</v>
      </c>
      <c r="C21" s="33" t="s">
        <v>12</v>
      </c>
      <c r="D21" s="33"/>
      <c r="E21" s="33">
        <v>48.8</v>
      </c>
      <c r="F21" s="33" t="s">
        <v>63</v>
      </c>
      <c r="G21" s="36"/>
      <c r="H21" s="36"/>
      <c r="I21" s="36"/>
      <c r="J21" s="35" t="e">
        <f>#REF!*E21</f>
        <v>#REF!</v>
      </c>
      <c r="L21" s="33">
        <v>0.16800000000000001</v>
      </c>
      <c r="M21" s="36">
        <v>3.2000000000000002E-3</v>
      </c>
      <c r="N21" s="36">
        <v>13.01</v>
      </c>
      <c r="O21" s="36"/>
      <c r="P21" s="34">
        <f>N21*E21</f>
        <v>634.88799999999992</v>
      </c>
    </row>
    <row r="22" spans="1:16" x14ac:dyDescent="0.3">
      <c r="A22" t="s">
        <v>65</v>
      </c>
      <c r="B22" s="3" t="s">
        <v>62</v>
      </c>
      <c r="C22" s="3" t="s">
        <v>12</v>
      </c>
      <c r="D22" s="3"/>
      <c r="E22" s="3">
        <v>32.119999999999997</v>
      </c>
      <c r="F22" s="3" t="s">
        <v>63</v>
      </c>
      <c r="L22" s="42">
        <v>0.16800000000000001</v>
      </c>
      <c r="M22" s="43">
        <v>3.2000000000000002E-3</v>
      </c>
      <c r="N22" s="43">
        <v>13.01</v>
      </c>
      <c r="O22" s="43"/>
      <c r="P22" s="45">
        <f>N22*E22</f>
        <v>417.88119999999998</v>
      </c>
    </row>
    <row r="23" spans="1:16" x14ac:dyDescent="0.3">
      <c r="A23" s="36" t="s">
        <v>56</v>
      </c>
      <c r="B23" s="33" t="s">
        <v>57</v>
      </c>
      <c r="C23" s="33" t="s">
        <v>58</v>
      </c>
      <c r="D23" s="33"/>
      <c r="E23" s="33">
        <v>90</v>
      </c>
      <c r="F23" s="33" t="s">
        <v>205</v>
      </c>
      <c r="G23" s="36"/>
      <c r="H23" s="36"/>
      <c r="I23" s="36"/>
      <c r="J23" s="36"/>
      <c r="K23" s="36"/>
    </row>
    <row r="24" spans="1:16" x14ac:dyDescent="0.3">
      <c r="B24" s="3" t="s">
        <v>27</v>
      </c>
      <c r="C24" s="3" t="s">
        <v>59</v>
      </c>
      <c r="D24" s="3"/>
      <c r="E24" s="3"/>
      <c r="F24" s="3"/>
    </row>
    <row r="25" spans="1:16" x14ac:dyDescent="0.3">
      <c r="B25" s="3" t="s">
        <v>60</v>
      </c>
      <c r="C25" s="3" t="s">
        <v>61</v>
      </c>
      <c r="D25" s="3"/>
      <c r="E25" s="3"/>
      <c r="F25" s="3"/>
    </row>
    <row r="26" spans="1:16" x14ac:dyDescent="0.3">
      <c r="B26" s="3" t="s">
        <v>115</v>
      </c>
      <c r="P26" s="8">
        <v>668</v>
      </c>
    </row>
    <row r="27" spans="1:16" x14ac:dyDescent="0.3">
      <c r="A27" s="36" t="s">
        <v>257</v>
      </c>
      <c r="B27" s="33" t="s">
        <v>142</v>
      </c>
      <c r="C27" s="36"/>
      <c r="D27" s="36">
        <v>26</v>
      </c>
      <c r="E27" s="36">
        <v>24</v>
      </c>
      <c r="F27" s="36" t="s">
        <v>55</v>
      </c>
      <c r="G27" s="36"/>
      <c r="H27" s="36"/>
      <c r="I27" s="36"/>
      <c r="J27" s="36"/>
      <c r="K27" s="36"/>
      <c r="L27" s="36"/>
      <c r="M27" s="36"/>
      <c r="N27" s="36"/>
      <c r="O27" s="36"/>
      <c r="P27" s="34">
        <f>E27*D27</f>
        <v>624</v>
      </c>
    </row>
    <row r="28" spans="1:16" x14ac:dyDescent="0.3">
      <c r="B28" s="3" t="s">
        <v>143</v>
      </c>
      <c r="D28">
        <v>18</v>
      </c>
      <c r="E28">
        <v>48</v>
      </c>
      <c r="F28" t="s">
        <v>55</v>
      </c>
      <c r="P28" s="8">
        <f>D28*E28</f>
        <v>864</v>
      </c>
    </row>
    <row r="29" spans="1:16" x14ac:dyDescent="0.3">
      <c r="A29" s="4"/>
      <c r="B29" s="13" t="s">
        <v>11</v>
      </c>
      <c r="C29" s="13" t="s">
        <v>10</v>
      </c>
      <c r="D29" s="13" t="s">
        <v>15</v>
      </c>
      <c r="E29" s="20" t="s">
        <v>16</v>
      </c>
      <c r="F29" s="20" t="s">
        <v>44</v>
      </c>
      <c r="G29" s="20" t="s">
        <v>43</v>
      </c>
      <c r="I29" s="2" t="s">
        <v>51</v>
      </c>
      <c r="J29" s="2" t="s">
        <v>13</v>
      </c>
      <c r="K29" s="2" t="s">
        <v>82</v>
      </c>
      <c r="L29" s="2" t="s">
        <v>248</v>
      </c>
      <c r="M29" s="2" t="s">
        <v>250</v>
      </c>
      <c r="N29" s="2" t="s">
        <v>55</v>
      </c>
    </row>
    <row r="30" spans="1:16" x14ac:dyDescent="0.3">
      <c r="A30" s="31" t="s">
        <v>280</v>
      </c>
      <c r="B30" s="32" t="s">
        <v>78</v>
      </c>
      <c r="C30" s="33" t="s">
        <v>42</v>
      </c>
      <c r="D30" s="34"/>
      <c r="E30" s="35">
        <f>Worksheet_Pipes!Y3</f>
        <v>29.99</v>
      </c>
      <c r="F30" s="35">
        <f>((J30/2)^2*$G$1)-(((J30-K30)/2)^2*$G$1)</f>
        <v>6.9064772896522755E-4</v>
      </c>
      <c r="G30" s="35">
        <f>F30*E30</f>
        <v>2.0712525391667173E-2</v>
      </c>
      <c r="H30" s="36"/>
      <c r="I30" s="34"/>
      <c r="J30" s="33">
        <v>0.13900000000000001</v>
      </c>
      <c r="K30" s="33">
        <v>3.2000000000000002E-3</v>
      </c>
      <c r="L30" s="33">
        <v>10.72</v>
      </c>
      <c r="M30" s="33"/>
      <c r="N30" s="35">
        <f t="shared" ref="N30:N40" si="0">L30*E30</f>
        <v>321.49279999999999</v>
      </c>
    </row>
    <row r="31" spans="1:16" x14ac:dyDescent="0.3">
      <c r="A31" s="4"/>
      <c r="B31" s="10" t="s">
        <v>90</v>
      </c>
      <c r="C31" s="3" t="s">
        <v>42</v>
      </c>
      <c r="D31" s="8"/>
      <c r="E31" s="9">
        <f>Worksheet_Pipes!Y4</f>
        <v>16.939999999999998</v>
      </c>
      <c r="F31" s="9">
        <f t="shared" ref="F31:F40" si="1">((J31/2)^2*$G$1)-(((J31-K31)/2)^2*$G$1)</f>
        <v>3.3615041393413037E-4</v>
      </c>
      <c r="G31" s="9">
        <f t="shared" ref="G31:G40" si="2">F31*E31</f>
        <v>5.6943880120441676E-3</v>
      </c>
      <c r="H31" s="11"/>
      <c r="I31" s="8"/>
      <c r="J31" s="3">
        <v>0.108</v>
      </c>
      <c r="K31" s="3">
        <v>2E-3</v>
      </c>
      <c r="L31" s="3">
        <v>5.23</v>
      </c>
      <c r="M31" s="3"/>
      <c r="N31" s="9">
        <f t="shared" si="0"/>
        <v>88.596199999999996</v>
      </c>
    </row>
    <row r="32" spans="1:16" x14ac:dyDescent="0.3">
      <c r="A32" s="4"/>
      <c r="B32" s="10" t="s">
        <v>99</v>
      </c>
      <c r="C32" s="3" t="s">
        <v>42</v>
      </c>
      <c r="D32" s="8"/>
      <c r="E32" s="9">
        <f>Worksheet_Pipes!Y5</f>
        <v>39.059999999999995</v>
      </c>
      <c r="F32" s="9">
        <f t="shared" si="1"/>
        <v>2.7614599425056056E-4</v>
      </c>
      <c r="G32" s="9">
        <f t="shared" si="2"/>
        <v>1.0786262535426895E-2</v>
      </c>
      <c r="I32" s="8"/>
      <c r="J32" s="3">
        <v>8.8900000000000007E-2</v>
      </c>
      <c r="K32" s="3">
        <v>2E-3</v>
      </c>
      <c r="L32" s="3">
        <v>4.29</v>
      </c>
      <c r="M32" s="3"/>
      <c r="N32" s="9">
        <f t="shared" si="0"/>
        <v>167.56739999999999</v>
      </c>
    </row>
    <row r="33" spans="1:14" x14ac:dyDescent="0.3">
      <c r="A33" s="4"/>
      <c r="B33" s="10" t="s">
        <v>95</v>
      </c>
      <c r="C33" s="3" t="s">
        <v>42</v>
      </c>
      <c r="D33" s="8"/>
      <c r="E33" s="9">
        <f>Worksheet_Pipes!Y6</f>
        <v>285.89000000000004</v>
      </c>
      <c r="F33" s="9">
        <f t="shared" si="1"/>
        <v>2.3593360828460912E-4</v>
      </c>
      <c r="G33" s="9">
        <f t="shared" si="2"/>
        <v>6.7451059272486916E-2</v>
      </c>
      <c r="J33" s="3">
        <v>7.6100000000000001E-2</v>
      </c>
      <c r="K33" s="3">
        <v>2E-3</v>
      </c>
      <c r="L33" s="3">
        <v>3.65</v>
      </c>
      <c r="M33" s="3"/>
      <c r="N33" s="9">
        <f t="shared" si="0"/>
        <v>1043.4985000000001</v>
      </c>
    </row>
    <row r="34" spans="1:14" x14ac:dyDescent="0.3">
      <c r="A34" s="4"/>
      <c r="B34" s="10" t="s">
        <v>100</v>
      </c>
      <c r="C34" s="3" t="s">
        <v>42</v>
      </c>
      <c r="D34" s="8"/>
      <c r="E34" s="9">
        <f>Worksheet_Pipes!Y7</f>
        <v>77.960000000000008</v>
      </c>
      <c r="F34" s="9">
        <f t="shared" si="1"/>
        <v>1.25467356602751E-4</v>
      </c>
      <c r="G34" s="9">
        <f t="shared" si="2"/>
        <v>9.7814351207504684E-3</v>
      </c>
      <c r="J34" s="3">
        <v>5.3999999999999999E-2</v>
      </c>
      <c r="K34" s="3">
        <v>1.5E-3</v>
      </c>
      <c r="L34" s="3">
        <v>1.94</v>
      </c>
      <c r="M34" s="3"/>
      <c r="N34" s="9">
        <f t="shared" si="0"/>
        <v>151.2424</v>
      </c>
    </row>
    <row r="35" spans="1:14" x14ac:dyDescent="0.3">
      <c r="A35" s="4"/>
      <c r="B35" s="10" t="s">
        <v>93</v>
      </c>
      <c r="C35" s="3" t="s">
        <v>42</v>
      </c>
      <c r="D35" s="8"/>
      <c r="E35" s="9">
        <f>Worksheet_Pipes!Y8</f>
        <v>160.53400000000002</v>
      </c>
      <c r="F35" s="9">
        <f t="shared" si="1"/>
        <v>9.7193022720440956E-5</v>
      </c>
      <c r="G35" s="9">
        <f t="shared" si="2"/>
        <v>1.560278470940327E-2</v>
      </c>
      <c r="J35" s="3">
        <v>4.2000000000000003E-2</v>
      </c>
      <c r="K35" s="3">
        <v>1.5E-3</v>
      </c>
      <c r="L35" s="3">
        <v>1.5</v>
      </c>
      <c r="M35" s="3"/>
      <c r="N35" s="9">
        <f t="shared" si="0"/>
        <v>240.80100000000004</v>
      </c>
    </row>
    <row r="36" spans="1:14" x14ac:dyDescent="0.3">
      <c r="A36" s="4"/>
      <c r="B36" s="10" t="s">
        <v>94</v>
      </c>
      <c r="C36" s="3" t="s">
        <v>42</v>
      </c>
      <c r="D36" s="8"/>
      <c r="E36" s="9">
        <f>Worksheet_Pipes!Y9</f>
        <v>21.222999999999999</v>
      </c>
      <c r="F36" s="9">
        <f t="shared" si="1"/>
        <v>8.0699661289093086E-5</v>
      </c>
      <c r="G36" s="9">
        <f t="shared" si="2"/>
        <v>1.7126889115384224E-3</v>
      </c>
      <c r="J36" s="3">
        <v>3.5000000000000003E-2</v>
      </c>
      <c r="K36" s="3">
        <v>1.5E-3</v>
      </c>
      <c r="L36" s="3">
        <v>1.24</v>
      </c>
      <c r="M36" s="3"/>
      <c r="N36" s="9">
        <f t="shared" si="0"/>
        <v>26.316519999999997</v>
      </c>
    </row>
    <row r="37" spans="1:14" x14ac:dyDescent="0.3">
      <c r="A37" s="4"/>
      <c r="B37" s="10" t="s">
        <v>97</v>
      </c>
      <c r="C37" s="3" t="s">
        <v>42</v>
      </c>
      <c r="D37" s="8"/>
      <c r="E37" s="9">
        <f>Worksheet_Pipes!Y10</f>
        <v>42.563000000000002</v>
      </c>
      <c r="F37" s="9">
        <f t="shared" si="1"/>
        <v>6.4206299857745759E-5</v>
      </c>
      <c r="G37" s="9">
        <f t="shared" si="2"/>
        <v>2.7328127408452331E-3</v>
      </c>
      <c r="J37" s="3">
        <v>2.8000000000000001E-2</v>
      </c>
      <c r="K37" s="3">
        <v>1.5E-3</v>
      </c>
      <c r="L37" s="3">
        <v>0.98</v>
      </c>
      <c r="M37" s="3"/>
      <c r="N37" s="9">
        <f t="shared" si="0"/>
        <v>41.711739999999999</v>
      </c>
    </row>
    <row r="38" spans="1:14" x14ac:dyDescent="0.3">
      <c r="A38" s="4"/>
      <c r="B38" s="10" t="s">
        <v>107</v>
      </c>
      <c r="C38" s="3" t="s">
        <v>42</v>
      </c>
      <c r="D38" s="8"/>
      <c r="E38" s="9">
        <f>Worksheet_Pipes!Y11</f>
        <v>7.76</v>
      </c>
      <c r="F38" s="9">
        <f t="shared" si="1"/>
        <v>5.0069132916590682E-5</v>
      </c>
      <c r="G38" s="9">
        <f t="shared" si="2"/>
        <v>3.8853647143274368E-4</v>
      </c>
      <c r="J38" s="3">
        <v>2.1999999999999999E-2</v>
      </c>
      <c r="K38" s="3">
        <v>1.5E-3</v>
      </c>
      <c r="L38" s="3">
        <v>0.76</v>
      </c>
      <c r="M38" s="3"/>
      <c r="N38" s="9">
        <f t="shared" si="0"/>
        <v>5.8975999999999997</v>
      </c>
    </row>
    <row r="39" spans="1:14" x14ac:dyDescent="0.3">
      <c r="A39" s="4"/>
      <c r="B39" s="10" t="s">
        <v>106</v>
      </c>
      <c r="C39" s="3" t="s">
        <v>42</v>
      </c>
      <c r="D39" s="8"/>
      <c r="E39" s="9">
        <f>Worksheet_Pipes!Y12</f>
        <v>0</v>
      </c>
      <c r="F39" s="9">
        <f t="shared" si="1"/>
        <v>3.2798227303479594E-5</v>
      </c>
      <c r="G39" s="9">
        <f t="shared" si="2"/>
        <v>0</v>
      </c>
      <c r="J39" s="3">
        <v>1.7999999999999999E-2</v>
      </c>
      <c r="K39" s="3">
        <v>1.1999999999999999E-3</v>
      </c>
      <c r="L39" s="3">
        <v>0.5</v>
      </c>
      <c r="M39" s="3"/>
      <c r="N39" s="9">
        <f t="shared" si="0"/>
        <v>0</v>
      </c>
    </row>
    <row r="40" spans="1:14" x14ac:dyDescent="0.3">
      <c r="A40" s="4"/>
      <c r="B40" s="10" t="s">
        <v>96</v>
      </c>
      <c r="C40" s="3" t="s">
        <v>42</v>
      </c>
      <c r="D40" s="8"/>
      <c r="E40" s="9">
        <f>Worksheet_Pipes!Y13</f>
        <v>0</v>
      </c>
      <c r="F40" s="39">
        <f t="shared" si="1"/>
        <v>2.7143360527017617E-5</v>
      </c>
      <c r="G40" s="39">
        <f t="shared" si="2"/>
        <v>0</v>
      </c>
      <c r="J40" s="3">
        <v>1.4999999999999999E-2</v>
      </c>
      <c r="K40" s="3">
        <v>1.1999999999999999E-3</v>
      </c>
      <c r="L40" s="3">
        <v>0.41</v>
      </c>
      <c r="M40" s="3"/>
      <c r="N40" s="9">
        <f t="shared" si="0"/>
        <v>0</v>
      </c>
    </row>
    <row r="41" spans="1:14" x14ac:dyDescent="0.3">
      <c r="A41" s="31" t="s">
        <v>148</v>
      </c>
      <c r="B41" s="32" t="s">
        <v>78</v>
      </c>
      <c r="C41" s="33" t="s">
        <v>150</v>
      </c>
      <c r="D41" s="34"/>
      <c r="E41" s="35">
        <f>Worksheet_Pipes!Y3</f>
        <v>29.99</v>
      </c>
      <c r="F41" s="35">
        <f>((J41/2)^2*$G$1)-(((J41-K41)/2)^2*$G$1)</f>
        <v>9.9902646384162005E-3</v>
      </c>
      <c r="G41" s="35">
        <f>F41*E41</f>
        <v>0.29960803650610185</v>
      </c>
      <c r="H41" s="36"/>
      <c r="I41" s="36"/>
      <c r="J41" s="48">
        <f>J30+K41</f>
        <v>0.17900000000000002</v>
      </c>
      <c r="K41" s="33">
        <v>0.04</v>
      </c>
      <c r="L41" s="33"/>
      <c r="M41" s="33">
        <v>80</v>
      </c>
      <c r="N41" s="35">
        <f t="shared" ref="N41:N51" si="3">G41*M41</f>
        <v>23.968642920488147</v>
      </c>
    </row>
    <row r="42" spans="1:14" x14ac:dyDescent="0.3">
      <c r="A42" s="4"/>
      <c r="B42" s="10" t="s">
        <v>90</v>
      </c>
      <c r="C42" s="3" t="s">
        <v>150</v>
      </c>
      <c r="D42" s="8"/>
      <c r="E42" s="9">
        <f>Worksheet_Pipes!Y4</f>
        <v>16.939999999999998</v>
      </c>
      <c r="F42" s="9">
        <f t="shared" ref="F42:F51" si="4">((J42/2)^2*$G$1)-(((J42-K42)/2)^2*$G$1)</f>
        <v>8.0424771931903987E-3</v>
      </c>
      <c r="G42" s="9">
        <f t="shared" ref="G42:G51" si="5">F42*E42</f>
        <v>0.13623956365264533</v>
      </c>
      <c r="J42" s="48">
        <f t="shared" ref="J42:J51" si="6">J31+K42</f>
        <v>0.14799999999999999</v>
      </c>
      <c r="K42" s="3">
        <v>0.04</v>
      </c>
      <c r="L42" s="3"/>
      <c r="M42" s="3">
        <v>80</v>
      </c>
      <c r="N42" s="9">
        <f t="shared" si="3"/>
        <v>10.899165092211627</v>
      </c>
    </row>
    <row r="43" spans="1:14" x14ac:dyDescent="0.3">
      <c r="A43" s="4"/>
      <c r="B43" s="10" t="s">
        <v>99</v>
      </c>
      <c r="C43" s="3" t="s">
        <v>150</v>
      </c>
      <c r="D43" s="8"/>
      <c r="E43" s="9">
        <f>Worksheet_Pipes!Y5</f>
        <v>39.059999999999995</v>
      </c>
      <c r="F43" s="9">
        <f t="shared" si="4"/>
        <v>6.8423887995190235E-3</v>
      </c>
      <c r="G43" s="9">
        <f t="shared" si="5"/>
        <v>0.26726370650921305</v>
      </c>
      <c r="J43" s="48">
        <f t="shared" si="6"/>
        <v>0.12890000000000001</v>
      </c>
      <c r="K43" s="3">
        <v>0.04</v>
      </c>
      <c r="L43" s="3"/>
      <c r="M43" s="3">
        <v>80</v>
      </c>
      <c r="N43" s="9">
        <f t="shared" si="3"/>
        <v>21.381096520737046</v>
      </c>
    </row>
    <row r="44" spans="1:14" x14ac:dyDescent="0.3">
      <c r="A44" s="4"/>
      <c r="B44" s="10" t="s">
        <v>95</v>
      </c>
      <c r="C44" s="3" t="s">
        <v>150</v>
      </c>
      <c r="D44" s="8"/>
      <c r="E44" s="9">
        <f>Worksheet_Pipes!Y6</f>
        <v>285.89000000000004</v>
      </c>
      <c r="F44" s="9">
        <f t="shared" si="4"/>
        <v>6.0381410801999815E-3</v>
      </c>
      <c r="G44" s="9">
        <f>F44*E44</f>
        <v>1.726244153418373</v>
      </c>
      <c r="J44" s="48">
        <f t="shared" si="6"/>
        <v>0.11610000000000001</v>
      </c>
      <c r="K44" s="3">
        <v>0.04</v>
      </c>
      <c r="L44" s="3"/>
      <c r="M44" s="3">
        <v>80</v>
      </c>
      <c r="N44" s="9">
        <f t="shared" si="3"/>
        <v>138.09953227346983</v>
      </c>
    </row>
    <row r="45" spans="1:14" x14ac:dyDescent="0.3">
      <c r="A45" s="4"/>
      <c r="B45" s="10" t="s">
        <v>100</v>
      </c>
      <c r="C45" s="3" t="s">
        <v>150</v>
      </c>
      <c r="D45" s="8"/>
      <c r="E45" s="9">
        <f>Worksheet_Pipes!Y7</f>
        <v>77.960000000000008</v>
      </c>
      <c r="F45" s="9">
        <f t="shared" si="4"/>
        <v>3.2515483964656497E-3</v>
      </c>
      <c r="G45" s="9">
        <f t="shared" si="5"/>
        <v>0.2534907129884621</v>
      </c>
      <c r="J45" s="48">
        <f t="shared" si="6"/>
        <v>8.3999999999999991E-2</v>
      </c>
      <c r="K45" s="3">
        <v>0.03</v>
      </c>
      <c r="L45" s="3"/>
      <c r="M45" s="3">
        <v>80</v>
      </c>
      <c r="N45" s="9">
        <f t="shared" si="3"/>
        <v>20.279257039076967</v>
      </c>
    </row>
    <row r="46" spans="1:14" x14ac:dyDescent="0.3">
      <c r="A46" s="4"/>
      <c r="B46" s="10" t="s">
        <v>93</v>
      </c>
      <c r="C46" s="3" t="s">
        <v>150</v>
      </c>
      <c r="D46" s="8"/>
      <c r="E46" s="9">
        <f>Worksheet_Pipes!Y8</f>
        <v>160.53400000000002</v>
      </c>
      <c r="F46" s="9">
        <f t="shared" si="4"/>
        <v>2.6860617188194506E-3</v>
      </c>
      <c r="G46" s="9">
        <f t="shared" si="5"/>
        <v>0.43120423196896174</v>
      </c>
      <c r="J46" s="48">
        <f t="shared" si="6"/>
        <v>7.2000000000000008E-2</v>
      </c>
      <c r="K46" s="3">
        <v>0.03</v>
      </c>
      <c r="L46" s="3"/>
      <c r="M46" s="3">
        <v>80</v>
      </c>
      <c r="N46" s="9">
        <f t="shared" si="3"/>
        <v>34.496338557516935</v>
      </c>
    </row>
    <row r="47" spans="1:14" x14ac:dyDescent="0.3">
      <c r="A47" s="4"/>
      <c r="B47" s="10" t="s">
        <v>94</v>
      </c>
      <c r="C47" s="3" t="s">
        <v>150</v>
      </c>
      <c r="D47" s="8"/>
      <c r="E47" s="9">
        <f>Worksheet_Pipes!Y9</f>
        <v>21.222999999999999</v>
      </c>
      <c r="F47" s="9">
        <f t="shared" si="4"/>
        <v>2.3561944901925006E-3</v>
      </c>
      <c r="G47" s="9">
        <f t="shared" si="5"/>
        <v>5.0005515665355438E-2</v>
      </c>
      <c r="J47" s="48">
        <f t="shared" si="6"/>
        <v>6.5000000000000002E-2</v>
      </c>
      <c r="K47" s="3">
        <v>0.03</v>
      </c>
      <c r="L47" s="3"/>
      <c r="M47" s="3">
        <v>80</v>
      </c>
      <c r="N47" s="9">
        <f t="shared" si="3"/>
        <v>4.000441253228435</v>
      </c>
    </row>
    <row r="48" spans="1:14" x14ac:dyDescent="0.3">
      <c r="A48" s="4"/>
      <c r="B48" s="10" t="s">
        <v>97</v>
      </c>
      <c r="C48" s="3" t="s">
        <v>150</v>
      </c>
      <c r="D48" s="8"/>
      <c r="E48" s="9">
        <f>Worksheet_Pipes!Y10</f>
        <v>42.563000000000002</v>
      </c>
      <c r="F48" s="9">
        <f t="shared" si="4"/>
        <v>1.590431280879938E-3</v>
      </c>
      <c r="G48" s="9">
        <f t="shared" si="5"/>
        <v>6.7693526608092802E-2</v>
      </c>
      <c r="J48" s="48">
        <f t="shared" si="6"/>
        <v>5.3000000000000005E-2</v>
      </c>
      <c r="K48" s="3">
        <v>2.5000000000000001E-2</v>
      </c>
      <c r="L48" s="3"/>
      <c r="M48" s="3">
        <v>80</v>
      </c>
      <c r="N48" s="9">
        <f t="shared" si="3"/>
        <v>5.4154821286474242</v>
      </c>
    </row>
    <row r="49" spans="1:14" x14ac:dyDescent="0.3">
      <c r="A49" s="4"/>
      <c r="B49" s="10" t="s">
        <v>107</v>
      </c>
      <c r="C49" s="3" t="s">
        <v>150</v>
      </c>
      <c r="D49" s="8"/>
      <c r="E49" s="9">
        <f>Worksheet_Pipes!Y11</f>
        <v>7.76</v>
      </c>
      <c r="F49" s="9">
        <f t="shared" si="4"/>
        <v>1.3548118318606876E-3</v>
      </c>
      <c r="G49" s="9">
        <f t="shared" si="5"/>
        <v>1.0513339815238935E-2</v>
      </c>
      <c r="J49" s="48">
        <f t="shared" si="6"/>
        <v>4.7E-2</v>
      </c>
      <c r="K49" s="3">
        <v>2.5000000000000001E-2</v>
      </c>
      <c r="L49" s="3"/>
      <c r="M49" s="3">
        <v>80</v>
      </c>
      <c r="N49" s="9">
        <f t="shared" si="3"/>
        <v>0.84106718521911483</v>
      </c>
    </row>
    <row r="50" spans="1:14" x14ac:dyDescent="0.3">
      <c r="A50" s="4"/>
      <c r="B50" s="10" t="s">
        <v>106</v>
      </c>
      <c r="C50" s="3" t="s">
        <v>150</v>
      </c>
      <c r="D50" s="8"/>
      <c r="E50" s="9">
        <f>Worksheet_Pipes!Y12</f>
        <v>0</v>
      </c>
      <c r="F50" s="9">
        <f t="shared" si="4"/>
        <v>1.1977321991811876E-3</v>
      </c>
      <c r="G50" s="9">
        <f t="shared" si="5"/>
        <v>0</v>
      </c>
      <c r="J50" s="48">
        <f t="shared" si="6"/>
        <v>4.2999999999999997E-2</v>
      </c>
      <c r="K50" s="3">
        <v>2.5000000000000001E-2</v>
      </c>
      <c r="L50" s="3"/>
      <c r="M50" s="3">
        <v>80</v>
      </c>
      <c r="N50" s="9">
        <f t="shared" si="3"/>
        <v>0</v>
      </c>
    </row>
    <row r="51" spans="1:14" x14ac:dyDescent="0.3">
      <c r="A51" s="4"/>
      <c r="B51" s="10" t="s">
        <v>96</v>
      </c>
      <c r="C51" s="3" t="s">
        <v>150</v>
      </c>
      <c r="D51" s="8"/>
      <c r="E51" s="9">
        <f>Worksheet_Pipes!Y13</f>
        <v>0</v>
      </c>
      <c r="F51" s="9">
        <f t="shared" si="4"/>
        <v>1.0799224746715626E-3</v>
      </c>
      <c r="G51" s="9">
        <f t="shared" si="5"/>
        <v>0</v>
      </c>
      <c r="J51" s="48">
        <f t="shared" si="6"/>
        <v>0.04</v>
      </c>
      <c r="K51" s="3">
        <v>2.5000000000000001E-2</v>
      </c>
      <c r="L51" s="3"/>
      <c r="M51" s="3">
        <v>80</v>
      </c>
      <c r="N51" s="39">
        <f t="shared" si="3"/>
        <v>0</v>
      </c>
    </row>
    <row r="52" spans="1:14" x14ac:dyDescent="0.3">
      <c r="C52" s="15"/>
    </row>
    <row r="53" spans="1:14" x14ac:dyDescent="0.3">
      <c r="C53" s="15"/>
    </row>
    <row r="54" spans="1:14" x14ac:dyDescent="0.3">
      <c r="A54" s="16" t="s">
        <v>253</v>
      </c>
      <c r="B54" s="12"/>
      <c r="C54" s="12"/>
      <c r="D54" s="17"/>
      <c r="E54" s="18"/>
      <c r="F54" s="17"/>
      <c r="G54" s="12"/>
      <c r="H54" s="12"/>
      <c r="I54" s="12"/>
      <c r="J54" s="12"/>
      <c r="K54" s="12"/>
      <c r="L54" s="12"/>
      <c r="M54" s="12"/>
      <c r="N54" s="12"/>
    </row>
    <row r="55" spans="1:14" x14ac:dyDescent="0.3">
      <c r="B55" s="4" t="s">
        <v>10</v>
      </c>
      <c r="C55" s="41" t="s">
        <v>240</v>
      </c>
      <c r="D55" t="s">
        <v>55</v>
      </c>
    </row>
    <row r="56" spans="1:14" x14ac:dyDescent="0.3">
      <c r="A56" t="s">
        <v>33</v>
      </c>
      <c r="B56" t="s">
        <v>254</v>
      </c>
      <c r="C56" s="15">
        <f>P20*'GWP2013'!C17/1000</f>
        <v>1797.4384999999997</v>
      </c>
      <c r="D56" s="8">
        <f>P20</f>
        <v>5465</v>
      </c>
    </row>
    <row r="57" spans="1:14" x14ac:dyDescent="0.3">
      <c r="B57" t="s">
        <v>32</v>
      </c>
      <c r="C57" s="15">
        <f>P19*'GWP2013'!C9</f>
        <v>4313.47</v>
      </c>
      <c r="D57">
        <f>E19</f>
        <v>245</v>
      </c>
    </row>
    <row r="58" spans="1:14" x14ac:dyDescent="0.3">
      <c r="B58" t="s">
        <v>285</v>
      </c>
      <c r="C58" s="15">
        <f>SUM(P21:P22)*'GWP2013'!C4</f>
        <v>5380.7033812</v>
      </c>
      <c r="D58" s="8">
        <f>SUM(P21:P22)</f>
        <v>1052.7692</v>
      </c>
    </row>
    <row r="59" spans="1:14" x14ac:dyDescent="0.3">
      <c r="A59" t="s">
        <v>280</v>
      </c>
      <c r="B59" t="s">
        <v>42</v>
      </c>
      <c r="C59">
        <f>SUM(N30:N40)*'GWP2013'!C4</f>
        <v>10667.291581759999</v>
      </c>
      <c r="D59" s="8">
        <f>SUM(N30:N40)</f>
        <v>2087.1241599999998</v>
      </c>
    </row>
    <row r="60" spans="1:14" x14ac:dyDescent="0.3">
      <c r="A60" t="s">
        <v>286</v>
      </c>
      <c r="B60" t="s">
        <v>251</v>
      </c>
      <c r="C60">
        <f>SUM(N41:N50)*'GWP2013'!C15</f>
        <v>724.45119715687338</v>
      </c>
      <c r="D60" s="8">
        <f>SUM(N41:N51)</f>
        <v>259.38102297059555</v>
      </c>
    </row>
    <row r="61" spans="1:14" x14ac:dyDescent="0.3">
      <c r="A61" t="s">
        <v>56</v>
      </c>
      <c r="B61" t="s">
        <v>12</v>
      </c>
      <c r="C61" s="15">
        <f>P26*'GWP2013'!C6</f>
        <v>1442.0783999999999</v>
      </c>
      <c r="D61" s="8">
        <f>SUM(P26)</f>
        <v>668</v>
      </c>
    </row>
    <row r="62" spans="1:14" x14ac:dyDescent="0.3">
      <c r="A62" t="s">
        <v>257</v>
      </c>
      <c r="B62" t="s">
        <v>272</v>
      </c>
      <c r="C62" s="15">
        <f>SUM(P27:P28)*'GWP2013'!C18</f>
        <v>3212.2943999999998</v>
      </c>
      <c r="D62" s="8">
        <f>SUM(P27:P28)</f>
        <v>1488</v>
      </c>
    </row>
    <row r="64" spans="1:14" x14ac:dyDescent="0.3">
      <c r="A64" t="s">
        <v>115</v>
      </c>
      <c r="C64" s="15">
        <f>SUM(C56:C62)</f>
        <v>27537.727460116868</v>
      </c>
      <c r="D64" s="15">
        <f>SUM(D56:D62)</f>
        <v>11265.274382970596</v>
      </c>
    </row>
    <row r="72" spans="3:11" x14ac:dyDescent="0.3">
      <c r="C72" s="15"/>
    </row>
  </sheetData>
  <pageMargins left="0.7" right="0.7" top="0.78740157499999996" bottom="0.78740157499999996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5"/>
  <sheetViews>
    <sheetView topLeftCell="A43" zoomScaleNormal="100" workbookViewId="0">
      <selection activeCell="A75" sqref="A75:XFD75"/>
    </sheetView>
  </sheetViews>
  <sheetFormatPr defaultColWidth="11" defaultRowHeight="15.6" x14ac:dyDescent="0.3"/>
  <cols>
    <col min="2" max="2" width="24.5" bestFit="1" customWidth="1"/>
    <col min="8" max="8" width="11" customWidth="1"/>
    <col min="9" max="9" width="11" style="8"/>
    <col min="11" max="11" width="11" style="8"/>
  </cols>
  <sheetData>
    <row r="1" spans="1:13" x14ac:dyDescent="0.3">
      <c r="A1" s="2" t="s">
        <v>2</v>
      </c>
      <c r="B1" s="3" t="s">
        <v>34</v>
      </c>
      <c r="H1" s="8" t="s">
        <v>19</v>
      </c>
      <c r="I1">
        <v>3.1415926535900001</v>
      </c>
      <c r="M1" t="s">
        <v>35</v>
      </c>
    </row>
    <row r="2" spans="1:13" x14ac:dyDescent="0.3">
      <c r="A2" s="2" t="s">
        <v>7</v>
      </c>
      <c r="B2" s="3" t="s">
        <v>23</v>
      </c>
    </row>
    <row r="3" spans="1:13" x14ac:dyDescent="0.3">
      <c r="A3" s="2" t="s">
        <v>14</v>
      </c>
      <c r="B3" s="3" t="s">
        <v>0</v>
      </c>
    </row>
    <row r="4" spans="1:13" x14ac:dyDescent="0.3">
      <c r="A4" s="2" t="s">
        <v>20</v>
      </c>
      <c r="B4" s="3">
        <v>297.10000000000002</v>
      </c>
    </row>
    <row r="7" spans="1:13" x14ac:dyDescent="0.3">
      <c r="A7" s="4" t="s">
        <v>9</v>
      </c>
    </row>
    <row r="8" spans="1:13" s="4" customFormat="1" x14ac:dyDescent="0.3">
      <c r="A8" s="13"/>
      <c r="B8" s="13" t="s">
        <v>11</v>
      </c>
      <c r="C8" s="13" t="s">
        <v>10</v>
      </c>
      <c r="D8" s="13" t="s">
        <v>47</v>
      </c>
      <c r="E8" s="13" t="s">
        <v>207</v>
      </c>
      <c r="F8" s="13" t="s">
        <v>48</v>
      </c>
      <c r="G8" s="13" t="s">
        <v>50</v>
      </c>
      <c r="H8" s="13" t="s">
        <v>82</v>
      </c>
      <c r="I8" s="20" t="s">
        <v>259</v>
      </c>
      <c r="J8" s="20" t="s">
        <v>250</v>
      </c>
      <c r="K8" s="20" t="s">
        <v>55</v>
      </c>
    </row>
    <row r="9" spans="1:13" x14ac:dyDescent="0.3">
      <c r="A9" s="5" t="s">
        <v>38</v>
      </c>
      <c r="B9" t="s">
        <v>274</v>
      </c>
      <c r="C9" t="s">
        <v>12</v>
      </c>
      <c r="E9">
        <v>2.83</v>
      </c>
      <c r="F9">
        <v>9.7929999999999993</v>
      </c>
      <c r="K9">
        <v>805</v>
      </c>
    </row>
    <row r="10" spans="1:13" x14ac:dyDescent="0.3">
      <c r="A10" s="5"/>
      <c r="K10">
        <v>780</v>
      </c>
    </row>
    <row r="11" spans="1:13" x14ac:dyDescent="0.3">
      <c r="A11" s="5"/>
      <c r="K11">
        <v>691</v>
      </c>
    </row>
    <row r="12" spans="1:13" x14ac:dyDescent="0.3">
      <c r="K12">
        <v>721</v>
      </c>
    </row>
    <row r="13" spans="1:13" x14ac:dyDescent="0.3">
      <c r="K13">
        <v>780</v>
      </c>
    </row>
    <row r="14" spans="1:13" x14ac:dyDescent="0.3">
      <c r="K14">
        <v>753</v>
      </c>
    </row>
    <row r="15" spans="1:13" x14ac:dyDescent="0.3">
      <c r="A15" s="5"/>
      <c r="K15">
        <v>707</v>
      </c>
    </row>
    <row r="16" spans="1:13" x14ac:dyDescent="0.3">
      <c r="B16" s="36" t="s">
        <v>278</v>
      </c>
      <c r="C16" s="36"/>
      <c r="D16" s="36"/>
      <c r="E16" s="36"/>
      <c r="F16" s="36"/>
      <c r="G16" s="36"/>
      <c r="H16" s="36"/>
      <c r="I16" s="34"/>
      <c r="J16" s="36"/>
      <c r="K16" s="36">
        <v>944</v>
      </c>
    </row>
    <row r="17" spans="1:11" x14ac:dyDescent="0.3">
      <c r="K17">
        <v>998</v>
      </c>
    </row>
    <row r="18" spans="1:11" x14ac:dyDescent="0.3">
      <c r="K18">
        <v>1193</v>
      </c>
    </row>
    <row r="19" spans="1:11" x14ac:dyDescent="0.3">
      <c r="A19" s="5"/>
      <c r="K19">
        <v>687</v>
      </c>
    </row>
    <row r="20" spans="1:11" x14ac:dyDescent="0.3">
      <c r="A20" s="5"/>
      <c r="K20">
        <v>849</v>
      </c>
    </row>
    <row r="21" spans="1:11" x14ac:dyDescent="0.3">
      <c r="A21" s="5"/>
      <c r="K21">
        <v>802</v>
      </c>
    </row>
    <row r="22" spans="1:11" x14ac:dyDescent="0.3">
      <c r="K22">
        <v>998</v>
      </c>
    </row>
    <row r="23" spans="1:11" x14ac:dyDescent="0.3">
      <c r="B23" s="43"/>
      <c r="C23" s="43"/>
      <c r="D23" s="43"/>
      <c r="E23" s="43"/>
      <c r="F23" s="43"/>
      <c r="G23" s="43"/>
      <c r="H23" s="43"/>
      <c r="I23" s="45"/>
      <c r="J23" s="43"/>
      <c r="K23" s="43">
        <v>1014</v>
      </c>
    </row>
    <row r="24" spans="1:11" x14ac:dyDescent="0.3">
      <c r="B24" t="s">
        <v>277</v>
      </c>
      <c r="K24">
        <v>395</v>
      </c>
    </row>
    <row r="25" spans="1:11" x14ac:dyDescent="0.3">
      <c r="A25" s="5"/>
      <c r="K25">
        <v>330</v>
      </c>
    </row>
    <row r="26" spans="1:11" x14ac:dyDescent="0.3">
      <c r="K26">
        <v>313</v>
      </c>
    </row>
    <row r="27" spans="1:11" x14ac:dyDescent="0.3">
      <c r="B27" s="6"/>
      <c r="C27" s="6"/>
      <c r="K27">
        <v>417</v>
      </c>
    </row>
    <row r="28" spans="1:11" x14ac:dyDescent="0.3">
      <c r="B28" s="6"/>
      <c r="C28" s="6"/>
      <c r="K28">
        <v>330</v>
      </c>
    </row>
    <row r="29" spans="1:11" x14ac:dyDescent="0.3">
      <c r="B29" s="47"/>
      <c r="C29" s="47"/>
      <c r="D29" s="43"/>
      <c r="E29" s="43"/>
      <c r="F29" s="43"/>
      <c r="G29" s="43"/>
      <c r="H29" s="43"/>
      <c r="I29" s="45"/>
      <c r="J29" s="43"/>
      <c r="K29" s="43">
        <v>512</v>
      </c>
    </row>
    <row r="30" spans="1:11" x14ac:dyDescent="0.3">
      <c r="B30" t="s">
        <v>276</v>
      </c>
      <c r="C30" s="6"/>
      <c r="K30">
        <v>1160</v>
      </c>
    </row>
    <row r="31" spans="1:11" x14ac:dyDescent="0.3">
      <c r="B31" s="6"/>
      <c r="C31" s="6"/>
      <c r="K31">
        <v>998</v>
      </c>
    </row>
    <row r="32" spans="1:11" x14ac:dyDescent="0.3">
      <c r="B32" s="6"/>
      <c r="C32" s="6"/>
      <c r="K32">
        <v>944</v>
      </c>
    </row>
    <row r="33" spans="1:11" x14ac:dyDescent="0.3">
      <c r="B33" s="6"/>
      <c r="C33" s="6"/>
      <c r="K33">
        <v>1014</v>
      </c>
    </row>
    <row r="34" spans="1:11" x14ac:dyDescent="0.3">
      <c r="B34" s="6"/>
      <c r="C34" s="6"/>
      <c r="K34">
        <v>998</v>
      </c>
    </row>
    <row r="35" spans="1:11" x14ac:dyDescent="0.3">
      <c r="B35" s="6"/>
      <c r="C35" s="6"/>
      <c r="K35">
        <v>770</v>
      </c>
    </row>
    <row r="36" spans="1:11" x14ac:dyDescent="0.3">
      <c r="B36" s="6"/>
      <c r="C36" s="6"/>
      <c r="K36">
        <v>808</v>
      </c>
    </row>
    <row r="37" spans="1:11" x14ac:dyDescent="0.3">
      <c r="B37" s="47"/>
      <c r="C37" s="47"/>
      <c r="D37" s="43"/>
      <c r="E37" s="43"/>
      <c r="F37" s="43"/>
      <c r="G37" s="43"/>
      <c r="H37" s="43"/>
      <c r="I37" s="45"/>
      <c r="J37" s="43"/>
      <c r="K37" s="43">
        <v>687</v>
      </c>
    </row>
    <row r="38" spans="1:11" x14ac:dyDescent="0.3">
      <c r="B38" t="s">
        <v>275</v>
      </c>
      <c r="C38" s="6"/>
      <c r="K38">
        <v>205</v>
      </c>
    </row>
    <row r="39" spans="1:11" x14ac:dyDescent="0.3">
      <c r="K39">
        <v>275</v>
      </c>
    </row>
    <row r="40" spans="1:11" x14ac:dyDescent="0.3">
      <c r="K40">
        <v>290</v>
      </c>
    </row>
    <row r="41" spans="1:11" x14ac:dyDescent="0.3">
      <c r="K41">
        <v>394</v>
      </c>
    </row>
    <row r="42" spans="1:11" x14ac:dyDescent="0.3">
      <c r="K42">
        <v>275</v>
      </c>
    </row>
    <row r="43" spans="1:11" x14ac:dyDescent="0.3">
      <c r="K43">
        <v>305</v>
      </c>
    </row>
    <row r="44" spans="1:11" x14ac:dyDescent="0.3">
      <c r="B44" s="36" t="s">
        <v>115</v>
      </c>
      <c r="C44" s="36"/>
      <c r="D44" s="36"/>
      <c r="E44" s="36"/>
      <c r="F44" s="36"/>
      <c r="G44" s="36"/>
      <c r="H44" s="36"/>
      <c r="I44" s="34"/>
      <c r="J44" s="36"/>
      <c r="K44" s="34">
        <f>SUM(K9:K43)</f>
        <v>24142</v>
      </c>
    </row>
    <row r="46" spans="1:11" x14ac:dyDescent="0.3">
      <c r="D46">
        <v>0.35</v>
      </c>
      <c r="E46">
        <v>0.37</v>
      </c>
      <c r="F46">
        <v>0.38</v>
      </c>
      <c r="G46">
        <v>2</v>
      </c>
    </row>
    <row r="47" spans="1:11" x14ac:dyDescent="0.3">
      <c r="A47" t="s">
        <v>239</v>
      </c>
      <c r="C47" t="s">
        <v>12</v>
      </c>
      <c r="D47">
        <f>Worksheet_Ducts!G27</f>
        <v>1.66</v>
      </c>
      <c r="E47">
        <f>Worksheet_Ducts!H27</f>
        <v>1.33</v>
      </c>
      <c r="F47">
        <f>Worksheet_Ducts!I27</f>
        <v>3</v>
      </c>
      <c r="H47">
        <v>1.5E-3</v>
      </c>
      <c r="I47" s="8">
        <f>D47*E47*F47-((D47-H47*2)*(F47-H47*2)*E47)</f>
        <v>1.8581430000000232E-2</v>
      </c>
      <c r="J47">
        <v>8000</v>
      </c>
      <c r="K47" s="8">
        <f>I47*J47</f>
        <v>148.65144000000186</v>
      </c>
    </row>
    <row r="48" spans="1:11" x14ac:dyDescent="0.3">
      <c r="C48" t="s">
        <v>12</v>
      </c>
      <c r="D48">
        <f>Worksheet_Ducts!G28</f>
        <v>1.8</v>
      </c>
      <c r="E48">
        <f>Worksheet_Ducts!H28</f>
        <v>1.2</v>
      </c>
      <c r="F48">
        <f>Worksheet_Ducts!I28</f>
        <v>13.399999999999999</v>
      </c>
      <c r="H48">
        <v>1.5E-3</v>
      </c>
      <c r="I48" s="8">
        <f t="shared" ref="I48:I88" si="0">D48*E48*F48-((D48-H48*2)*(F48-H48*2)*E48)</f>
        <v>5.4709200000001346E-2</v>
      </c>
      <c r="J48">
        <v>8000</v>
      </c>
      <c r="K48" s="8">
        <f t="shared" ref="K48:K91" si="1">I48*J48</f>
        <v>437.67360000001077</v>
      </c>
    </row>
    <row r="49" spans="1:11" x14ac:dyDescent="0.3">
      <c r="C49" t="s">
        <v>12</v>
      </c>
      <c r="D49">
        <f>Worksheet_Ducts!G29</f>
        <v>1</v>
      </c>
      <c r="E49">
        <f>Worksheet_Ducts!H29</f>
        <v>0.5</v>
      </c>
      <c r="F49">
        <f>Worksheet_Ducts!I29</f>
        <v>57.1</v>
      </c>
      <c r="H49">
        <v>1.2999999999999999E-3</v>
      </c>
      <c r="I49" s="8">
        <f t="shared" si="0"/>
        <v>7.5526620000001543E-2</v>
      </c>
      <c r="J49">
        <v>8000</v>
      </c>
      <c r="K49" s="8">
        <f t="shared" si="1"/>
        <v>604.21296000001234</v>
      </c>
    </row>
    <row r="50" spans="1:11" x14ac:dyDescent="0.3">
      <c r="C50" t="s">
        <v>12</v>
      </c>
      <c r="D50">
        <f>Worksheet_Ducts!G30</f>
        <v>0.7</v>
      </c>
      <c r="E50">
        <f>Worksheet_Ducts!H30</f>
        <v>1.56</v>
      </c>
      <c r="F50">
        <f>Worksheet_Ducts!I30</f>
        <v>54.879999999999995</v>
      </c>
      <c r="H50">
        <v>1.1999999999999999E-3</v>
      </c>
      <c r="I50" s="8">
        <f t="shared" si="0"/>
        <v>0.20808253439999191</v>
      </c>
      <c r="J50">
        <v>8000</v>
      </c>
      <c r="K50" s="8">
        <f t="shared" si="1"/>
        <v>1664.6602751999353</v>
      </c>
    </row>
    <row r="51" spans="1:11" x14ac:dyDescent="0.3">
      <c r="C51" t="s">
        <v>12</v>
      </c>
      <c r="D51">
        <f>Worksheet_Ducts!G31</f>
        <v>0.5</v>
      </c>
      <c r="E51">
        <f>Worksheet_Ducts!H31</f>
        <v>0.5</v>
      </c>
      <c r="F51">
        <f>Worksheet_Ducts!I31</f>
        <v>39.86</v>
      </c>
      <c r="H51">
        <v>1.1000000000000001E-3</v>
      </c>
      <c r="I51" s="8">
        <f t="shared" si="0"/>
        <v>4.4393579999999488E-2</v>
      </c>
      <c r="J51">
        <v>8000</v>
      </c>
      <c r="K51" s="8">
        <f t="shared" si="1"/>
        <v>355.14863999999591</v>
      </c>
    </row>
    <row r="52" spans="1:11" x14ac:dyDescent="0.3">
      <c r="C52" t="s">
        <v>12</v>
      </c>
      <c r="D52">
        <f>Worksheet_Ducts!G32</f>
        <v>0.5</v>
      </c>
      <c r="E52">
        <f>Worksheet_Ducts!H32</f>
        <v>0.2</v>
      </c>
      <c r="F52">
        <f>Worksheet_Ducts!I32</f>
        <v>165.64000000000001</v>
      </c>
      <c r="H52">
        <v>1.1000000000000001E-3</v>
      </c>
      <c r="I52" s="8">
        <f t="shared" si="0"/>
        <v>7.3100631999999166E-2</v>
      </c>
      <c r="J52">
        <v>8000</v>
      </c>
      <c r="K52" s="8">
        <f t="shared" si="1"/>
        <v>584.80505599999333</v>
      </c>
    </row>
    <row r="54" spans="1:11" x14ac:dyDescent="0.3">
      <c r="A54" t="s">
        <v>186</v>
      </c>
      <c r="C54" t="s">
        <v>12</v>
      </c>
      <c r="D54">
        <f>Worksheet_Ducts!AO48</f>
        <v>0.55000000000000004</v>
      </c>
      <c r="E54">
        <f>Worksheet_Ducts!AP48</f>
        <v>0.35</v>
      </c>
      <c r="F54" s="15">
        <f>Worksheet_Ducts!AQ48</f>
        <v>13.524999999999999</v>
      </c>
      <c r="H54">
        <v>1.1000000000000001E-3</v>
      </c>
      <c r="I54" s="8">
        <f t="shared" si="0"/>
        <v>1.0836055999999594E-2</v>
      </c>
      <c r="J54">
        <v>8000</v>
      </c>
      <c r="K54" s="8">
        <f t="shared" si="1"/>
        <v>86.688447999996754</v>
      </c>
    </row>
    <row r="55" spans="1:11" x14ac:dyDescent="0.3">
      <c r="C55" t="s">
        <v>12</v>
      </c>
      <c r="D55">
        <f>Worksheet_Ducts!AO49</f>
        <v>0.55000000000000004</v>
      </c>
      <c r="E55">
        <f>Worksheet_Ducts!AP49</f>
        <v>0.3</v>
      </c>
      <c r="F55" s="15">
        <f>Worksheet_Ducts!AQ49</f>
        <v>8.6019000000000005</v>
      </c>
      <c r="H55">
        <v>1.1000000000000001E-3</v>
      </c>
      <c r="I55" s="8">
        <f t="shared" si="0"/>
        <v>6.0388019999999543E-3</v>
      </c>
      <c r="J55">
        <v>8000</v>
      </c>
      <c r="K55" s="8">
        <f t="shared" si="1"/>
        <v>48.310415999999634</v>
      </c>
    </row>
    <row r="56" spans="1:11" x14ac:dyDescent="0.3">
      <c r="C56" t="s">
        <v>12</v>
      </c>
      <c r="D56">
        <f>Worksheet_Ducts!AO50</f>
        <v>0.55000000000000004</v>
      </c>
      <c r="E56">
        <f>Worksheet_Ducts!AP50</f>
        <v>0.15</v>
      </c>
      <c r="F56" s="15">
        <f>Worksheet_Ducts!AQ50</f>
        <v>3.4082999999999997</v>
      </c>
      <c r="H56">
        <v>1.1000000000000001E-3</v>
      </c>
      <c r="I56" s="8">
        <f t="shared" si="0"/>
        <v>1.3055129999999804E-3</v>
      </c>
      <c r="J56">
        <v>8000</v>
      </c>
      <c r="K56" s="8">
        <f t="shared" si="1"/>
        <v>10.444103999999843</v>
      </c>
    </row>
    <row r="57" spans="1:11" x14ac:dyDescent="0.3">
      <c r="C57" t="s">
        <v>12</v>
      </c>
      <c r="D57">
        <f>Worksheet_Ducts!AO51</f>
        <v>0.5</v>
      </c>
      <c r="E57">
        <f>Worksheet_Ducts!AP51</f>
        <v>0.3</v>
      </c>
      <c r="F57" s="15">
        <f>Worksheet_Ducts!AQ51</f>
        <v>43.063600000000001</v>
      </c>
      <c r="H57">
        <v>1.1000000000000001E-3</v>
      </c>
      <c r="I57" s="8">
        <f t="shared" si="0"/>
        <v>2.8750523999999444E-2</v>
      </c>
      <c r="J57">
        <v>8000</v>
      </c>
      <c r="K57" s="8">
        <f t="shared" si="1"/>
        <v>230.00419199999556</v>
      </c>
    </row>
    <row r="58" spans="1:11" x14ac:dyDescent="0.3">
      <c r="C58" t="s">
        <v>12</v>
      </c>
      <c r="D58">
        <f>Worksheet_Ducts!AO52</f>
        <v>0.5</v>
      </c>
      <c r="E58">
        <f>Worksheet_Ducts!AP52</f>
        <v>0.25</v>
      </c>
      <c r="F58" s="15">
        <f>Worksheet_Ducts!AQ52</f>
        <v>71.466099999999997</v>
      </c>
      <c r="H58">
        <v>1.1000000000000001E-3</v>
      </c>
      <c r="I58" s="8">
        <f t="shared" si="0"/>
        <v>3.95801450000004E-2</v>
      </c>
      <c r="J58">
        <v>8000</v>
      </c>
      <c r="K58" s="8">
        <f t="shared" si="1"/>
        <v>316.6411600000032</v>
      </c>
    </row>
    <row r="59" spans="1:11" x14ac:dyDescent="0.3">
      <c r="C59" t="s">
        <v>12</v>
      </c>
      <c r="D59">
        <f>Worksheet_Ducts!AO53</f>
        <v>0.5</v>
      </c>
      <c r="E59">
        <f>Worksheet_Ducts!AP53</f>
        <v>0.15</v>
      </c>
      <c r="F59" s="15">
        <f>Worksheet_Ducts!AQ53</f>
        <v>46.796499999999988</v>
      </c>
      <c r="H59">
        <v>1.1000000000000001E-3</v>
      </c>
      <c r="I59" s="8">
        <f t="shared" si="0"/>
        <v>1.5607119000000225E-2</v>
      </c>
      <c r="J59">
        <v>8000</v>
      </c>
      <c r="K59" s="8">
        <f t="shared" si="1"/>
        <v>124.8569520000018</v>
      </c>
    </row>
    <row r="60" spans="1:11" x14ac:dyDescent="0.3">
      <c r="C60" t="s">
        <v>12</v>
      </c>
      <c r="D60">
        <f>Worksheet_Ducts!AO54</f>
        <v>0.4</v>
      </c>
      <c r="E60">
        <f>Worksheet_Ducts!AP54</f>
        <v>0.3</v>
      </c>
      <c r="F60" s="15">
        <f>Worksheet_Ducts!AQ54</f>
        <v>77.579399999999993</v>
      </c>
      <c r="H60">
        <v>1.1000000000000001E-3</v>
      </c>
      <c r="I60" s="8">
        <f t="shared" si="0"/>
        <v>5.1464951999998121E-2</v>
      </c>
      <c r="J60">
        <v>8000</v>
      </c>
      <c r="K60" s="8">
        <f t="shared" si="1"/>
        <v>411.71961599998497</v>
      </c>
    </row>
    <row r="61" spans="1:11" x14ac:dyDescent="0.3">
      <c r="C61" t="s">
        <v>12</v>
      </c>
      <c r="D61">
        <f>Worksheet_Ducts!AO55</f>
        <v>0.4</v>
      </c>
      <c r="E61">
        <f>Worksheet_Ducts!AP55</f>
        <v>0.15</v>
      </c>
      <c r="F61" s="15">
        <f>Worksheet_Ducts!AQ55</f>
        <v>121.56270000000001</v>
      </c>
      <c r="H61">
        <v>1E-3</v>
      </c>
      <c r="I61" s="8">
        <f t="shared" si="0"/>
        <v>3.6588209999999677E-2</v>
      </c>
      <c r="J61">
        <v>8000</v>
      </c>
      <c r="K61" s="8">
        <f t="shared" si="1"/>
        <v>292.70567999999741</v>
      </c>
    </row>
    <row r="62" spans="1:11" x14ac:dyDescent="0.3">
      <c r="C62" t="s">
        <v>12</v>
      </c>
      <c r="D62">
        <f>Worksheet_Ducts!AO56</f>
        <v>0.35</v>
      </c>
      <c r="E62">
        <f>Worksheet_Ducts!AP56</f>
        <v>0.15</v>
      </c>
      <c r="F62" s="15">
        <f>Worksheet_Ducts!AQ56</f>
        <v>58.698499999999996</v>
      </c>
      <c r="H62">
        <v>1E-3</v>
      </c>
      <c r="I62" s="8">
        <f t="shared" si="0"/>
        <v>1.7713950000000533E-2</v>
      </c>
      <c r="J62">
        <v>8000</v>
      </c>
      <c r="K62" s="8">
        <f t="shared" si="1"/>
        <v>141.71160000000427</v>
      </c>
    </row>
    <row r="63" spans="1:11" x14ac:dyDescent="0.3">
      <c r="C63" t="s">
        <v>12</v>
      </c>
      <c r="D63">
        <f>Worksheet_Ducts!AO57</f>
        <v>0.3</v>
      </c>
      <c r="E63">
        <f>Worksheet_Ducts!AP57</f>
        <v>0.3</v>
      </c>
      <c r="F63" s="15">
        <f>Worksheet_Ducts!AQ57</f>
        <v>14.931599999999998</v>
      </c>
      <c r="H63">
        <v>1E-3</v>
      </c>
      <c r="I63" s="8">
        <f t="shared" si="0"/>
        <v>9.1377600000002168E-3</v>
      </c>
      <c r="J63">
        <v>8000</v>
      </c>
      <c r="K63" s="8">
        <f t="shared" si="1"/>
        <v>73.102080000001735</v>
      </c>
    </row>
    <row r="64" spans="1:11" x14ac:dyDescent="0.3">
      <c r="C64" t="s">
        <v>12</v>
      </c>
      <c r="D64">
        <f>Worksheet_Ducts!AO58</f>
        <v>0.3</v>
      </c>
      <c r="E64">
        <f>Worksheet_Ducts!AP58</f>
        <v>0.25</v>
      </c>
      <c r="F64" s="15">
        <f>Worksheet_Ducts!AQ58</f>
        <v>45.444000000000003</v>
      </c>
      <c r="H64">
        <v>1E-3</v>
      </c>
      <c r="I64" s="8">
        <f t="shared" si="0"/>
        <v>2.2871000000000308E-2</v>
      </c>
      <c r="J64">
        <v>8000</v>
      </c>
      <c r="K64" s="8">
        <f t="shared" si="1"/>
        <v>182.96800000000246</v>
      </c>
    </row>
    <row r="65" spans="1:13" x14ac:dyDescent="0.3">
      <c r="C65" t="s">
        <v>12</v>
      </c>
      <c r="D65">
        <f>Worksheet_Ducts!AO59</f>
        <v>0.3</v>
      </c>
      <c r="E65">
        <f>Worksheet_Ducts!AP59</f>
        <v>0.2</v>
      </c>
      <c r="F65" s="15">
        <f>Worksheet_Ducts!AQ59</f>
        <v>45.335799999999992</v>
      </c>
      <c r="H65">
        <v>1E-3</v>
      </c>
      <c r="I65" s="8">
        <f t="shared" si="0"/>
        <v>1.8253520000000023E-2</v>
      </c>
      <c r="J65">
        <v>8000</v>
      </c>
      <c r="K65" s="8">
        <f t="shared" si="1"/>
        <v>146.02816000000018</v>
      </c>
    </row>
    <row r="66" spans="1:13" x14ac:dyDescent="0.3">
      <c r="C66" t="s">
        <v>12</v>
      </c>
      <c r="D66">
        <f>Worksheet_Ducts!AO60</f>
        <v>0.3</v>
      </c>
      <c r="E66">
        <f>Worksheet_Ducts!AP60</f>
        <v>0.15</v>
      </c>
      <c r="F66" s="15">
        <f>Worksheet_Ducts!AQ60</f>
        <v>149.857</v>
      </c>
      <c r="H66">
        <v>1E-3</v>
      </c>
      <c r="I66" s="8">
        <f t="shared" si="0"/>
        <v>4.5046500000000655E-2</v>
      </c>
      <c r="J66">
        <v>8000</v>
      </c>
      <c r="K66" s="8">
        <f t="shared" si="1"/>
        <v>360.37200000000524</v>
      </c>
    </row>
    <row r="67" spans="1:13" x14ac:dyDescent="0.3">
      <c r="C67" t="s">
        <v>12</v>
      </c>
      <c r="D67">
        <f>Worksheet_Ducts!AO61</f>
        <v>0.25</v>
      </c>
      <c r="E67">
        <f>Worksheet_Ducts!AP61</f>
        <v>0.25</v>
      </c>
      <c r="F67" s="15">
        <f>Worksheet_Ducts!AQ61</f>
        <v>12.334799999999998</v>
      </c>
      <c r="H67">
        <v>1E-3</v>
      </c>
      <c r="I67" s="8">
        <f t="shared" si="0"/>
        <v>6.2914000000000581E-3</v>
      </c>
      <c r="J67">
        <v>8000</v>
      </c>
      <c r="K67" s="8">
        <f t="shared" si="1"/>
        <v>50.331200000000464</v>
      </c>
      <c r="M67">
        <v>8.0000000000000004E-4</v>
      </c>
    </row>
    <row r="68" spans="1:13" x14ac:dyDescent="0.3">
      <c r="C68" t="s">
        <v>12</v>
      </c>
      <c r="D68">
        <f>Worksheet_Ducts!AO62</f>
        <v>0.25</v>
      </c>
      <c r="E68">
        <f>Worksheet_Ducts!AP62</f>
        <v>0.15</v>
      </c>
      <c r="F68" s="15">
        <f>Worksheet_Ducts!AQ62</f>
        <v>140.28129999999999</v>
      </c>
      <c r="H68">
        <v>1E-3</v>
      </c>
      <c r="I68" s="8">
        <f t="shared" si="0"/>
        <v>4.2158790000000224E-2</v>
      </c>
      <c r="J68">
        <v>8000</v>
      </c>
      <c r="K68" s="8">
        <f t="shared" si="1"/>
        <v>337.27032000000179</v>
      </c>
      <c r="M68">
        <v>8.9999999999999998E-4</v>
      </c>
    </row>
    <row r="69" spans="1:13" x14ac:dyDescent="0.3">
      <c r="C69" t="s">
        <v>12</v>
      </c>
      <c r="D69">
        <f>Worksheet_Ducts!AO63</f>
        <v>0.2</v>
      </c>
      <c r="E69">
        <f>Worksheet_Ducts!AP63</f>
        <v>0.2</v>
      </c>
      <c r="F69" s="15">
        <f>Worksheet_Ducts!AQ63</f>
        <v>74.874399999999994</v>
      </c>
      <c r="H69">
        <v>1E-3</v>
      </c>
      <c r="I69" s="8">
        <f t="shared" si="0"/>
        <v>3.0028960000000104E-2</v>
      </c>
      <c r="J69">
        <v>8000</v>
      </c>
      <c r="K69" s="8">
        <f t="shared" si="1"/>
        <v>240.23168000000084</v>
      </c>
      <c r="M69">
        <v>1E-3</v>
      </c>
    </row>
    <row r="70" spans="1:13" x14ac:dyDescent="0.3">
      <c r="C70" t="s">
        <v>12</v>
      </c>
      <c r="D70">
        <f>Worksheet_Ducts!AO64</f>
        <v>0.25</v>
      </c>
      <c r="E70">
        <f>Worksheet_Ducts!AP64</f>
        <v>0</v>
      </c>
      <c r="F70" s="15">
        <f>Worksheet_Ducts!AQ64</f>
        <v>548.95269999999994</v>
      </c>
      <c r="H70">
        <v>8.9999999999999998E-4</v>
      </c>
      <c r="I70" s="8">
        <f>(((D70/2)^2*$I$1)-(((D70-H70)/2)^2*$I$1))*F70</f>
        <v>0.1936666704491275</v>
      </c>
      <c r="J70">
        <v>8000</v>
      </c>
      <c r="K70" s="8">
        <f>I70*J70</f>
        <v>1549.3333635930201</v>
      </c>
      <c r="M70">
        <v>1.1000000000000001E-3</v>
      </c>
    </row>
    <row r="71" spans="1:13" x14ac:dyDescent="0.3">
      <c r="C71" t="s">
        <v>12</v>
      </c>
      <c r="D71">
        <f>Worksheet_Ducts!AO65</f>
        <v>0.2</v>
      </c>
      <c r="E71">
        <f>Worksheet_Ducts!AP65</f>
        <v>0</v>
      </c>
      <c r="F71" s="15">
        <f>Worksheet_Ducts!AQ65</f>
        <v>408.83369999999996</v>
      </c>
      <c r="H71">
        <v>8.9999999999999998E-4</v>
      </c>
      <c r="I71" s="8">
        <f t="shared" ref="I71:I74" si="2">(((D71/2)^2*$I$1)-(((D71-H71)/2)^2*$I$1))*F71</f>
        <v>0.11533491659934213</v>
      </c>
      <c r="J71">
        <v>8000</v>
      </c>
      <c r="K71" s="8">
        <f t="shared" si="1"/>
        <v>922.67933279473698</v>
      </c>
      <c r="M71">
        <v>1.1999999999999999E-3</v>
      </c>
    </row>
    <row r="72" spans="1:13" x14ac:dyDescent="0.3">
      <c r="C72" t="s">
        <v>12</v>
      </c>
      <c r="D72">
        <f>Worksheet_Ducts!AO66</f>
        <v>0.16</v>
      </c>
      <c r="E72">
        <f>Worksheet_Ducts!AP66</f>
        <v>0</v>
      </c>
      <c r="F72" s="15">
        <f>Worksheet_Ducts!AQ66</f>
        <v>618.30889999999988</v>
      </c>
      <c r="H72">
        <v>8.0000000000000004E-4</v>
      </c>
      <c r="I72" s="8">
        <f t="shared" si="2"/>
        <v>0.12400758471325325</v>
      </c>
      <c r="J72">
        <v>8000</v>
      </c>
      <c r="K72" s="8">
        <f t="shared" si="1"/>
        <v>992.06067770602601</v>
      </c>
      <c r="M72">
        <v>1.2999999999999999E-3</v>
      </c>
    </row>
    <row r="73" spans="1:13" x14ac:dyDescent="0.3">
      <c r="C73" t="s">
        <v>12</v>
      </c>
      <c r="D73">
        <f>Worksheet_Ducts!AO67</f>
        <v>0.125</v>
      </c>
      <c r="E73">
        <f>Worksheet_Ducts!AP67</f>
        <v>0</v>
      </c>
      <c r="F73" s="15">
        <f>Worksheet_Ducts!AQ67</f>
        <v>2884.5038000000004</v>
      </c>
      <c r="H73">
        <v>8.0000000000000004E-4</v>
      </c>
      <c r="I73" s="8">
        <f t="shared" si="2"/>
        <v>0.45164688761504435</v>
      </c>
      <c r="J73">
        <v>8000</v>
      </c>
      <c r="K73" s="8">
        <f t="shared" si="1"/>
        <v>3613.1751009203549</v>
      </c>
      <c r="M73">
        <v>1.4E-3</v>
      </c>
    </row>
    <row r="74" spans="1:13" x14ac:dyDescent="0.3">
      <c r="C74" t="s">
        <v>12</v>
      </c>
      <c r="D74">
        <f>Worksheet_Ducts!AO68</f>
        <v>0.1</v>
      </c>
      <c r="E74">
        <f>Worksheet_Ducts!AP68</f>
        <v>0</v>
      </c>
      <c r="F74" s="15">
        <f>Worksheet_Ducts!AQ68</f>
        <v>295.44009999999997</v>
      </c>
      <c r="H74">
        <v>8.0000000000000004E-4</v>
      </c>
      <c r="I74" s="8">
        <f t="shared" si="2"/>
        <v>3.6977593517797849E-2</v>
      </c>
      <c r="J74">
        <v>8000</v>
      </c>
      <c r="K74" s="8">
        <f t="shared" si="1"/>
        <v>295.8207481423828</v>
      </c>
      <c r="M74">
        <v>1.5E-3</v>
      </c>
    </row>
    <row r="75" spans="1:13" x14ac:dyDescent="0.3">
      <c r="A75" t="s">
        <v>187</v>
      </c>
      <c r="C75" t="s">
        <v>12</v>
      </c>
      <c r="D75">
        <f>Worksheet_Ducts!Y125</f>
        <v>1.1000000000000001</v>
      </c>
      <c r="E75">
        <f>Worksheet_Ducts!Z125</f>
        <v>0.55000000000000004</v>
      </c>
      <c r="F75">
        <f>Worksheet_Ducts!AA125</f>
        <v>12.010000000000002</v>
      </c>
      <c r="H75">
        <v>1.2999999999999999E-3</v>
      </c>
      <c r="I75" s="8">
        <f t="shared" si="0"/>
        <v>1.8743581999998149E-2</v>
      </c>
      <c r="J75">
        <v>8000</v>
      </c>
      <c r="K75" s="8">
        <f t="shared" si="1"/>
        <v>149.94865599998519</v>
      </c>
    </row>
    <row r="76" spans="1:13" x14ac:dyDescent="0.3">
      <c r="C76" t="s">
        <v>12</v>
      </c>
      <c r="D76">
        <f>Worksheet_Ducts!Y126</f>
        <v>1</v>
      </c>
      <c r="E76">
        <f>Worksheet_Ducts!Z126</f>
        <v>0.5</v>
      </c>
      <c r="F76">
        <f>Worksheet_Ducts!AA126</f>
        <v>42.4</v>
      </c>
      <c r="H76">
        <v>1.2999999999999999E-3</v>
      </c>
      <c r="I76" s="8">
        <f t="shared" si="0"/>
        <v>5.641662000000025E-2</v>
      </c>
      <c r="J76">
        <v>8000</v>
      </c>
      <c r="K76" s="8">
        <f t="shared" si="1"/>
        <v>451.332960000002</v>
      </c>
    </row>
    <row r="77" spans="1:13" x14ac:dyDescent="0.3">
      <c r="C77" t="s">
        <v>12</v>
      </c>
      <c r="D77">
        <f>Worksheet_Ducts!Y127</f>
        <v>0.9</v>
      </c>
      <c r="E77">
        <f>Worksheet_Ducts!Z127</f>
        <v>0.55000000000000004</v>
      </c>
      <c r="F77">
        <f>Worksheet_Ducts!AA127</f>
        <v>7.2</v>
      </c>
      <c r="H77">
        <v>1.1999999999999999E-3</v>
      </c>
      <c r="I77" s="8">
        <f t="shared" si="0"/>
        <v>1.0688832000000037E-2</v>
      </c>
      <c r="J77">
        <v>8000</v>
      </c>
      <c r="K77" s="8">
        <f t="shared" si="1"/>
        <v>85.510656000000296</v>
      </c>
    </row>
    <row r="78" spans="1:13" x14ac:dyDescent="0.3">
      <c r="C78" t="s">
        <v>12</v>
      </c>
      <c r="D78">
        <f>Worksheet_Ducts!Y128</f>
        <v>0.8</v>
      </c>
      <c r="E78">
        <f>Worksheet_Ducts!Z128</f>
        <v>0.5</v>
      </c>
      <c r="F78">
        <f>Worksheet_Ducts!AA128</f>
        <v>9.7399999999999984</v>
      </c>
      <c r="H78">
        <v>1.1999999999999999E-3</v>
      </c>
      <c r="I78" s="8">
        <f t="shared" si="0"/>
        <v>1.2645119999999732E-2</v>
      </c>
      <c r="J78">
        <v>8000</v>
      </c>
      <c r="K78" s="8">
        <f t="shared" si="1"/>
        <v>101.16095999999786</v>
      </c>
    </row>
    <row r="79" spans="1:13" x14ac:dyDescent="0.3">
      <c r="C79" t="s">
        <v>12</v>
      </c>
      <c r="D79">
        <f>Worksheet_Ducts!Y129</f>
        <v>0.7</v>
      </c>
      <c r="E79">
        <f>Worksheet_Ducts!Z129</f>
        <v>0.5</v>
      </c>
      <c r="F79">
        <f>Worksheet_Ducts!AA129</f>
        <v>32.239999999999995</v>
      </c>
      <c r="H79">
        <v>1.1999999999999999E-3</v>
      </c>
      <c r="I79" s="8">
        <f t="shared" si="0"/>
        <v>3.9525119999998637E-2</v>
      </c>
      <c r="J79">
        <v>8000</v>
      </c>
      <c r="K79" s="8">
        <f t="shared" si="1"/>
        <v>316.2009599999891</v>
      </c>
    </row>
    <row r="80" spans="1:13" x14ac:dyDescent="0.3">
      <c r="C80" t="s">
        <v>12</v>
      </c>
      <c r="D80">
        <f>Worksheet_Ducts!Y130</f>
        <v>0.6</v>
      </c>
      <c r="E80">
        <f>Worksheet_Ducts!Z130</f>
        <v>0.55000000000000004</v>
      </c>
      <c r="F80">
        <f>Worksheet_Ducts!AA130</f>
        <v>7.2</v>
      </c>
      <c r="H80">
        <v>1.1000000000000001E-3</v>
      </c>
      <c r="I80" s="8">
        <f t="shared" si="0"/>
        <v>9.4353380000002929E-3</v>
      </c>
      <c r="J80">
        <v>8000</v>
      </c>
      <c r="K80" s="8">
        <f t="shared" si="1"/>
        <v>75.482704000002343</v>
      </c>
    </row>
    <row r="81" spans="1:11" x14ac:dyDescent="0.3">
      <c r="C81" t="s">
        <v>12</v>
      </c>
      <c r="D81">
        <f>Worksheet_Ducts!Y131</f>
        <v>0.6</v>
      </c>
      <c r="E81">
        <f>Worksheet_Ducts!Z131</f>
        <v>0.5</v>
      </c>
      <c r="F81">
        <f>Worksheet_Ducts!AA131</f>
        <v>15.1</v>
      </c>
      <c r="H81">
        <v>1.1000000000000001E-3</v>
      </c>
      <c r="I81" s="8">
        <f t="shared" si="0"/>
        <v>1.7267579999999505E-2</v>
      </c>
      <c r="J81">
        <v>8000</v>
      </c>
      <c r="K81" s="8">
        <f t="shared" si="1"/>
        <v>138.14063999999604</v>
      </c>
    </row>
    <row r="82" spans="1:11" x14ac:dyDescent="0.3">
      <c r="C82" t="s">
        <v>12</v>
      </c>
      <c r="D82">
        <f>Worksheet_Ducts!Y132</f>
        <v>0.5</v>
      </c>
      <c r="E82">
        <f>Worksheet_Ducts!Z132</f>
        <v>0.5</v>
      </c>
      <c r="F82">
        <f>Worksheet_Ducts!AA132</f>
        <v>16.28</v>
      </c>
      <c r="H82">
        <v>1.1000000000000001E-3</v>
      </c>
      <c r="I82" s="8">
        <f t="shared" si="0"/>
        <v>1.8455579999999472E-2</v>
      </c>
      <c r="J82">
        <v>8000</v>
      </c>
      <c r="K82" s="8">
        <f t="shared" si="1"/>
        <v>147.64463999999577</v>
      </c>
    </row>
    <row r="83" spans="1:11" x14ac:dyDescent="0.3">
      <c r="C83" t="s">
        <v>12</v>
      </c>
      <c r="D83">
        <f>Worksheet_Ducts!Y133</f>
        <v>0.5</v>
      </c>
      <c r="E83">
        <f>Worksheet_Ducts!Z133</f>
        <v>0.2</v>
      </c>
      <c r="F83">
        <f>Worksheet_Ducts!AA133</f>
        <v>61.76</v>
      </c>
      <c r="H83">
        <v>1.1000000000000001E-3</v>
      </c>
      <c r="I83" s="8">
        <f t="shared" si="0"/>
        <v>2.7393432000000217E-2</v>
      </c>
      <c r="J83">
        <v>8000</v>
      </c>
      <c r="K83" s="8">
        <f t="shared" si="1"/>
        <v>219.14745600000174</v>
      </c>
    </row>
    <row r="84" spans="1:11" x14ac:dyDescent="0.3">
      <c r="C84" t="s">
        <v>12</v>
      </c>
      <c r="D84">
        <f>Worksheet_Ducts!Y134</f>
        <v>0.4</v>
      </c>
      <c r="E84">
        <f>Worksheet_Ducts!Z134</f>
        <v>0.5</v>
      </c>
      <c r="F84">
        <f>Worksheet_Ducts!AA134</f>
        <v>16.8</v>
      </c>
      <c r="H84">
        <v>1.1000000000000001E-3</v>
      </c>
      <c r="I84" s="8">
        <f t="shared" si="0"/>
        <v>1.8917579999999656E-2</v>
      </c>
      <c r="J84">
        <v>8000</v>
      </c>
      <c r="K84" s="8">
        <f t="shared" si="1"/>
        <v>151.34063999999725</v>
      </c>
    </row>
    <row r="85" spans="1:11" x14ac:dyDescent="0.3">
      <c r="C85" t="s">
        <v>12</v>
      </c>
      <c r="D85">
        <f>Worksheet_Ducts!Y135</f>
        <v>0.4</v>
      </c>
      <c r="E85">
        <f>Worksheet_Ducts!Z135</f>
        <v>0.4</v>
      </c>
      <c r="F85">
        <f>Worksheet_Ducts!AA135</f>
        <v>6.76</v>
      </c>
      <c r="H85">
        <v>1E-3</v>
      </c>
      <c r="I85" s="8">
        <f t="shared" si="0"/>
        <v>5.7263999999999093E-3</v>
      </c>
      <c r="J85">
        <v>8000</v>
      </c>
      <c r="K85" s="8">
        <f t="shared" si="1"/>
        <v>45.811199999999275</v>
      </c>
    </row>
    <row r="86" spans="1:11" x14ac:dyDescent="0.3">
      <c r="C86" t="s">
        <v>12</v>
      </c>
      <c r="D86">
        <f>Worksheet_Ducts!Y136</f>
        <v>0.4</v>
      </c>
      <c r="E86">
        <f>Worksheet_Ducts!Z136</f>
        <v>0.2</v>
      </c>
      <c r="F86">
        <f>Worksheet_Ducts!AA136</f>
        <v>42.93</v>
      </c>
      <c r="H86">
        <v>1E-3</v>
      </c>
      <c r="I86" s="8">
        <f t="shared" si="0"/>
        <v>1.7331200000000546E-2</v>
      </c>
      <c r="J86">
        <v>8000</v>
      </c>
      <c r="K86" s="8">
        <f t="shared" si="1"/>
        <v>138.64960000000437</v>
      </c>
    </row>
    <row r="87" spans="1:11" x14ac:dyDescent="0.3">
      <c r="C87" t="s">
        <v>12</v>
      </c>
      <c r="D87">
        <f>Worksheet_Ducts!Y137</f>
        <v>0.15</v>
      </c>
      <c r="E87">
        <f>Worksheet_Ducts!Z137</f>
        <v>0.25</v>
      </c>
      <c r="F87">
        <f>Worksheet_Ducts!AA137</f>
        <v>10.6</v>
      </c>
      <c r="H87">
        <v>1E-3</v>
      </c>
      <c r="I87" s="8">
        <f t="shared" si="0"/>
        <v>5.3740000000000454E-3</v>
      </c>
      <c r="J87">
        <v>8000</v>
      </c>
      <c r="K87" s="8">
        <f t="shared" si="1"/>
        <v>42.99200000000036</v>
      </c>
    </row>
    <row r="88" spans="1:11" x14ac:dyDescent="0.3">
      <c r="C88" t="s">
        <v>12</v>
      </c>
      <c r="D88">
        <f>Worksheet_Ducts!Y138</f>
        <v>0.2</v>
      </c>
      <c r="E88">
        <f>Worksheet_Ducts!Z138</f>
        <v>0.2</v>
      </c>
      <c r="F88">
        <f>Worksheet_Ducts!AA138</f>
        <v>20.8</v>
      </c>
      <c r="H88">
        <v>1E-3</v>
      </c>
      <c r="I88" s="8">
        <f t="shared" si="0"/>
        <v>8.39919999999994E-3</v>
      </c>
      <c r="J88">
        <v>8000</v>
      </c>
      <c r="K88" s="8">
        <f t="shared" si="1"/>
        <v>67.19359999999952</v>
      </c>
    </row>
    <row r="89" spans="1:11" x14ac:dyDescent="0.3">
      <c r="C89" t="s">
        <v>12</v>
      </c>
      <c r="D89">
        <f>Worksheet_Ducts!Y139</f>
        <v>0.2</v>
      </c>
      <c r="E89">
        <f>Worksheet_Ducts!Z139</f>
        <v>0</v>
      </c>
      <c r="F89">
        <f>Worksheet_Ducts!AA139</f>
        <v>35.46</v>
      </c>
      <c r="H89">
        <v>8.9999999999999998E-4</v>
      </c>
      <c r="I89" s="8">
        <f>(((D89/2)^2*$I$1)-(((D89-H89)/2)^2*$I$1))*F89</f>
        <v>1.0003520117379445E-2</v>
      </c>
      <c r="J89">
        <v>8000</v>
      </c>
      <c r="K89" s="8">
        <f t="shared" si="1"/>
        <v>80.028160939035558</v>
      </c>
    </row>
    <row r="90" spans="1:11" x14ac:dyDescent="0.3">
      <c r="C90" t="s">
        <v>12</v>
      </c>
      <c r="D90">
        <f>Worksheet_Ducts!Y140</f>
        <v>0.16</v>
      </c>
      <c r="E90">
        <f>Worksheet_Ducts!Z140</f>
        <v>0</v>
      </c>
      <c r="F90">
        <f>Worksheet_Ducts!AA140</f>
        <v>7.2</v>
      </c>
      <c r="H90">
        <v>8.0000000000000004E-4</v>
      </c>
      <c r="I90" s="8">
        <f t="shared" ref="I90:I91" si="3">(((D90/2)^2*$I$1)-(((D90-H90)/2)^2*$I$1))*F90</f>
        <v>1.4440267800373302E-3</v>
      </c>
      <c r="J90">
        <v>8000</v>
      </c>
      <c r="K90" s="8">
        <f>I90*J90</f>
        <v>11.552214240298643</v>
      </c>
    </row>
    <row r="91" spans="1:11" x14ac:dyDescent="0.3">
      <c r="C91" t="s">
        <v>12</v>
      </c>
      <c r="D91">
        <f>Worksheet_Ducts!Y141</f>
        <v>0.125</v>
      </c>
      <c r="E91">
        <f>Worksheet_Ducts!Z141</f>
        <v>0</v>
      </c>
      <c r="F91">
        <f>Worksheet_Ducts!AA141</f>
        <v>45.519999999999996</v>
      </c>
      <c r="H91">
        <v>8.0000000000000004E-4</v>
      </c>
      <c r="I91" s="8">
        <f t="shared" si="3"/>
        <v>7.1273840319561422E-3</v>
      </c>
      <c r="J91">
        <v>8000</v>
      </c>
      <c r="K91" s="8">
        <f t="shared" si="1"/>
        <v>57.019072255649135</v>
      </c>
    </row>
    <row r="92" spans="1:11" x14ac:dyDescent="0.3">
      <c r="A92" t="s">
        <v>189</v>
      </c>
      <c r="B92" t="s">
        <v>72</v>
      </c>
      <c r="C92" t="s">
        <v>188</v>
      </c>
      <c r="D92">
        <v>0.3</v>
      </c>
      <c r="G92">
        <f>Worksheet_Ducts!F204</f>
        <v>692.48</v>
      </c>
      <c r="J92">
        <v>4.5999999999999996</v>
      </c>
      <c r="K92" s="8">
        <f>J92*G92</f>
        <v>3185.4079999999999</v>
      </c>
    </row>
    <row r="93" spans="1:11" x14ac:dyDescent="0.3">
      <c r="B93" t="s">
        <v>190</v>
      </c>
      <c r="C93" t="s">
        <v>188</v>
      </c>
      <c r="D93">
        <v>0.1</v>
      </c>
      <c r="G93">
        <f>Worksheet_Ducts!F206</f>
        <v>183.94</v>
      </c>
      <c r="J93">
        <v>0.61</v>
      </c>
      <c r="K93" s="8">
        <f>J93*G93</f>
        <v>112.2034</v>
      </c>
    </row>
    <row r="98" spans="1:14" x14ac:dyDescent="0.3">
      <c r="A98" s="16" t="s">
        <v>253</v>
      </c>
      <c r="B98" s="12"/>
      <c r="C98" s="12"/>
      <c r="D98" s="17"/>
      <c r="E98" s="18"/>
      <c r="F98" s="17"/>
      <c r="G98" s="12"/>
      <c r="H98" s="12"/>
      <c r="I98" s="12"/>
      <c r="J98" s="12"/>
      <c r="K98" s="17"/>
      <c r="L98" s="12"/>
      <c r="M98" s="12"/>
      <c r="N98" s="12"/>
    </row>
    <row r="99" spans="1:14" x14ac:dyDescent="0.3">
      <c r="B99" s="4" t="s">
        <v>10</v>
      </c>
      <c r="C99" s="41" t="s">
        <v>240</v>
      </c>
    </row>
    <row r="100" spans="1:14" x14ac:dyDescent="0.3">
      <c r="A100" t="s">
        <v>38</v>
      </c>
      <c r="B100" t="s">
        <v>12</v>
      </c>
      <c r="C100">
        <f>SUM(K9:K43)*'GWP2013'!C6</f>
        <v>52117.749599999996</v>
      </c>
      <c r="D100" s="8">
        <f>K44</f>
        <v>24142</v>
      </c>
    </row>
    <row r="101" spans="1:14" x14ac:dyDescent="0.3">
      <c r="A101" t="s">
        <v>66</v>
      </c>
      <c r="B101" t="s">
        <v>12</v>
      </c>
      <c r="C101">
        <f>SUM(K47:K91)*'GWP2013'!C6</f>
        <v>35621.846995563312</v>
      </c>
      <c r="D101" s="8">
        <f>SUM(K47:K91)</f>
        <v>16500.762921791418</v>
      </c>
    </row>
    <row r="102" spans="1:14" x14ac:dyDescent="0.3">
      <c r="A102" t="s">
        <v>177</v>
      </c>
      <c r="B102" t="s">
        <v>12</v>
      </c>
      <c r="C102">
        <f>K92*'GWP2013'!C6</f>
        <v>6876.6587903999989</v>
      </c>
      <c r="D102" s="8">
        <f>K92</f>
        <v>3185.4079999999999</v>
      </c>
    </row>
    <row r="103" spans="1:14" x14ac:dyDescent="0.3">
      <c r="A103" t="s">
        <v>177</v>
      </c>
      <c r="B103" t="s">
        <v>46</v>
      </c>
      <c r="C103" s="8">
        <f>K93*'GWP2013'!C16</f>
        <v>957.21842574000004</v>
      </c>
      <c r="D103" s="8">
        <f>K93</f>
        <v>112.2034</v>
      </c>
    </row>
    <row r="105" spans="1:14" x14ac:dyDescent="0.3">
      <c r="A105" t="s">
        <v>115</v>
      </c>
      <c r="C105">
        <f>SUM(C100:C103)</f>
        <v>95573.473811703312</v>
      </c>
      <c r="D105">
        <f>SUM(D100:D103)</f>
        <v>43940.374321791423</v>
      </c>
    </row>
  </sheetData>
  <pageMargins left="0.7" right="0.7" top="0.78740157499999996" bottom="0.78740157499999996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229"/>
  <sheetViews>
    <sheetView topLeftCell="B1" zoomScale="70" zoomScaleNormal="70" workbookViewId="0">
      <selection activeCell="H7" sqref="H7"/>
    </sheetView>
  </sheetViews>
  <sheetFormatPr defaultColWidth="11" defaultRowHeight="15.6" x14ac:dyDescent="0.3"/>
  <cols>
    <col min="1" max="1" width="15" bestFit="1" customWidth="1"/>
    <col min="8" max="8" width="11.796875" bestFit="1" customWidth="1"/>
    <col min="13" max="13" width="15.796875" customWidth="1"/>
  </cols>
  <sheetData>
    <row r="1" spans="1:26" x14ac:dyDescent="0.3">
      <c r="A1" s="12" t="s">
        <v>104</v>
      </c>
      <c r="B1" s="12"/>
      <c r="C1" s="12"/>
      <c r="D1" s="12"/>
      <c r="E1" s="12"/>
      <c r="F1" s="12"/>
      <c r="G1" s="12"/>
      <c r="H1" s="12"/>
      <c r="I1" s="12"/>
      <c r="R1" s="23" t="s">
        <v>154</v>
      </c>
      <c r="S1" s="21"/>
      <c r="U1" s="13" t="s">
        <v>281</v>
      </c>
      <c r="V1" s="13"/>
      <c r="W1" s="4"/>
      <c r="X1" s="13" t="s">
        <v>282</v>
      </c>
      <c r="Y1" s="13"/>
      <c r="Z1" s="4"/>
    </row>
    <row r="2" spans="1:26" x14ac:dyDescent="0.3">
      <c r="A2" s="2" t="s">
        <v>67</v>
      </c>
      <c r="B2" s="2" t="s">
        <v>88</v>
      </c>
      <c r="C2" s="2" t="s">
        <v>47</v>
      </c>
      <c r="D2" s="2" t="s">
        <v>48</v>
      </c>
      <c r="E2" s="2"/>
      <c r="F2" s="2"/>
      <c r="G2" s="2"/>
      <c r="H2" s="2"/>
      <c r="I2" s="2"/>
      <c r="R2" s="24" t="s">
        <v>88</v>
      </c>
      <c r="S2" s="24" t="s">
        <v>115</v>
      </c>
      <c r="U2" s="2" t="s">
        <v>88</v>
      </c>
      <c r="V2" s="2" t="s">
        <v>115</v>
      </c>
      <c r="X2" s="2" t="s">
        <v>88</v>
      </c>
      <c r="Y2" s="2" t="s">
        <v>115</v>
      </c>
    </row>
    <row r="3" spans="1:26" x14ac:dyDescent="0.3">
      <c r="A3" t="s">
        <v>120</v>
      </c>
      <c r="B3" t="s">
        <v>95</v>
      </c>
      <c r="D3">
        <v>1.59</v>
      </c>
      <c r="R3" s="25" t="s">
        <v>78</v>
      </c>
      <c r="S3" s="25">
        <f>SUM(H7+H60+H126+R126+AB126+AL126+AV126+BF126+H181+R181+AB181+AL181+AV181)</f>
        <v>64.410000000000011</v>
      </c>
      <c r="U3" s="2" t="s">
        <v>78</v>
      </c>
      <c r="V3" s="2">
        <f>SUM(H27+H60+BJ142+AZ197)</f>
        <v>34.42</v>
      </c>
      <c r="X3" s="2" t="s">
        <v>78</v>
      </c>
      <c r="Y3" s="2">
        <f>H42+BJ158+AZ213</f>
        <v>29.99</v>
      </c>
    </row>
    <row r="4" spans="1:26" x14ac:dyDescent="0.3">
      <c r="R4" s="25" t="s">
        <v>90</v>
      </c>
      <c r="S4" s="25">
        <f t="shared" ref="S4:S13" si="0">SUM(H8+H61+H127+R127+AB127+AL127+AV127+BF127+H182+R182+AB182+AL182+AV182)</f>
        <v>188.57</v>
      </c>
      <c r="U4" s="2" t="s">
        <v>90</v>
      </c>
      <c r="V4" s="2">
        <f t="shared" ref="V4:V13" si="1">SUM(H28+H61+BJ143+AZ198)</f>
        <v>171.63</v>
      </c>
      <c r="X4" s="2" t="s">
        <v>90</v>
      </c>
      <c r="Y4" s="2">
        <f t="shared" ref="Y4:Y13" si="2">H43+BJ159+AZ214</f>
        <v>16.939999999999998</v>
      </c>
    </row>
    <row r="5" spans="1:26" x14ac:dyDescent="0.3">
      <c r="A5" s="12" t="s">
        <v>104</v>
      </c>
      <c r="B5" s="12"/>
      <c r="C5" s="12"/>
      <c r="D5" s="12"/>
      <c r="E5" s="12"/>
      <c r="F5" s="12"/>
      <c r="G5" s="12" t="s">
        <v>151</v>
      </c>
      <c r="H5" s="12"/>
      <c r="I5" s="12"/>
      <c r="R5" s="25" t="s">
        <v>99</v>
      </c>
      <c r="S5" s="25">
        <f t="shared" si="0"/>
        <v>69.03</v>
      </c>
      <c r="U5" s="2" t="s">
        <v>99</v>
      </c>
      <c r="V5" s="2">
        <f t="shared" si="1"/>
        <v>29.97</v>
      </c>
      <c r="X5" s="2" t="s">
        <v>99</v>
      </c>
      <c r="Y5" s="2">
        <f t="shared" si="2"/>
        <v>39.059999999999995</v>
      </c>
    </row>
    <row r="6" spans="1:26" x14ac:dyDescent="0.3">
      <c r="A6" s="2" t="s">
        <v>67</v>
      </c>
      <c r="B6" s="2" t="s">
        <v>88</v>
      </c>
      <c r="C6" s="2" t="s">
        <v>47</v>
      </c>
      <c r="D6" s="2" t="s">
        <v>48</v>
      </c>
      <c r="E6" s="2"/>
      <c r="F6" s="2"/>
      <c r="G6" s="13" t="s">
        <v>88</v>
      </c>
      <c r="H6" s="13" t="s">
        <v>115</v>
      </c>
      <c r="I6" s="2"/>
      <c r="R6" s="25" t="s">
        <v>95</v>
      </c>
      <c r="S6" s="25">
        <f t="shared" si="0"/>
        <v>649.75</v>
      </c>
      <c r="U6" s="2" t="s">
        <v>95</v>
      </c>
      <c r="V6" s="2">
        <f t="shared" si="1"/>
        <v>362.27</v>
      </c>
      <c r="X6" s="2" t="s">
        <v>95</v>
      </c>
      <c r="Y6" s="2">
        <f t="shared" si="2"/>
        <v>285.89000000000004</v>
      </c>
    </row>
    <row r="7" spans="1:26" x14ac:dyDescent="0.3">
      <c r="A7" t="s">
        <v>91</v>
      </c>
      <c r="B7" t="s">
        <v>90</v>
      </c>
      <c r="D7">
        <v>59.75</v>
      </c>
      <c r="G7" s="4" t="s">
        <v>78</v>
      </c>
      <c r="H7" s="4">
        <f>SUMIF($B$3:$B$54,G7,$D$3:$D$54)</f>
        <v>64.410000000000011</v>
      </c>
      <c r="R7" s="25" t="s">
        <v>100</v>
      </c>
      <c r="S7" s="25">
        <f t="shared" si="0"/>
        <v>331.72999999999996</v>
      </c>
      <c r="U7" s="2" t="s">
        <v>100</v>
      </c>
      <c r="V7" s="2">
        <f t="shared" si="1"/>
        <v>253.76999999999998</v>
      </c>
      <c r="X7" s="2" t="s">
        <v>100</v>
      </c>
      <c r="Y7" s="2">
        <f t="shared" si="2"/>
        <v>77.960000000000008</v>
      </c>
    </row>
    <row r="8" spans="1:26" x14ac:dyDescent="0.3">
      <c r="B8" t="s">
        <v>95</v>
      </c>
      <c r="D8">
        <v>15.65</v>
      </c>
      <c r="G8" s="4" t="s">
        <v>90</v>
      </c>
      <c r="H8" s="4">
        <f t="shared" ref="H8:H17" si="3">SUMIF($B$3:$B$54,G8,$D$3:$D$54)</f>
        <v>188.57</v>
      </c>
      <c r="R8" s="25" t="s">
        <v>93</v>
      </c>
      <c r="S8" s="25">
        <f t="shared" si="0"/>
        <v>419.37399999999997</v>
      </c>
      <c r="U8" s="2" t="s">
        <v>93</v>
      </c>
      <c r="V8" s="2">
        <f t="shared" si="1"/>
        <v>258.83999999999997</v>
      </c>
      <c r="X8" s="2" t="s">
        <v>93</v>
      </c>
      <c r="Y8" s="2">
        <f t="shared" si="2"/>
        <v>160.53400000000002</v>
      </c>
    </row>
    <row r="9" spans="1:26" x14ac:dyDescent="0.3">
      <c r="B9" t="s">
        <v>95</v>
      </c>
      <c r="D9">
        <v>10.29</v>
      </c>
      <c r="G9" s="4" t="s">
        <v>99</v>
      </c>
      <c r="H9" s="4">
        <f t="shared" si="3"/>
        <v>13.09</v>
      </c>
      <c r="R9" s="25" t="s">
        <v>94</v>
      </c>
      <c r="S9" s="25">
        <f t="shared" si="0"/>
        <v>181.553</v>
      </c>
      <c r="U9" s="2" t="s">
        <v>94</v>
      </c>
      <c r="V9" s="2">
        <f t="shared" si="1"/>
        <v>160.33000000000001</v>
      </c>
      <c r="X9" s="2" t="s">
        <v>94</v>
      </c>
      <c r="Y9" s="2">
        <f t="shared" si="2"/>
        <v>21.222999999999999</v>
      </c>
    </row>
    <row r="10" spans="1:26" x14ac:dyDescent="0.3">
      <c r="B10" t="s">
        <v>93</v>
      </c>
      <c r="D10">
        <v>40.9</v>
      </c>
      <c r="G10" s="4" t="s">
        <v>95</v>
      </c>
      <c r="H10" s="4">
        <f t="shared" si="3"/>
        <v>406.52000000000004</v>
      </c>
      <c r="R10" s="25" t="s">
        <v>97</v>
      </c>
      <c r="S10" s="25">
        <f t="shared" si="0"/>
        <v>239.26299999999998</v>
      </c>
      <c r="U10" s="2" t="s">
        <v>97</v>
      </c>
      <c r="V10" s="2">
        <f t="shared" si="1"/>
        <v>196.70000000000002</v>
      </c>
      <c r="X10" s="2" t="s">
        <v>97</v>
      </c>
      <c r="Y10" s="2">
        <f t="shared" si="2"/>
        <v>42.563000000000002</v>
      </c>
    </row>
    <row r="11" spans="1:26" x14ac:dyDescent="0.3">
      <c r="B11" t="s">
        <v>93</v>
      </c>
      <c r="D11">
        <v>40.700000000000003</v>
      </c>
      <c r="G11" s="4" t="s">
        <v>100</v>
      </c>
      <c r="H11" s="4">
        <f t="shared" si="3"/>
        <v>43.27</v>
      </c>
      <c r="R11" s="25" t="s">
        <v>107</v>
      </c>
      <c r="S11" s="25">
        <f t="shared" si="0"/>
        <v>181.5</v>
      </c>
      <c r="U11" s="2" t="s">
        <v>107</v>
      </c>
      <c r="V11" s="2">
        <f t="shared" si="1"/>
        <v>173.74</v>
      </c>
      <c r="X11" s="2" t="s">
        <v>107</v>
      </c>
      <c r="Y11" s="2">
        <f t="shared" si="2"/>
        <v>7.76</v>
      </c>
    </row>
    <row r="12" spans="1:26" x14ac:dyDescent="0.3">
      <c r="B12" t="s">
        <v>94</v>
      </c>
      <c r="D12">
        <v>2.16</v>
      </c>
      <c r="G12" s="4" t="s">
        <v>93</v>
      </c>
      <c r="H12" s="4">
        <f t="shared" si="3"/>
        <v>167.28</v>
      </c>
      <c r="R12" s="25" t="s">
        <v>106</v>
      </c>
      <c r="S12" s="25">
        <f t="shared" si="0"/>
        <v>166.71499999999997</v>
      </c>
      <c r="U12" s="2" t="s">
        <v>106</v>
      </c>
      <c r="V12" s="2">
        <f t="shared" si="1"/>
        <v>166.71499999999997</v>
      </c>
      <c r="X12" s="2" t="s">
        <v>106</v>
      </c>
      <c r="Y12" s="2">
        <f t="shared" si="2"/>
        <v>0</v>
      </c>
    </row>
    <row r="13" spans="1:26" x14ac:dyDescent="0.3">
      <c r="B13" t="s">
        <v>94</v>
      </c>
      <c r="D13">
        <v>30.02</v>
      </c>
      <c r="G13" s="4" t="s">
        <v>94</v>
      </c>
      <c r="H13" s="4">
        <f t="shared" si="3"/>
        <v>63.31</v>
      </c>
      <c r="R13" s="25" t="s">
        <v>96</v>
      </c>
      <c r="S13" s="25">
        <f t="shared" si="0"/>
        <v>497.67200000000003</v>
      </c>
      <c r="U13" s="2" t="s">
        <v>96</v>
      </c>
      <c r="V13" s="2">
        <f t="shared" si="1"/>
        <v>497.67200000000003</v>
      </c>
      <c r="X13" s="2" t="s">
        <v>96</v>
      </c>
      <c r="Y13" s="2">
        <f t="shared" si="2"/>
        <v>0</v>
      </c>
    </row>
    <row r="14" spans="1:26" x14ac:dyDescent="0.3">
      <c r="B14" t="s">
        <v>97</v>
      </c>
      <c r="D14">
        <v>12.98</v>
      </c>
      <c r="G14" s="4" t="s">
        <v>97</v>
      </c>
      <c r="H14" s="4">
        <f t="shared" si="3"/>
        <v>26.905000000000001</v>
      </c>
      <c r="R14" s="2"/>
      <c r="S14" s="2"/>
    </row>
    <row r="15" spans="1:26" x14ac:dyDescent="0.3">
      <c r="B15" t="s">
        <v>96</v>
      </c>
      <c r="D15">
        <v>50.71</v>
      </c>
      <c r="G15" s="4" t="s">
        <v>107</v>
      </c>
      <c r="H15" s="4">
        <f t="shared" si="3"/>
        <v>0</v>
      </c>
    </row>
    <row r="16" spans="1:26" x14ac:dyDescent="0.3">
      <c r="G16" s="4" t="s">
        <v>106</v>
      </c>
      <c r="H16" s="4">
        <f t="shared" si="3"/>
        <v>0</v>
      </c>
    </row>
    <row r="17" spans="1:8" x14ac:dyDescent="0.3">
      <c r="A17" t="s">
        <v>92</v>
      </c>
      <c r="B17" t="s">
        <v>90</v>
      </c>
      <c r="D17">
        <v>58.13</v>
      </c>
      <c r="G17" s="4" t="s">
        <v>96</v>
      </c>
      <c r="H17" s="4">
        <f t="shared" si="3"/>
        <v>98.91</v>
      </c>
    </row>
    <row r="18" spans="1:8" x14ac:dyDescent="0.3">
      <c r="B18" t="s">
        <v>95</v>
      </c>
      <c r="D18">
        <v>15.74</v>
      </c>
      <c r="G18" s="4" t="s">
        <v>249</v>
      </c>
      <c r="H18" s="4">
        <f t="shared" ref="H18" si="4">SUMIF($B$3:$B$54,G18,$D$3:$D$54)</f>
        <v>0</v>
      </c>
    </row>
    <row r="19" spans="1:8" x14ac:dyDescent="0.3">
      <c r="B19" t="s">
        <v>95</v>
      </c>
      <c r="D19">
        <v>9.73</v>
      </c>
    </row>
    <row r="20" spans="1:8" x14ac:dyDescent="0.3">
      <c r="B20" t="s">
        <v>93</v>
      </c>
      <c r="D20">
        <v>29.58</v>
      </c>
    </row>
    <row r="21" spans="1:8" x14ac:dyDescent="0.3">
      <c r="B21" t="s">
        <v>93</v>
      </c>
      <c r="D21">
        <v>15.7</v>
      </c>
    </row>
    <row r="22" spans="1:8" x14ac:dyDescent="0.3">
      <c r="B22" t="s">
        <v>93</v>
      </c>
      <c r="D22">
        <v>40.4</v>
      </c>
    </row>
    <row r="23" spans="1:8" x14ac:dyDescent="0.3">
      <c r="B23" t="s">
        <v>94</v>
      </c>
      <c r="D23">
        <v>31.13</v>
      </c>
    </row>
    <row r="24" spans="1:8" x14ac:dyDescent="0.3">
      <c r="B24" t="s">
        <v>97</v>
      </c>
      <c r="D24">
        <v>13.925000000000001</v>
      </c>
    </row>
    <row r="25" spans="1:8" x14ac:dyDescent="0.3">
      <c r="B25" t="s">
        <v>96</v>
      </c>
      <c r="D25">
        <v>48.2</v>
      </c>
      <c r="G25" t="s">
        <v>152</v>
      </c>
    </row>
    <row r="26" spans="1:8" x14ac:dyDescent="0.3">
      <c r="G26" s="2" t="s">
        <v>88</v>
      </c>
      <c r="H26" s="2" t="s">
        <v>115</v>
      </c>
    </row>
    <row r="27" spans="1:8" x14ac:dyDescent="0.3">
      <c r="A27" t="s">
        <v>98</v>
      </c>
      <c r="B27" t="s">
        <v>78</v>
      </c>
      <c r="D27">
        <v>17.600000000000001</v>
      </c>
      <c r="G27" t="s">
        <v>78</v>
      </c>
      <c r="H27">
        <f>SUMIF($B$7:$B$42,G27,$D$7:$D$42)</f>
        <v>34.42</v>
      </c>
    </row>
    <row r="28" spans="1:8" x14ac:dyDescent="0.3">
      <c r="B28" t="s">
        <v>90</v>
      </c>
      <c r="D28">
        <v>26.7</v>
      </c>
      <c r="G28" t="s">
        <v>90</v>
      </c>
      <c r="H28">
        <f t="shared" ref="H28:H37" si="5">SUMIF($B$7:$B$42,G28,$D$7:$D$42)</f>
        <v>171.63</v>
      </c>
    </row>
    <row r="29" spans="1:8" x14ac:dyDescent="0.3">
      <c r="B29" t="s">
        <v>99</v>
      </c>
      <c r="D29">
        <v>8.4</v>
      </c>
      <c r="G29" t="s">
        <v>99</v>
      </c>
      <c r="H29">
        <f t="shared" si="5"/>
        <v>13.09</v>
      </c>
    </row>
    <row r="30" spans="1:8" x14ac:dyDescent="0.3">
      <c r="B30" t="s">
        <v>95</v>
      </c>
      <c r="D30">
        <v>16.59</v>
      </c>
      <c r="G30" t="s">
        <v>95</v>
      </c>
      <c r="H30">
        <f t="shared" si="5"/>
        <v>221.77</v>
      </c>
    </row>
    <row r="31" spans="1:8" x14ac:dyDescent="0.3">
      <c r="B31" t="s">
        <v>95</v>
      </c>
      <c r="D31">
        <v>36.71</v>
      </c>
      <c r="G31" t="s">
        <v>100</v>
      </c>
      <c r="H31">
        <f t="shared" si="5"/>
        <v>27.95</v>
      </c>
    </row>
    <row r="32" spans="1:8" x14ac:dyDescent="0.3">
      <c r="B32" t="s">
        <v>95</v>
      </c>
      <c r="D32">
        <v>28</v>
      </c>
      <c r="G32" t="s">
        <v>93</v>
      </c>
      <c r="H32">
        <f t="shared" si="5"/>
        <v>167.28</v>
      </c>
    </row>
    <row r="33" spans="1:8" x14ac:dyDescent="0.3">
      <c r="B33" t="s">
        <v>100</v>
      </c>
      <c r="D33">
        <v>14</v>
      </c>
      <c r="G33" t="s">
        <v>94</v>
      </c>
      <c r="H33">
        <f t="shared" si="5"/>
        <v>63.31</v>
      </c>
    </row>
    <row r="34" spans="1:8" x14ac:dyDescent="0.3">
      <c r="G34" t="s">
        <v>97</v>
      </c>
      <c r="H34">
        <f t="shared" si="5"/>
        <v>26.905000000000001</v>
      </c>
    </row>
    <row r="35" spans="1:8" x14ac:dyDescent="0.3">
      <c r="A35" t="s">
        <v>101</v>
      </c>
      <c r="B35" t="s">
        <v>78</v>
      </c>
      <c r="D35">
        <v>16.82</v>
      </c>
      <c r="G35" t="s">
        <v>107</v>
      </c>
      <c r="H35">
        <f t="shared" si="5"/>
        <v>0</v>
      </c>
    </row>
    <row r="36" spans="1:8" x14ac:dyDescent="0.3">
      <c r="B36" t="s">
        <v>90</v>
      </c>
      <c r="D36">
        <v>27.05</v>
      </c>
      <c r="G36" t="s">
        <v>106</v>
      </c>
      <c r="H36">
        <f t="shared" si="5"/>
        <v>0</v>
      </c>
    </row>
    <row r="37" spans="1:8" x14ac:dyDescent="0.3">
      <c r="B37" t="s">
        <v>99</v>
      </c>
      <c r="D37">
        <v>4.6900000000000004</v>
      </c>
      <c r="G37" t="s">
        <v>96</v>
      </c>
      <c r="H37">
        <f t="shared" si="5"/>
        <v>98.91</v>
      </c>
    </row>
    <row r="38" spans="1:8" x14ac:dyDescent="0.3">
      <c r="B38" t="s">
        <v>95</v>
      </c>
      <c r="D38">
        <v>26.5</v>
      </c>
    </row>
    <row r="39" spans="1:8" x14ac:dyDescent="0.3">
      <c r="B39" t="s">
        <v>95</v>
      </c>
      <c r="D39">
        <v>16.5</v>
      </c>
    </row>
    <row r="40" spans="1:8" x14ac:dyDescent="0.3">
      <c r="B40" t="s">
        <v>95</v>
      </c>
      <c r="D40">
        <v>46.06</v>
      </c>
      <c r="G40" t="s">
        <v>153</v>
      </c>
    </row>
    <row r="41" spans="1:8" x14ac:dyDescent="0.3">
      <c r="B41" t="s">
        <v>100</v>
      </c>
      <c r="D41">
        <v>13.95</v>
      </c>
      <c r="G41" s="2" t="s">
        <v>88</v>
      </c>
      <c r="H41" s="2" t="s">
        <v>115</v>
      </c>
    </row>
    <row r="42" spans="1:8" x14ac:dyDescent="0.3">
      <c r="G42" t="s">
        <v>78</v>
      </c>
      <c r="H42">
        <f>SUMIF($B$43:$B$54,G42,$D$43:$D$54)</f>
        <v>29.99</v>
      </c>
    </row>
    <row r="43" spans="1:8" x14ac:dyDescent="0.3">
      <c r="A43" t="s">
        <v>102</v>
      </c>
      <c r="B43" t="s">
        <v>78</v>
      </c>
      <c r="D43">
        <v>5.71</v>
      </c>
      <c r="G43" t="s">
        <v>90</v>
      </c>
      <c r="H43">
        <f t="shared" ref="H43:H52" si="6">SUMIF($B$43:$B$54,G43,$D$43:$D$54)</f>
        <v>16.939999999999998</v>
      </c>
    </row>
    <row r="44" spans="1:8" x14ac:dyDescent="0.3">
      <c r="B44" t="s">
        <v>78</v>
      </c>
      <c r="D44">
        <v>9.7799999999999994</v>
      </c>
      <c r="G44" t="s">
        <v>99</v>
      </c>
      <c r="H44">
        <f t="shared" si="6"/>
        <v>0</v>
      </c>
    </row>
    <row r="45" spans="1:8" x14ac:dyDescent="0.3">
      <c r="B45" t="s">
        <v>90</v>
      </c>
      <c r="D45">
        <v>8.34</v>
      </c>
      <c r="G45" t="s">
        <v>95</v>
      </c>
      <c r="H45">
        <f t="shared" si="6"/>
        <v>183.16000000000003</v>
      </c>
    </row>
    <row r="46" spans="1:8" x14ac:dyDescent="0.3">
      <c r="B46" t="s">
        <v>95</v>
      </c>
      <c r="D46">
        <v>25.74</v>
      </c>
      <c r="G46" t="s">
        <v>100</v>
      </c>
      <c r="H46">
        <f t="shared" si="6"/>
        <v>15.32</v>
      </c>
    </row>
    <row r="47" spans="1:8" x14ac:dyDescent="0.3">
      <c r="B47" t="s">
        <v>95</v>
      </c>
      <c r="D47">
        <v>63.63</v>
      </c>
      <c r="G47" t="s">
        <v>93</v>
      </c>
      <c r="H47">
        <f t="shared" si="6"/>
        <v>0</v>
      </c>
    </row>
    <row r="48" spans="1:8" x14ac:dyDescent="0.3">
      <c r="B48" t="s">
        <v>100</v>
      </c>
      <c r="D48">
        <v>7.29</v>
      </c>
      <c r="G48" t="s">
        <v>94</v>
      </c>
      <c r="H48">
        <f t="shared" si="6"/>
        <v>0</v>
      </c>
    </row>
    <row r="49" spans="1:30" x14ac:dyDescent="0.3">
      <c r="G49" t="s">
        <v>97</v>
      </c>
      <c r="H49">
        <f t="shared" si="6"/>
        <v>0</v>
      </c>
    </row>
    <row r="50" spans="1:30" x14ac:dyDescent="0.3">
      <c r="A50" t="s">
        <v>103</v>
      </c>
      <c r="B50" t="s">
        <v>78</v>
      </c>
      <c r="D50">
        <v>4.7</v>
      </c>
      <c r="G50" t="s">
        <v>107</v>
      </c>
      <c r="H50">
        <f t="shared" si="6"/>
        <v>0</v>
      </c>
    </row>
    <row r="51" spans="1:30" x14ac:dyDescent="0.3">
      <c r="B51" t="s">
        <v>78</v>
      </c>
      <c r="D51">
        <v>9.8000000000000007</v>
      </c>
      <c r="G51" t="s">
        <v>106</v>
      </c>
      <c r="H51">
        <f t="shared" si="6"/>
        <v>0</v>
      </c>
    </row>
    <row r="52" spans="1:30" x14ac:dyDescent="0.3">
      <c r="B52" t="s">
        <v>90</v>
      </c>
      <c r="D52">
        <v>8.6</v>
      </c>
      <c r="G52" t="s">
        <v>96</v>
      </c>
      <c r="H52">
        <f t="shared" si="6"/>
        <v>0</v>
      </c>
    </row>
    <row r="53" spans="1:30" x14ac:dyDescent="0.3">
      <c r="B53" t="s">
        <v>95</v>
      </c>
      <c r="D53">
        <v>93.79</v>
      </c>
    </row>
    <row r="54" spans="1:30" x14ac:dyDescent="0.3">
      <c r="B54" t="s">
        <v>100</v>
      </c>
      <c r="D54">
        <v>8.0299999999999994</v>
      </c>
    </row>
    <row r="58" spans="1:30" x14ac:dyDescent="0.3">
      <c r="A58" s="12" t="s">
        <v>283</v>
      </c>
      <c r="B58" s="12"/>
      <c r="C58" s="12"/>
      <c r="D58" s="12"/>
      <c r="E58" s="12"/>
      <c r="F58" s="12"/>
      <c r="G58" s="12"/>
      <c r="H58" s="12"/>
      <c r="I58" s="12"/>
      <c r="S58" s="12" t="s">
        <v>113</v>
      </c>
      <c r="T58" s="12"/>
      <c r="U58" s="12"/>
      <c r="V58" s="12"/>
      <c r="W58" s="12"/>
      <c r="X58" s="12"/>
      <c r="Y58" s="12"/>
      <c r="Z58" s="12"/>
      <c r="AA58" s="12"/>
    </row>
    <row r="59" spans="1:30" x14ac:dyDescent="0.3">
      <c r="A59" s="2" t="s">
        <v>67</v>
      </c>
      <c r="B59" s="2" t="s">
        <v>88</v>
      </c>
      <c r="C59" s="2" t="s">
        <v>47</v>
      </c>
      <c r="D59" s="2" t="s">
        <v>48</v>
      </c>
      <c r="E59" s="2" t="s">
        <v>132</v>
      </c>
      <c r="F59" s="2"/>
      <c r="G59" s="13" t="s">
        <v>88</v>
      </c>
      <c r="H59" s="13" t="s">
        <v>115</v>
      </c>
      <c r="I59" s="2"/>
      <c r="S59" s="2" t="s">
        <v>67</v>
      </c>
      <c r="T59" s="2" t="s">
        <v>88</v>
      </c>
      <c r="U59" s="2" t="s">
        <v>47</v>
      </c>
      <c r="V59" s="2" t="s">
        <v>48</v>
      </c>
      <c r="W59" s="2" t="s">
        <v>77</v>
      </c>
      <c r="X59" s="2" t="s">
        <v>82</v>
      </c>
      <c r="Y59" s="2" t="s">
        <v>50</v>
      </c>
      <c r="Z59" s="2" t="s">
        <v>202</v>
      </c>
      <c r="AA59" s="2" t="s">
        <v>203</v>
      </c>
      <c r="AB59" s="2" t="s">
        <v>204</v>
      </c>
      <c r="AC59" s="2" t="s">
        <v>36</v>
      </c>
      <c r="AD59" s="2" t="s">
        <v>197</v>
      </c>
    </row>
    <row r="60" spans="1:30" x14ac:dyDescent="0.3">
      <c r="A60" s="4" t="s">
        <v>110</v>
      </c>
      <c r="G60" s="4" t="s">
        <v>78</v>
      </c>
      <c r="H60" s="4">
        <f>SUMIF($B$61:$B$120,G60,$D$61:$D$120)</f>
        <v>0</v>
      </c>
      <c r="S60" t="s">
        <v>114</v>
      </c>
      <c r="U60">
        <v>0.15</v>
      </c>
      <c r="V60">
        <v>4.8</v>
      </c>
      <c r="W60">
        <v>0.3</v>
      </c>
      <c r="Y60">
        <v>17</v>
      </c>
      <c r="Z60">
        <f>((U60*V60)+(U60+W60)*2+(V60*W60*2))*Y60*$X$73</f>
        <v>7.6499999999999999E-2</v>
      </c>
      <c r="AA60">
        <f>U60*V60*Y60*$X$74/2</f>
        <v>1.2240000000000001E-2</v>
      </c>
      <c r="AB60">
        <f>U60*$V$75*$X$75*Y60</f>
        <v>5.2274999999999989E-4</v>
      </c>
      <c r="AC60">
        <f>U60*$V$76*$X$76*Y60</f>
        <v>1.5682499999999998E-3</v>
      </c>
      <c r="AD60">
        <f>(V60-0.32)*$U$77*$W$77*Y60</f>
        <v>0.38079999999999997</v>
      </c>
    </row>
    <row r="61" spans="1:30" x14ac:dyDescent="0.3">
      <c r="A61" t="s">
        <v>133</v>
      </c>
      <c r="B61" t="s">
        <v>97</v>
      </c>
      <c r="D61">
        <f>E61*2</f>
        <v>16.440000000000001</v>
      </c>
      <c r="E61">
        <v>8.2200000000000006</v>
      </c>
      <c r="G61" s="4" t="s">
        <v>90</v>
      </c>
      <c r="H61" s="4">
        <f t="shared" ref="H61:H70" si="7">SUMIF($B$61:$B$120,G61,$D$61:$D$120)</f>
        <v>0</v>
      </c>
      <c r="S61" t="s">
        <v>114</v>
      </c>
      <c r="U61">
        <v>0.15</v>
      </c>
      <c r="V61">
        <v>4.5999999999999996</v>
      </c>
      <c r="W61">
        <v>0.3</v>
      </c>
      <c r="Y61">
        <v>2</v>
      </c>
      <c r="Z61">
        <f t="shared" ref="Z61:Z70" si="8">((U61*V61)+(U61+W61)*2+(V61*W61*2))*Y61*$X$73</f>
        <v>8.6999999999999994E-3</v>
      </c>
      <c r="AA61">
        <f t="shared" ref="AA61:AA69" si="9">U61*V61*Y61*$X$74/2</f>
        <v>1.3799999999999999E-3</v>
      </c>
      <c r="AB61">
        <f t="shared" ref="AB61:AB70" si="10">U61*$V$75*$X$75*Y61</f>
        <v>6.1499999999999991E-5</v>
      </c>
      <c r="AC61">
        <f t="shared" ref="AC61:AC70" si="11">U61*$V$76*$X$76*Y61</f>
        <v>1.8449999999999999E-4</v>
      </c>
      <c r="AD61">
        <f t="shared" ref="AD61:AD70" si="12">(V61-0.32)*$U$77*$W$77*Y61</f>
        <v>4.2799999999999998E-2</v>
      </c>
    </row>
    <row r="62" spans="1:30" x14ac:dyDescent="0.3">
      <c r="A62" t="s">
        <v>89</v>
      </c>
      <c r="B62" t="s">
        <v>96</v>
      </c>
      <c r="D62">
        <v>10.52</v>
      </c>
      <c r="G62" s="4" t="s">
        <v>99</v>
      </c>
      <c r="H62" s="4">
        <f t="shared" si="7"/>
        <v>0</v>
      </c>
      <c r="S62" t="s">
        <v>114</v>
      </c>
      <c r="U62">
        <v>0.15</v>
      </c>
      <c r="V62">
        <v>4.4000000000000004</v>
      </c>
      <c r="W62">
        <v>0.3</v>
      </c>
      <c r="Y62">
        <v>1</v>
      </c>
      <c r="Z62">
        <f t="shared" si="8"/>
        <v>4.2000000000000006E-3</v>
      </c>
      <c r="AA62">
        <f t="shared" si="9"/>
        <v>6.6E-4</v>
      </c>
      <c r="AB62">
        <f t="shared" si="10"/>
        <v>3.0749999999999995E-5</v>
      </c>
      <c r="AC62">
        <f t="shared" si="11"/>
        <v>9.2249999999999993E-5</v>
      </c>
      <c r="AD62">
        <f t="shared" si="12"/>
        <v>2.0400000000000001E-2</v>
      </c>
    </row>
    <row r="63" spans="1:30" x14ac:dyDescent="0.3">
      <c r="A63" t="s">
        <v>126</v>
      </c>
      <c r="B63" t="s">
        <v>96</v>
      </c>
      <c r="D63">
        <v>10.27</v>
      </c>
      <c r="G63" s="4" t="s">
        <v>95</v>
      </c>
      <c r="H63" s="4">
        <f t="shared" si="7"/>
        <v>0</v>
      </c>
      <c r="S63" t="s">
        <v>114</v>
      </c>
      <c r="U63">
        <v>0.15</v>
      </c>
      <c r="V63">
        <v>3.8</v>
      </c>
      <c r="W63">
        <v>0.3</v>
      </c>
      <c r="Y63">
        <v>2</v>
      </c>
      <c r="Z63">
        <f t="shared" si="8"/>
        <v>7.4999999999999989E-3</v>
      </c>
      <c r="AA63">
        <f t="shared" si="9"/>
        <v>1.14E-3</v>
      </c>
      <c r="AB63">
        <f t="shared" si="10"/>
        <v>6.1499999999999991E-5</v>
      </c>
      <c r="AC63">
        <f t="shared" si="11"/>
        <v>1.8449999999999999E-4</v>
      </c>
      <c r="AD63">
        <f t="shared" si="12"/>
        <v>3.4800000000000005E-2</v>
      </c>
    </row>
    <row r="64" spans="1:30" x14ac:dyDescent="0.3">
      <c r="A64" t="s">
        <v>89</v>
      </c>
      <c r="B64" t="s">
        <v>107</v>
      </c>
      <c r="D64">
        <v>14.46</v>
      </c>
      <c r="G64" s="4" t="s">
        <v>100</v>
      </c>
      <c r="H64" s="4">
        <f t="shared" si="7"/>
        <v>0</v>
      </c>
      <c r="S64" t="s">
        <v>114</v>
      </c>
      <c r="U64">
        <v>0.15</v>
      </c>
      <c r="V64">
        <v>3.6</v>
      </c>
      <c r="W64">
        <v>0.3</v>
      </c>
      <c r="Y64">
        <v>7</v>
      </c>
      <c r="Z64">
        <f t="shared" si="8"/>
        <v>2.52E-2</v>
      </c>
      <c r="AA64">
        <f t="shared" si="9"/>
        <v>3.7800000000000004E-3</v>
      </c>
      <c r="AB64">
        <f t="shared" si="10"/>
        <v>2.1524999999999997E-4</v>
      </c>
      <c r="AC64">
        <f t="shared" si="11"/>
        <v>6.4574999999999995E-4</v>
      </c>
      <c r="AD64">
        <f t="shared" si="12"/>
        <v>0.11480000000000004</v>
      </c>
    </row>
    <row r="65" spans="1:30" x14ac:dyDescent="0.3">
      <c r="A65" t="s">
        <v>126</v>
      </c>
      <c r="B65" t="s">
        <v>107</v>
      </c>
      <c r="D65">
        <v>14.22</v>
      </c>
      <c r="G65" s="4" t="s">
        <v>93</v>
      </c>
      <c r="H65" s="4">
        <f t="shared" si="7"/>
        <v>0</v>
      </c>
      <c r="S65" t="s">
        <v>114</v>
      </c>
      <c r="U65">
        <v>0.15</v>
      </c>
      <c r="V65">
        <v>3.4</v>
      </c>
      <c r="W65">
        <v>0.3</v>
      </c>
      <c r="Y65">
        <v>10</v>
      </c>
      <c r="Z65">
        <f t="shared" si="8"/>
        <v>3.4500000000000003E-2</v>
      </c>
      <c r="AA65">
        <f t="shared" si="9"/>
        <v>5.0999999999999995E-3</v>
      </c>
      <c r="AB65">
        <f t="shared" si="10"/>
        <v>3.0749999999999994E-4</v>
      </c>
      <c r="AC65">
        <f t="shared" si="11"/>
        <v>9.2249999999999993E-4</v>
      </c>
      <c r="AD65">
        <f t="shared" si="12"/>
        <v>0.15400000000000003</v>
      </c>
    </row>
    <row r="66" spans="1:30" x14ac:dyDescent="0.3">
      <c r="A66" t="s">
        <v>89</v>
      </c>
      <c r="B66" t="s">
        <v>106</v>
      </c>
      <c r="D66">
        <v>8.84</v>
      </c>
      <c r="G66" s="4" t="s">
        <v>94</v>
      </c>
      <c r="H66" s="4">
        <f t="shared" si="7"/>
        <v>0</v>
      </c>
      <c r="S66" t="s">
        <v>114</v>
      </c>
      <c r="U66">
        <v>0.15</v>
      </c>
      <c r="V66">
        <v>3.2</v>
      </c>
      <c r="W66">
        <v>0.3</v>
      </c>
      <c r="Y66">
        <v>2</v>
      </c>
      <c r="Z66">
        <f t="shared" si="8"/>
        <v>6.6E-3</v>
      </c>
      <c r="AA66">
        <f t="shared" si="9"/>
        <v>9.6000000000000002E-4</v>
      </c>
      <c r="AB66">
        <f t="shared" si="10"/>
        <v>6.1499999999999991E-5</v>
      </c>
      <c r="AC66">
        <f t="shared" si="11"/>
        <v>1.8449999999999999E-4</v>
      </c>
      <c r="AD66">
        <f t="shared" si="12"/>
        <v>2.8800000000000006E-2</v>
      </c>
    </row>
    <row r="67" spans="1:30" x14ac:dyDescent="0.3">
      <c r="A67" t="s">
        <v>126</v>
      </c>
      <c r="B67" t="s">
        <v>106</v>
      </c>
      <c r="D67">
        <v>8.57</v>
      </c>
      <c r="G67" s="4" t="s">
        <v>97</v>
      </c>
      <c r="H67" s="4">
        <f t="shared" si="7"/>
        <v>77.86</v>
      </c>
      <c r="S67" t="s">
        <v>114</v>
      </c>
      <c r="U67">
        <v>0.15</v>
      </c>
      <c r="V67">
        <v>3</v>
      </c>
      <c r="W67">
        <v>0.3</v>
      </c>
      <c r="Y67">
        <v>6</v>
      </c>
      <c r="Z67">
        <f t="shared" si="8"/>
        <v>1.89E-2</v>
      </c>
      <c r="AA67">
        <f t="shared" si="9"/>
        <v>2.6999999999999997E-3</v>
      </c>
      <c r="AB67">
        <f t="shared" si="10"/>
        <v>1.8449999999999999E-4</v>
      </c>
      <c r="AC67">
        <f t="shared" si="11"/>
        <v>5.5349999999999996E-4</v>
      </c>
      <c r="AD67">
        <f t="shared" si="12"/>
        <v>8.0400000000000013E-2</v>
      </c>
    </row>
    <row r="68" spans="1:30" x14ac:dyDescent="0.3">
      <c r="A68" t="s">
        <v>89</v>
      </c>
      <c r="B68" t="s">
        <v>96</v>
      </c>
      <c r="D68">
        <v>13.57</v>
      </c>
      <c r="G68" s="4" t="s">
        <v>107</v>
      </c>
      <c r="H68" s="4">
        <f t="shared" si="7"/>
        <v>85.82</v>
      </c>
      <c r="S68" t="s">
        <v>114</v>
      </c>
      <c r="U68">
        <v>0.15</v>
      </c>
      <c r="V68">
        <v>2.8</v>
      </c>
      <c r="W68">
        <v>0.3</v>
      </c>
      <c r="Y68">
        <v>7</v>
      </c>
      <c r="Z68">
        <f t="shared" si="8"/>
        <v>2.1000000000000001E-2</v>
      </c>
      <c r="AA68">
        <f t="shared" si="9"/>
        <v>2.9399999999999999E-3</v>
      </c>
      <c r="AB68">
        <f t="shared" si="10"/>
        <v>2.1524999999999997E-4</v>
      </c>
      <c r="AC68">
        <f t="shared" si="11"/>
        <v>6.4574999999999995E-4</v>
      </c>
      <c r="AD68">
        <f t="shared" si="12"/>
        <v>8.6800000000000016E-2</v>
      </c>
    </row>
    <row r="69" spans="1:30" x14ac:dyDescent="0.3">
      <c r="A69" t="s">
        <v>126</v>
      </c>
      <c r="B69" t="s">
        <v>96</v>
      </c>
      <c r="D69">
        <v>13.57</v>
      </c>
      <c r="G69" s="4" t="s">
        <v>106</v>
      </c>
      <c r="H69" s="4">
        <f t="shared" si="7"/>
        <v>155.01999999999998</v>
      </c>
      <c r="S69" t="s">
        <v>114</v>
      </c>
      <c r="U69">
        <v>0.15</v>
      </c>
      <c r="V69">
        <v>2.4</v>
      </c>
      <c r="W69">
        <v>0.3</v>
      </c>
      <c r="Y69">
        <v>1</v>
      </c>
      <c r="Z69">
        <f t="shared" si="8"/>
        <v>2.6999999999999997E-3</v>
      </c>
      <c r="AA69">
        <f t="shared" si="9"/>
        <v>3.5999999999999997E-4</v>
      </c>
      <c r="AB69">
        <f t="shared" si="10"/>
        <v>3.0749999999999995E-5</v>
      </c>
      <c r="AC69">
        <f t="shared" si="11"/>
        <v>9.2249999999999993E-5</v>
      </c>
      <c r="AD69">
        <f t="shared" si="12"/>
        <v>1.0400000000000001E-2</v>
      </c>
    </row>
    <row r="70" spans="1:30" x14ac:dyDescent="0.3">
      <c r="A70" t="s">
        <v>128</v>
      </c>
      <c r="B70" t="s">
        <v>96</v>
      </c>
      <c r="D70">
        <f>E70*9</f>
        <v>7.6499999999999995</v>
      </c>
      <c r="E70">
        <v>0.85</v>
      </c>
      <c r="G70" s="4" t="s">
        <v>96</v>
      </c>
      <c r="H70" s="4">
        <f t="shared" si="7"/>
        <v>383.12200000000007</v>
      </c>
      <c r="S70" t="s">
        <v>114</v>
      </c>
      <c r="U70">
        <v>0.15</v>
      </c>
      <c r="V70">
        <v>2.2000000000000002</v>
      </c>
      <c r="W70">
        <v>0.3</v>
      </c>
      <c r="Y70">
        <v>1</v>
      </c>
      <c r="Z70">
        <f t="shared" si="8"/>
        <v>2.5499999999999997E-3</v>
      </c>
      <c r="AA70">
        <f>U70*V70*Y70*$X$74/2</f>
        <v>3.3E-4</v>
      </c>
      <c r="AB70">
        <f t="shared" si="10"/>
        <v>3.0749999999999995E-5</v>
      </c>
      <c r="AC70">
        <f t="shared" si="11"/>
        <v>9.2249999999999993E-5</v>
      </c>
      <c r="AD70">
        <f t="shared" si="12"/>
        <v>9.4000000000000021E-3</v>
      </c>
    </row>
    <row r="71" spans="1:30" x14ac:dyDescent="0.3">
      <c r="A71" t="s">
        <v>129</v>
      </c>
      <c r="B71" t="s">
        <v>96</v>
      </c>
      <c r="D71">
        <f>E71*9</f>
        <v>9</v>
      </c>
      <c r="E71">
        <v>1</v>
      </c>
      <c r="H71" s="4"/>
      <c r="X71" s="4" t="s">
        <v>115</v>
      </c>
      <c r="Y71" s="4">
        <f>SUM(Y60:Y70)</f>
        <v>56</v>
      </c>
      <c r="Z71" s="4">
        <f>SUM(Z60:Z70)</f>
        <v>0.20834999999999998</v>
      </c>
      <c r="AA71" s="4">
        <f>SUM(AA60:AA70)</f>
        <v>3.159E-2</v>
      </c>
      <c r="AB71" s="4">
        <f t="shared" ref="AB71:AD71" si="13">SUM(AB60:AB70)</f>
        <v>1.7219999999999996E-3</v>
      </c>
      <c r="AC71" s="4">
        <f t="shared" si="13"/>
        <v>5.1660000000000005E-3</v>
      </c>
      <c r="AD71" s="4">
        <f t="shared" si="13"/>
        <v>0.96340000000000003</v>
      </c>
    </row>
    <row r="72" spans="1:30" x14ac:dyDescent="0.3">
      <c r="A72" t="s">
        <v>128</v>
      </c>
      <c r="B72" t="s">
        <v>96</v>
      </c>
      <c r="D72">
        <f>E72*3</f>
        <v>1.17</v>
      </c>
      <c r="E72">
        <v>0.39</v>
      </c>
    </row>
    <row r="73" spans="1:30" x14ac:dyDescent="0.3">
      <c r="A73" t="s">
        <v>129</v>
      </c>
      <c r="B73" t="s">
        <v>96</v>
      </c>
      <c r="D73">
        <f>E73*3</f>
        <v>1.62</v>
      </c>
      <c r="E73">
        <v>0.54</v>
      </c>
      <c r="S73" t="s">
        <v>191</v>
      </c>
      <c r="T73" t="s">
        <v>198</v>
      </c>
      <c r="X73">
        <v>1E-3</v>
      </c>
    </row>
    <row r="74" spans="1:30" x14ac:dyDescent="0.3">
      <c r="S74" t="s">
        <v>194</v>
      </c>
      <c r="T74" t="s">
        <v>193</v>
      </c>
      <c r="X74">
        <v>2E-3</v>
      </c>
    </row>
    <row r="75" spans="1:30" x14ac:dyDescent="0.3">
      <c r="A75" s="4" t="s">
        <v>123</v>
      </c>
      <c r="S75" t="s">
        <v>192</v>
      </c>
      <c r="T75" t="s">
        <v>12</v>
      </c>
      <c r="V75">
        <v>0.20499999999999999</v>
      </c>
      <c r="X75">
        <v>1E-3</v>
      </c>
    </row>
    <row r="76" spans="1:30" x14ac:dyDescent="0.3">
      <c r="A76" t="s">
        <v>133</v>
      </c>
      <c r="B76" t="s">
        <v>107</v>
      </c>
      <c r="D76">
        <v>7.78</v>
      </c>
      <c r="S76" t="s">
        <v>36</v>
      </c>
      <c r="T76" t="s">
        <v>199</v>
      </c>
      <c r="V76">
        <v>0.20499999999999999</v>
      </c>
      <c r="X76">
        <v>3.0000000000000001E-3</v>
      </c>
    </row>
    <row r="77" spans="1:30" x14ac:dyDescent="0.3">
      <c r="A77" t="s">
        <v>134</v>
      </c>
      <c r="B77" t="s">
        <v>106</v>
      </c>
      <c r="D77">
        <f>E77*2</f>
        <v>60.66</v>
      </c>
      <c r="E77">
        <v>30.33</v>
      </c>
      <c r="S77" t="s">
        <v>195</v>
      </c>
      <c r="T77" t="s">
        <v>196</v>
      </c>
      <c r="U77">
        <v>0.1</v>
      </c>
      <c r="W77">
        <v>0.05</v>
      </c>
    </row>
    <row r="78" spans="1:30" x14ac:dyDescent="0.3">
      <c r="B78" t="s">
        <v>96</v>
      </c>
      <c r="D78">
        <f>E78*2</f>
        <v>54.8</v>
      </c>
      <c r="E78">
        <v>27.4</v>
      </c>
    </row>
    <row r="79" spans="1:30" x14ac:dyDescent="0.3">
      <c r="B79" t="s">
        <v>96</v>
      </c>
      <c r="D79">
        <f>E79*2</f>
        <v>34.78</v>
      </c>
      <c r="E79">
        <v>17.39</v>
      </c>
    </row>
    <row r="80" spans="1:30" x14ac:dyDescent="0.3">
      <c r="B80" t="s">
        <v>96</v>
      </c>
      <c r="D80">
        <f>E80*2</f>
        <v>18.692</v>
      </c>
      <c r="E80">
        <v>9.3460000000000001</v>
      </c>
    </row>
    <row r="81" spans="1:27" x14ac:dyDescent="0.3">
      <c r="A81" t="s">
        <v>130</v>
      </c>
      <c r="B81" t="s">
        <v>96</v>
      </c>
      <c r="D81">
        <f>E81*6</f>
        <v>4.8000000000000007</v>
      </c>
      <c r="E81">
        <v>0.8</v>
      </c>
    </row>
    <row r="82" spans="1:27" x14ac:dyDescent="0.3">
      <c r="B82" t="s">
        <v>96</v>
      </c>
      <c r="D82">
        <f>E82*6</f>
        <v>3.9000000000000004</v>
      </c>
      <c r="E82">
        <v>0.65</v>
      </c>
    </row>
    <row r="83" spans="1:27" x14ac:dyDescent="0.3">
      <c r="B83" t="s">
        <v>96</v>
      </c>
      <c r="D83">
        <f>E83*2</f>
        <v>0.8</v>
      </c>
      <c r="E83">
        <v>0.4</v>
      </c>
    </row>
    <row r="84" spans="1:27" x14ac:dyDescent="0.3">
      <c r="B84" t="s">
        <v>96</v>
      </c>
      <c r="D84">
        <f>E84*2</f>
        <v>0.3</v>
      </c>
      <c r="E84">
        <v>0.15</v>
      </c>
      <c r="S84" s="12" t="s">
        <v>165</v>
      </c>
      <c r="T84" s="12"/>
      <c r="U84" s="12"/>
      <c r="V84" s="12"/>
      <c r="W84" s="12"/>
      <c r="X84" s="12"/>
      <c r="Y84" s="12"/>
      <c r="Z84" s="12"/>
      <c r="AA84" s="12"/>
    </row>
    <row r="85" spans="1:27" x14ac:dyDescent="0.3">
      <c r="S85" t="s">
        <v>119</v>
      </c>
      <c r="U85">
        <v>1.8</v>
      </c>
      <c r="V85">
        <v>0.49</v>
      </c>
      <c r="W85">
        <v>0.16</v>
      </c>
      <c r="Y85">
        <v>2</v>
      </c>
    </row>
    <row r="86" spans="1:27" x14ac:dyDescent="0.3">
      <c r="A86" s="4" t="s">
        <v>121</v>
      </c>
      <c r="S86" t="s">
        <v>119</v>
      </c>
      <c r="U86">
        <v>2</v>
      </c>
      <c r="V86">
        <v>0.8</v>
      </c>
      <c r="W86">
        <v>0.16</v>
      </c>
      <c r="Y86">
        <v>2</v>
      </c>
    </row>
    <row r="87" spans="1:27" x14ac:dyDescent="0.3">
      <c r="A87" t="s">
        <v>133</v>
      </c>
      <c r="B87" t="s">
        <v>135</v>
      </c>
      <c r="S87" t="s">
        <v>119</v>
      </c>
      <c r="U87">
        <v>2</v>
      </c>
      <c r="V87">
        <v>0.24</v>
      </c>
      <c r="W87">
        <v>0.95</v>
      </c>
      <c r="Y87">
        <v>2</v>
      </c>
    </row>
    <row r="88" spans="1:27" x14ac:dyDescent="0.3">
      <c r="A88" t="s">
        <v>134</v>
      </c>
      <c r="B88" t="s">
        <v>97</v>
      </c>
      <c r="D88">
        <f t="shared" ref="D88:D93" si="14">E88*2</f>
        <v>17.86</v>
      </c>
      <c r="E88">
        <v>8.93</v>
      </c>
    </row>
    <row r="89" spans="1:27" x14ac:dyDescent="0.3">
      <c r="B89" t="s">
        <v>96</v>
      </c>
      <c r="D89">
        <f t="shared" si="14"/>
        <v>23.22</v>
      </c>
      <c r="E89">
        <v>11.61</v>
      </c>
    </row>
    <row r="90" spans="1:27" x14ac:dyDescent="0.3">
      <c r="B90" t="s">
        <v>97</v>
      </c>
      <c r="D90">
        <f t="shared" si="14"/>
        <v>24.2</v>
      </c>
      <c r="E90">
        <v>12.1</v>
      </c>
    </row>
    <row r="91" spans="1:27" x14ac:dyDescent="0.3">
      <c r="B91" t="s">
        <v>107</v>
      </c>
      <c r="D91">
        <f t="shared" si="14"/>
        <v>26.36</v>
      </c>
      <c r="E91">
        <v>13.18</v>
      </c>
    </row>
    <row r="92" spans="1:27" x14ac:dyDescent="0.3">
      <c r="B92" t="s">
        <v>106</v>
      </c>
      <c r="D92">
        <f t="shared" si="14"/>
        <v>24.24</v>
      </c>
      <c r="E92">
        <v>12.12</v>
      </c>
    </row>
    <row r="93" spans="1:27" x14ac:dyDescent="0.3">
      <c r="B93" t="s">
        <v>96</v>
      </c>
      <c r="D93">
        <f t="shared" si="14"/>
        <v>27.94</v>
      </c>
      <c r="E93">
        <v>13.97</v>
      </c>
    </row>
    <row r="94" spans="1:27" x14ac:dyDescent="0.3">
      <c r="A94" t="s">
        <v>130</v>
      </c>
      <c r="B94" t="s">
        <v>96</v>
      </c>
      <c r="D94">
        <f>E94*12</f>
        <v>10.199999999999999</v>
      </c>
      <c r="E94">
        <v>0.85</v>
      </c>
    </row>
    <row r="95" spans="1:27" x14ac:dyDescent="0.3">
      <c r="B95" t="s">
        <v>96</v>
      </c>
      <c r="D95">
        <f>E95*12</f>
        <v>12</v>
      </c>
      <c r="E95">
        <v>1</v>
      </c>
    </row>
    <row r="96" spans="1:27" x14ac:dyDescent="0.3">
      <c r="B96" t="s">
        <v>96</v>
      </c>
      <c r="D96">
        <f>E96*4</f>
        <v>5.6</v>
      </c>
      <c r="E96">
        <v>1.4</v>
      </c>
    </row>
    <row r="97" spans="1:5" x14ac:dyDescent="0.3">
      <c r="B97" t="s">
        <v>96</v>
      </c>
      <c r="D97">
        <f>E97*4</f>
        <v>5</v>
      </c>
      <c r="E97">
        <v>1.25</v>
      </c>
    </row>
    <row r="99" spans="1:5" x14ac:dyDescent="0.3">
      <c r="A99" s="4" t="s">
        <v>131</v>
      </c>
    </row>
    <row r="100" spans="1:5" x14ac:dyDescent="0.3">
      <c r="A100" t="s">
        <v>133</v>
      </c>
      <c r="B100" t="s">
        <v>106</v>
      </c>
      <c r="D100">
        <v>15.63</v>
      </c>
    </row>
    <row r="101" spans="1:5" x14ac:dyDescent="0.3">
      <c r="A101" t="s">
        <v>134</v>
      </c>
      <c r="B101" t="s">
        <v>96</v>
      </c>
      <c r="D101">
        <f>E101*2</f>
        <v>16.32</v>
      </c>
      <c r="E101">
        <v>8.16</v>
      </c>
    </row>
    <row r="102" spans="1:5" x14ac:dyDescent="0.3">
      <c r="B102" t="s">
        <v>106</v>
      </c>
      <c r="D102">
        <f>E102*2</f>
        <v>10.6</v>
      </c>
      <c r="E102">
        <v>5.3</v>
      </c>
    </row>
    <row r="103" spans="1:5" x14ac:dyDescent="0.3">
      <c r="B103" t="s">
        <v>96</v>
      </c>
      <c r="D103">
        <f>E103*2</f>
        <v>8.42</v>
      </c>
      <c r="E103">
        <v>4.21</v>
      </c>
    </row>
    <row r="104" spans="1:5" x14ac:dyDescent="0.3">
      <c r="A104" t="s">
        <v>130</v>
      </c>
      <c r="B104" t="s">
        <v>96</v>
      </c>
      <c r="D104">
        <f>E104*4</f>
        <v>4</v>
      </c>
      <c r="E104">
        <v>1</v>
      </c>
    </row>
    <row r="105" spans="1:5" x14ac:dyDescent="0.3">
      <c r="B105" t="s">
        <v>96</v>
      </c>
      <c r="D105">
        <f>E105*4</f>
        <v>3.4</v>
      </c>
      <c r="E105">
        <v>0.85</v>
      </c>
    </row>
    <row r="106" spans="1:5" x14ac:dyDescent="0.3">
      <c r="B106" t="s">
        <v>96</v>
      </c>
      <c r="D106">
        <f>E106*2</f>
        <v>1.2</v>
      </c>
      <c r="E106">
        <v>0.6</v>
      </c>
    </row>
    <row r="107" spans="1:5" x14ac:dyDescent="0.3">
      <c r="B107" t="s">
        <v>96</v>
      </c>
      <c r="D107">
        <f>E107*2</f>
        <v>0.8</v>
      </c>
      <c r="E107">
        <v>0.4</v>
      </c>
    </row>
    <row r="109" spans="1:5" x14ac:dyDescent="0.3">
      <c r="A109" s="4" t="s">
        <v>108</v>
      </c>
    </row>
    <row r="110" spans="1:5" x14ac:dyDescent="0.3">
      <c r="A110" t="s">
        <v>133</v>
      </c>
      <c r="B110" t="s">
        <v>97</v>
      </c>
      <c r="D110">
        <v>19.36</v>
      </c>
    </row>
    <row r="111" spans="1:5" x14ac:dyDescent="0.3">
      <c r="A111" t="s">
        <v>134</v>
      </c>
      <c r="B111" t="s">
        <v>96</v>
      </c>
      <c r="D111">
        <f>E111*2</f>
        <v>25.36</v>
      </c>
      <c r="E111">
        <v>12.68</v>
      </c>
    </row>
    <row r="112" spans="1:5" x14ac:dyDescent="0.3">
      <c r="B112" t="s">
        <v>127</v>
      </c>
      <c r="D112">
        <f>E112*2</f>
        <v>23</v>
      </c>
      <c r="E112">
        <v>11.5</v>
      </c>
    </row>
    <row r="113" spans="1:62" x14ac:dyDescent="0.3">
      <c r="B113" t="s">
        <v>106</v>
      </c>
      <c r="D113">
        <f>E113*2</f>
        <v>26.48</v>
      </c>
      <c r="E113">
        <v>13.24</v>
      </c>
    </row>
    <row r="114" spans="1:62" x14ac:dyDescent="0.3">
      <c r="B114" t="s">
        <v>96</v>
      </c>
      <c r="D114">
        <f>E114*2</f>
        <v>23.96</v>
      </c>
      <c r="E114">
        <v>11.98</v>
      </c>
    </row>
    <row r="115" spans="1:62" x14ac:dyDescent="0.3">
      <c r="A115" t="s">
        <v>130</v>
      </c>
      <c r="B115" t="s">
        <v>96</v>
      </c>
      <c r="D115">
        <f>E115*4</f>
        <v>4.5999999999999996</v>
      </c>
      <c r="E115">
        <v>1.1499999999999999</v>
      </c>
    </row>
    <row r="116" spans="1:62" x14ac:dyDescent="0.3">
      <c r="B116" t="s">
        <v>96</v>
      </c>
      <c r="D116">
        <f>E116*4</f>
        <v>4</v>
      </c>
      <c r="E116">
        <v>1</v>
      </c>
    </row>
    <row r="117" spans="1:62" x14ac:dyDescent="0.3">
      <c r="B117" t="s">
        <v>96</v>
      </c>
      <c r="D117">
        <f>E117*4</f>
        <v>5.6</v>
      </c>
      <c r="E117">
        <v>1.4</v>
      </c>
    </row>
    <row r="118" spans="1:62" x14ac:dyDescent="0.3">
      <c r="B118" t="s">
        <v>96</v>
      </c>
      <c r="D118">
        <f>E118*4</f>
        <v>4.96</v>
      </c>
      <c r="E118">
        <v>1.24</v>
      </c>
    </row>
    <row r="119" spans="1:62" x14ac:dyDescent="0.3">
      <c r="B119" t="s">
        <v>96</v>
      </c>
      <c r="D119">
        <f>E119*6</f>
        <v>6</v>
      </c>
      <c r="E119">
        <v>1</v>
      </c>
    </row>
    <row r="120" spans="1:62" x14ac:dyDescent="0.3">
      <c r="B120" t="s">
        <v>96</v>
      </c>
      <c r="D120">
        <f>E120*6</f>
        <v>5.0999999999999996</v>
      </c>
      <c r="E120">
        <v>0.85</v>
      </c>
    </row>
    <row r="124" spans="1:62" x14ac:dyDescent="0.3">
      <c r="A124" s="12" t="s">
        <v>105</v>
      </c>
      <c r="B124" s="12"/>
      <c r="C124" s="12"/>
      <c r="D124" s="12"/>
      <c r="E124" s="12"/>
      <c r="F124" s="12"/>
      <c r="G124" s="12"/>
      <c r="H124" s="12"/>
      <c r="I124" s="12"/>
      <c r="K124" s="12" t="s">
        <v>112</v>
      </c>
      <c r="L124" s="12"/>
      <c r="M124" s="12"/>
      <c r="N124" s="12"/>
      <c r="O124" s="12"/>
      <c r="P124" s="12"/>
      <c r="Q124" s="12"/>
      <c r="R124" s="12"/>
      <c r="S124" s="12"/>
      <c r="U124" s="12" t="s">
        <v>116</v>
      </c>
      <c r="V124" s="12"/>
      <c r="W124" s="12"/>
      <c r="X124" s="12"/>
      <c r="Y124" s="12"/>
      <c r="Z124" s="12"/>
      <c r="AA124" s="12"/>
      <c r="AB124" s="12"/>
      <c r="AC124" s="12"/>
      <c r="AE124" s="12" t="s">
        <v>117</v>
      </c>
      <c r="AF124" s="12"/>
      <c r="AG124" s="12"/>
      <c r="AH124" s="12"/>
      <c r="AI124" s="12"/>
      <c r="AJ124" s="12"/>
      <c r="AK124" s="12"/>
      <c r="AL124" s="12"/>
      <c r="AM124" s="12"/>
      <c r="AO124" s="12" t="s">
        <v>118</v>
      </c>
      <c r="AP124" s="12"/>
      <c r="AQ124" s="12"/>
      <c r="AR124" s="12"/>
      <c r="AS124" s="12"/>
      <c r="AT124" s="12"/>
      <c r="AU124" s="12"/>
      <c r="AV124" s="12"/>
      <c r="AW124" s="12"/>
      <c r="AY124" s="12" t="s">
        <v>122</v>
      </c>
      <c r="AZ124" s="12"/>
      <c r="BA124" s="12"/>
      <c r="BB124" s="12"/>
      <c r="BC124" s="12"/>
      <c r="BD124" s="12"/>
      <c r="BE124" s="12"/>
      <c r="BF124" s="12"/>
      <c r="BG124" s="12"/>
      <c r="BI124" s="21" t="s">
        <v>155</v>
      </c>
      <c r="BJ124" s="21"/>
    </row>
    <row r="125" spans="1:62" x14ac:dyDescent="0.3">
      <c r="A125" s="2" t="s">
        <v>67</v>
      </c>
      <c r="B125" s="2" t="s">
        <v>88</v>
      </c>
      <c r="C125" s="2" t="s">
        <v>47</v>
      </c>
      <c r="D125" s="2" t="s">
        <v>48</v>
      </c>
      <c r="E125" s="2" t="s">
        <v>77</v>
      </c>
      <c r="F125" s="2" t="s">
        <v>82</v>
      </c>
      <c r="G125" s="13" t="s">
        <v>88</v>
      </c>
      <c r="H125" s="13" t="s">
        <v>115</v>
      </c>
      <c r="I125" s="2"/>
      <c r="K125" s="2" t="s">
        <v>67</v>
      </c>
      <c r="L125" s="2" t="s">
        <v>88</v>
      </c>
      <c r="M125" s="2" t="s">
        <v>47</v>
      </c>
      <c r="N125" s="2" t="s">
        <v>48</v>
      </c>
      <c r="O125" s="2" t="s">
        <v>77</v>
      </c>
      <c r="P125" s="2" t="s">
        <v>82</v>
      </c>
      <c r="Q125" s="14" t="s">
        <v>88</v>
      </c>
      <c r="R125" s="14" t="s">
        <v>115</v>
      </c>
      <c r="S125" s="2"/>
      <c r="U125" s="2" t="s">
        <v>67</v>
      </c>
      <c r="V125" s="2" t="s">
        <v>88</v>
      </c>
      <c r="W125" s="2" t="s">
        <v>47</v>
      </c>
      <c r="X125" s="2" t="s">
        <v>48</v>
      </c>
      <c r="Y125" s="2" t="s">
        <v>77</v>
      </c>
      <c r="Z125" s="2" t="s">
        <v>82</v>
      </c>
      <c r="AA125" s="14" t="s">
        <v>88</v>
      </c>
      <c r="AB125" s="14" t="s">
        <v>115</v>
      </c>
      <c r="AC125" s="2"/>
      <c r="AE125" s="2" t="s">
        <v>67</v>
      </c>
      <c r="AF125" s="2" t="s">
        <v>88</v>
      </c>
      <c r="AG125" s="2" t="s">
        <v>47</v>
      </c>
      <c r="AH125" s="2" t="s">
        <v>48</v>
      </c>
      <c r="AI125" s="2" t="s">
        <v>77</v>
      </c>
      <c r="AJ125" s="2" t="s">
        <v>82</v>
      </c>
      <c r="AK125" s="14" t="s">
        <v>88</v>
      </c>
      <c r="AL125" s="14" t="s">
        <v>115</v>
      </c>
      <c r="AM125" s="2"/>
      <c r="AO125" s="2" t="s">
        <v>67</v>
      </c>
      <c r="AP125" s="2" t="s">
        <v>88</v>
      </c>
      <c r="AQ125" s="2" t="s">
        <v>47</v>
      </c>
      <c r="AR125" s="2" t="s">
        <v>48</v>
      </c>
      <c r="AS125" s="2" t="s">
        <v>77</v>
      </c>
      <c r="AT125" s="2" t="s">
        <v>82</v>
      </c>
      <c r="AU125" s="14" t="s">
        <v>88</v>
      </c>
      <c r="AV125" s="14" t="s">
        <v>115</v>
      </c>
      <c r="AW125" s="2"/>
      <c r="AY125" s="2" t="s">
        <v>67</v>
      </c>
      <c r="AZ125" s="2" t="s">
        <v>88</v>
      </c>
      <c r="BA125" s="2" t="s">
        <v>47</v>
      </c>
      <c r="BB125" s="2" t="s">
        <v>48</v>
      </c>
      <c r="BC125" s="2" t="s">
        <v>77</v>
      </c>
      <c r="BD125" s="2" t="s">
        <v>82</v>
      </c>
      <c r="BE125" s="14" t="s">
        <v>88</v>
      </c>
      <c r="BF125" s="14" t="s">
        <v>115</v>
      </c>
      <c r="BG125" s="2"/>
      <c r="BI125" s="22" t="s">
        <v>88</v>
      </c>
      <c r="BJ125" s="22" t="s">
        <v>115</v>
      </c>
    </row>
    <row r="126" spans="1:62" x14ac:dyDescent="0.3">
      <c r="A126" s="12" t="s">
        <v>109</v>
      </c>
      <c r="B126" s="12"/>
      <c r="C126" s="12"/>
      <c r="D126" s="12"/>
      <c r="G126" s="4" t="s">
        <v>78</v>
      </c>
      <c r="H126" s="4">
        <f>SUMIF($B$127:$B$164,G126,$D$127:$D$164)</f>
        <v>0</v>
      </c>
      <c r="K126" s="12" t="s">
        <v>109</v>
      </c>
      <c r="L126" s="12"/>
      <c r="M126" s="12"/>
      <c r="N126" s="12"/>
      <c r="Q126" s="4" t="s">
        <v>78</v>
      </c>
      <c r="R126" s="4">
        <f>SUMIF($L$127:$L$164,Q126,$N$127:$N$164)</f>
        <v>0</v>
      </c>
      <c r="U126" s="12" t="s">
        <v>109</v>
      </c>
      <c r="V126" s="12"/>
      <c r="W126" s="12"/>
      <c r="X126" s="12"/>
      <c r="AA126" s="4" t="s">
        <v>78</v>
      </c>
      <c r="AB126" s="4">
        <f>SUMIF($V$127:$V$175,AA126,$X$127:$X$175)</f>
        <v>0</v>
      </c>
      <c r="AE126" s="12" t="s">
        <v>109</v>
      </c>
      <c r="AF126" s="12"/>
      <c r="AG126" s="12"/>
      <c r="AH126" s="12"/>
      <c r="AK126" s="4" t="s">
        <v>78</v>
      </c>
      <c r="AL126" s="4">
        <f>SUMIF($AF$127:$AF$175,AK126,$AH$127:$AH$175)</f>
        <v>0</v>
      </c>
      <c r="AO126" s="12" t="s">
        <v>109</v>
      </c>
      <c r="AP126" s="12"/>
      <c r="AQ126" s="12"/>
      <c r="AR126" s="12"/>
      <c r="AU126" s="4" t="s">
        <v>78</v>
      </c>
      <c r="AV126" s="4">
        <f>SUMIF($AP$127:$AP$171,AU126,$AR$127:$AR$171)</f>
        <v>0</v>
      </c>
      <c r="AY126" s="12" t="s">
        <v>109</v>
      </c>
      <c r="AZ126" s="12"/>
      <c r="BA126" s="12"/>
      <c r="BB126" s="12"/>
      <c r="BE126" s="4" t="s">
        <v>78</v>
      </c>
      <c r="BF126" s="4">
        <f>SUMIF($AZ$127:$AZ$171,BE126,$BB$127:$BB$171)</f>
        <v>0</v>
      </c>
      <c r="BI126" s="23" t="s">
        <v>78</v>
      </c>
      <c r="BJ126" s="21">
        <f>H126+R126+AB126+AL126+AV126+BF126</f>
        <v>0</v>
      </c>
    </row>
    <row r="127" spans="1:62" x14ac:dyDescent="0.3">
      <c r="B127" t="s">
        <v>94</v>
      </c>
      <c r="D127">
        <v>0.51</v>
      </c>
      <c r="G127" s="4" t="s">
        <v>90</v>
      </c>
      <c r="H127" s="4">
        <f t="shared" ref="H127:H136" si="15">SUMIF($B$127:$B$164,G127,$D$127:$D$164)</f>
        <v>0</v>
      </c>
      <c r="L127" t="s">
        <v>94</v>
      </c>
      <c r="N127">
        <v>0.51</v>
      </c>
      <c r="Q127" s="4" t="s">
        <v>90</v>
      </c>
      <c r="R127" s="4">
        <f t="shared" ref="R127:R136" si="16">SUMIF($L$127:$L$164,Q127,$N$127:$N$164)</f>
        <v>0</v>
      </c>
      <c r="V127" t="s">
        <v>95</v>
      </c>
      <c r="X127">
        <v>0.51</v>
      </c>
      <c r="AA127" s="4" t="s">
        <v>90</v>
      </c>
      <c r="AB127" s="4">
        <f t="shared" ref="AB127:AB136" si="17">SUMIF($V$127:$V$175,AA127,$X$127:$X$175)</f>
        <v>0</v>
      </c>
      <c r="AF127" t="s">
        <v>95</v>
      </c>
      <c r="AH127">
        <v>0.51</v>
      </c>
      <c r="AK127" s="4" t="s">
        <v>90</v>
      </c>
      <c r="AL127" s="4">
        <f t="shared" ref="AL127:AL136" si="18">SUMIF($AF$127:$AF$175,AK127,$AH$127:$AH$175)</f>
        <v>0</v>
      </c>
      <c r="AP127" t="s">
        <v>95</v>
      </c>
      <c r="AR127">
        <v>0.51</v>
      </c>
      <c r="AU127" s="4" t="s">
        <v>90</v>
      </c>
      <c r="AV127" s="4">
        <f t="shared" ref="AV127:AV136" si="19">SUMIF($AP$127:$AP$171,AU127,$AR$127:$AR$171)</f>
        <v>0</v>
      </c>
      <c r="AZ127" t="s">
        <v>95</v>
      </c>
      <c r="BB127">
        <v>0.51</v>
      </c>
      <c r="BE127" s="4" t="s">
        <v>90</v>
      </c>
      <c r="BF127" s="4">
        <f t="shared" ref="BF127:BF135" si="20">SUMIF($AZ$127:$AZ$171,BE127,$BB$127:$BB$171)</f>
        <v>0</v>
      </c>
      <c r="BI127" s="23" t="s">
        <v>90</v>
      </c>
      <c r="BJ127" s="21">
        <f t="shared" ref="BJ127:BJ136" si="21">H127+R127+AB127+AL127+AV127+BF127</f>
        <v>0</v>
      </c>
    </row>
    <row r="128" spans="1:62" x14ac:dyDescent="0.3">
      <c r="B128" t="s">
        <v>94</v>
      </c>
      <c r="D128">
        <v>7.94</v>
      </c>
      <c r="G128" s="4" t="s">
        <v>99</v>
      </c>
      <c r="H128" s="4">
        <f t="shared" si="15"/>
        <v>0</v>
      </c>
      <c r="L128" t="s">
        <v>94</v>
      </c>
      <c r="N128">
        <v>7.94</v>
      </c>
      <c r="Q128" s="4" t="s">
        <v>99</v>
      </c>
      <c r="R128" s="4">
        <f t="shared" si="16"/>
        <v>0</v>
      </c>
      <c r="V128" t="s">
        <v>95</v>
      </c>
      <c r="X128">
        <v>7.94</v>
      </c>
      <c r="AA128" s="4" t="s">
        <v>99</v>
      </c>
      <c r="AB128" s="4">
        <f t="shared" si="17"/>
        <v>8.44</v>
      </c>
      <c r="AF128" t="s">
        <v>95</v>
      </c>
      <c r="AH128">
        <v>7.94</v>
      </c>
      <c r="AK128" s="4" t="s">
        <v>99</v>
      </c>
      <c r="AL128" s="4">
        <f t="shared" si="18"/>
        <v>8.44</v>
      </c>
      <c r="AP128" t="s">
        <v>95</v>
      </c>
      <c r="AR128">
        <v>7.94</v>
      </c>
      <c r="AU128" s="4" t="s">
        <v>99</v>
      </c>
      <c r="AV128" s="4">
        <f t="shared" si="19"/>
        <v>19.529999999999998</v>
      </c>
      <c r="AZ128" t="s">
        <v>95</v>
      </c>
      <c r="BB128">
        <v>7.94</v>
      </c>
      <c r="BE128" s="4" t="s">
        <v>99</v>
      </c>
      <c r="BF128" s="4">
        <f t="shared" si="20"/>
        <v>19.529999999999998</v>
      </c>
      <c r="BI128" s="23" t="s">
        <v>99</v>
      </c>
      <c r="BJ128" s="21">
        <f t="shared" si="21"/>
        <v>55.94</v>
      </c>
    </row>
    <row r="129" spans="1:62" x14ac:dyDescent="0.3">
      <c r="B129" t="s">
        <v>97</v>
      </c>
      <c r="D129">
        <v>3.6</v>
      </c>
      <c r="G129" s="4" t="s">
        <v>95</v>
      </c>
      <c r="H129" s="4">
        <f t="shared" si="15"/>
        <v>19.529999999999998</v>
      </c>
      <c r="L129" t="s">
        <v>97</v>
      </c>
      <c r="N129">
        <v>3.6</v>
      </c>
      <c r="Q129" s="4" t="s">
        <v>95</v>
      </c>
      <c r="R129" s="4">
        <f t="shared" si="16"/>
        <v>19.529999999999998</v>
      </c>
      <c r="V129" t="s">
        <v>95</v>
      </c>
      <c r="X129">
        <v>3.6</v>
      </c>
      <c r="AA129" s="4" t="s">
        <v>95</v>
      </c>
      <c r="AB129" s="4">
        <f>SUMIF($V$127:$V$175,AA129,$X$127:$X$175)</f>
        <v>36.410000000000004</v>
      </c>
      <c r="AF129" t="s">
        <v>95</v>
      </c>
      <c r="AH129">
        <v>3.6</v>
      </c>
      <c r="AK129" s="4" t="s">
        <v>95</v>
      </c>
      <c r="AL129" s="4">
        <f>SUMIF($AF$127:$AF$175,AK129,$AH$127:$AH$175)</f>
        <v>36.410000000000004</v>
      </c>
      <c r="AP129" t="s">
        <v>100</v>
      </c>
      <c r="AR129">
        <v>3.6</v>
      </c>
      <c r="AU129" s="4" t="s">
        <v>95</v>
      </c>
      <c r="AV129" s="4">
        <f t="shared" si="19"/>
        <v>49.190000000000005</v>
      </c>
      <c r="AZ129" t="s">
        <v>100</v>
      </c>
      <c r="BB129">
        <v>3.6</v>
      </c>
      <c r="BE129" s="4" t="s">
        <v>95</v>
      </c>
      <c r="BF129" s="4">
        <f t="shared" si="20"/>
        <v>49.190000000000005</v>
      </c>
      <c r="BI129" s="23" t="s">
        <v>95</v>
      </c>
      <c r="BJ129" s="21">
        <f t="shared" si="21"/>
        <v>210.26</v>
      </c>
    </row>
    <row r="130" spans="1:62" x14ac:dyDescent="0.3">
      <c r="B130" t="s">
        <v>97</v>
      </c>
      <c r="D130">
        <v>3.6</v>
      </c>
      <c r="G130" s="4" t="s">
        <v>100</v>
      </c>
      <c r="H130" s="4">
        <f t="shared" si="15"/>
        <v>0</v>
      </c>
      <c r="L130" t="s">
        <v>97</v>
      </c>
      <c r="N130">
        <v>3.6</v>
      </c>
      <c r="Q130" s="4" t="s">
        <v>100</v>
      </c>
      <c r="R130" s="4">
        <f t="shared" si="16"/>
        <v>0</v>
      </c>
      <c r="V130" t="s">
        <v>100</v>
      </c>
      <c r="X130">
        <v>3.6</v>
      </c>
      <c r="AA130" s="4" t="s">
        <v>100</v>
      </c>
      <c r="AB130" s="4">
        <f>SUMIF($V$127:$V$175,AA130,$X$127:$X$175)</f>
        <v>51.11</v>
      </c>
      <c r="AF130" t="s">
        <v>100</v>
      </c>
      <c r="AH130">
        <v>3.6</v>
      </c>
      <c r="AK130" s="4" t="s">
        <v>100</v>
      </c>
      <c r="AL130" s="4">
        <f t="shared" si="18"/>
        <v>51.11</v>
      </c>
      <c r="AP130" t="s">
        <v>100</v>
      </c>
      <c r="AR130">
        <v>3.6</v>
      </c>
      <c r="AU130" s="4" t="s">
        <v>100</v>
      </c>
      <c r="AV130" s="4">
        <f t="shared" si="19"/>
        <v>26.970000000000002</v>
      </c>
      <c r="AZ130" t="s">
        <v>100</v>
      </c>
      <c r="BB130">
        <v>3.6</v>
      </c>
      <c r="BE130" s="4" t="s">
        <v>100</v>
      </c>
      <c r="BF130" s="4">
        <f t="shared" si="20"/>
        <v>26.970000000000002</v>
      </c>
      <c r="BI130" s="23" t="s">
        <v>100</v>
      </c>
      <c r="BJ130" s="21">
        <f t="shared" si="21"/>
        <v>156.16</v>
      </c>
    </row>
    <row r="131" spans="1:62" x14ac:dyDescent="0.3">
      <c r="B131" t="s">
        <v>107</v>
      </c>
      <c r="D131">
        <v>3.23</v>
      </c>
      <c r="G131" s="4" t="s">
        <v>93</v>
      </c>
      <c r="H131" s="4">
        <f t="shared" si="15"/>
        <v>8.94</v>
      </c>
      <c r="L131" t="s">
        <v>107</v>
      </c>
      <c r="N131">
        <v>3.23</v>
      </c>
      <c r="Q131" s="4" t="s">
        <v>93</v>
      </c>
      <c r="R131" s="4">
        <f t="shared" si="16"/>
        <v>8.94</v>
      </c>
      <c r="V131" t="s">
        <v>100</v>
      </c>
      <c r="X131">
        <v>3.23</v>
      </c>
      <c r="AA131" s="4" t="s">
        <v>93</v>
      </c>
      <c r="AB131" s="4">
        <f t="shared" si="17"/>
        <v>18.599999999999998</v>
      </c>
      <c r="AF131" t="s">
        <v>100</v>
      </c>
      <c r="AH131">
        <v>3.23</v>
      </c>
      <c r="AK131" s="4" t="s">
        <v>93</v>
      </c>
      <c r="AL131" s="4">
        <f t="shared" si="18"/>
        <v>18.599999999999998</v>
      </c>
      <c r="AP131" t="s">
        <v>93</v>
      </c>
      <c r="AR131">
        <v>3.23</v>
      </c>
      <c r="AU131" s="4" t="s">
        <v>93</v>
      </c>
      <c r="AV131" s="4">
        <f t="shared" si="19"/>
        <v>14.950000000000001</v>
      </c>
      <c r="AZ131" t="s">
        <v>93</v>
      </c>
      <c r="BB131">
        <v>3.23</v>
      </c>
      <c r="BE131" s="4" t="s">
        <v>93</v>
      </c>
      <c r="BF131" s="4">
        <f t="shared" si="20"/>
        <v>14.950000000000001</v>
      </c>
      <c r="BI131" s="23" t="s">
        <v>93</v>
      </c>
      <c r="BJ131" s="21">
        <f t="shared" si="21"/>
        <v>84.98</v>
      </c>
    </row>
    <row r="132" spans="1:62" x14ac:dyDescent="0.3">
      <c r="B132" t="s">
        <v>107</v>
      </c>
      <c r="D132">
        <v>0.65</v>
      </c>
      <c r="G132" s="4" t="s">
        <v>94</v>
      </c>
      <c r="H132" s="4">
        <f t="shared" si="15"/>
        <v>24.600000000000005</v>
      </c>
      <c r="L132" t="s">
        <v>107</v>
      </c>
      <c r="N132">
        <v>0.65</v>
      </c>
      <c r="Q132" s="4" t="s">
        <v>94</v>
      </c>
      <c r="R132" s="4">
        <f t="shared" si="16"/>
        <v>24.600000000000005</v>
      </c>
      <c r="V132" t="s">
        <v>100</v>
      </c>
      <c r="X132">
        <v>0.65</v>
      </c>
      <c r="AA132" s="4" t="s">
        <v>94</v>
      </c>
      <c r="AB132" s="4">
        <f t="shared" si="17"/>
        <v>7.82</v>
      </c>
      <c r="AF132" t="s">
        <v>100</v>
      </c>
      <c r="AH132">
        <v>0.65</v>
      </c>
      <c r="AK132" s="4" t="s">
        <v>94</v>
      </c>
      <c r="AL132" s="4">
        <f>SUMIF($AF$127:$AF$175,AK132,$AH$127:$AH$175)</f>
        <v>7.82</v>
      </c>
      <c r="AP132" t="s">
        <v>93</v>
      </c>
      <c r="AR132">
        <v>0.65</v>
      </c>
      <c r="AU132" s="4" t="s">
        <v>94</v>
      </c>
      <c r="AV132" s="4">
        <f t="shared" si="19"/>
        <v>0</v>
      </c>
      <c r="AZ132" t="s">
        <v>93</v>
      </c>
      <c r="BB132">
        <v>0.65</v>
      </c>
      <c r="BE132" s="4" t="s">
        <v>94</v>
      </c>
      <c r="BF132" s="4">
        <f t="shared" si="20"/>
        <v>0</v>
      </c>
      <c r="BI132" s="23" t="s">
        <v>94</v>
      </c>
      <c r="BJ132" s="21">
        <f t="shared" si="21"/>
        <v>64.84</v>
      </c>
    </row>
    <row r="133" spans="1:62" x14ac:dyDescent="0.3">
      <c r="A133" s="12" t="s">
        <v>108</v>
      </c>
      <c r="B133" s="12"/>
      <c r="C133" s="12"/>
      <c r="D133" s="12"/>
      <c r="G133" s="4" t="s">
        <v>97</v>
      </c>
      <c r="H133" s="4">
        <f t="shared" si="15"/>
        <v>30.280000000000005</v>
      </c>
      <c r="K133" s="12" t="s">
        <v>108</v>
      </c>
      <c r="L133" s="12"/>
      <c r="M133" s="12"/>
      <c r="N133" s="12"/>
      <c r="Q133" s="4" t="s">
        <v>97</v>
      </c>
      <c r="R133" s="4">
        <f t="shared" si="16"/>
        <v>30.280000000000005</v>
      </c>
      <c r="U133" s="12" t="s">
        <v>108</v>
      </c>
      <c r="V133" s="12"/>
      <c r="W133" s="12"/>
      <c r="X133" s="12"/>
      <c r="AA133" s="4" t="s">
        <v>97</v>
      </c>
      <c r="AB133" s="4">
        <f t="shared" si="17"/>
        <v>0</v>
      </c>
      <c r="AE133" s="12" t="s">
        <v>108</v>
      </c>
      <c r="AF133" s="12"/>
      <c r="AG133" s="12"/>
      <c r="AH133" s="12"/>
      <c r="AK133" s="4" t="s">
        <v>97</v>
      </c>
      <c r="AL133" s="4">
        <f t="shared" si="18"/>
        <v>0</v>
      </c>
      <c r="AO133" s="12" t="s">
        <v>108</v>
      </c>
      <c r="AP133" s="12"/>
      <c r="AQ133" s="12"/>
      <c r="AR133" s="12"/>
      <c r="AU133" s="4" t="s">
        <v>97</v>
      </c>
      <c r="AV133" s="4">
        <f t="shared" si="19"/>
        <v>15.02</v>
      </c>
      <c r="AY133" s="12" t="s">
        <v>108</v>
      </c>
      <c r="AZ133" s="12"/>
      <c r="BA133" s="12"/>
      <c r="BB133" s="12"/>
      <c r="BE133" s="4" t="s">
        <v>97</v>
      </c>
      <c r="BF133" s="4">
        <f t="shared" si="20"/>
        <v>15.02</v>
      </c>
      <c r="BI133" s="23" t="s">
        <v>97</v>
      </c>
      <c r="BJ133" s="21">
        <f t="shared" si="21"/>
        <v>90.600000000000009</v>
      </c>
    </row>
    <row r="134" spans="1:62" x14ac:dyDescent="0.3">
      <c r="B134" t="s">
        <v>94</v>
      </c>
      <c r="D134">
        <v>0.51</v>
      </c>
      <c r="G134" s="4" t="s">
        <v>107</v>
      </c>
      <c r="H134" s="4">
        <f t="shared" si="15"/>
        <v>18.840000000000003</v>
      </c>
      <c r="L134" t="s">
        <v>94</v>
      </c>
      <c r="N134">
        <v>0.51</v>
      </c>
      <c r="Q134" s="4" t="s">
        <v>107</v>
      </c>
      <c r="R134" s="4">
        <f t="shared" si="16"/>
        <v>18.840000000000003</v>
      </c>
      <c r="V134" t="s">
        <v>95</v>
      </c>
      <c r="X134">
        <v>0.51</v>
      </c>
      <c r="AA134" s="4" t="s">
        <v>107</v>
      </c>
      <c r="AB134" s="4">
        <f t="shared" si="17"/>
        <v>0</v>
      </c>
      <c r="AF134" t="s">
        <v>95</v>
      </c>
      <c r="AH134">
        <v>0.51</v>
      </c>
      <c r="AK134" s="4" t="s">
        <v>107</v>
      </c>
      <c r="AL134" s="4">
        <f t="shared" si="18"/>
        <v>0</v>
      </c>
      <c r="AP134" t="s">
        <v>95</v>
      </c>
      <c r="AR134">
        <v>0.51</v>
      </c>
      <c r="AU134" s="4" t="s">
        <v>107</v>
      </c>
      <c r="AV134" s="4">
        <f t="shared" si="19"/>
        <v>3.88</v>
      </c>
      <c r="AZ134" t="s">
        <v>95</v>
      </c>
      <c r="BB134">
        <v>0.51</v>
      </c>
      <c r="BE134" s="4" t="s">
        <v>107</v>
      </c>
      <c r="BF134" s="4">
        <f t="shared" si="20"/>
        <v>3.88</v>
      </c>
      <c r="BI134" s="23" t="s">
        <v>107</v>
      </c>
      <c r="BJ134" s="21">
        <f t="shared" si="21"/>
        <v>45.440000000000012</v>
      </c>
    </row>
    <row r="135" spans="1:62" x14ac:dyDescent="0.3">
      <c r="B135" t="s">
        <v>97</v>
      </c>
      <c r="D135">
        <v>7.94</v>
      </c>
      <c r="G135" s="4" t="s">
        <v>106</v>
      </c>
      <c r="H135" s="4">
        <f t="shared" si="15"/>
        <v>0</v>
      </c>
      <c r="L135" t="s">
        <v>97</v>
      </c>
      <c r="N135">
        <v>7.94</v>
      </c>
      <c r="Q135" s="4" t="s">
        <v>106</v>
      </c>
      <c r="R135" s="4">
        <f t="shared" si="16"/>
        <v>0</v>
      </c>
      <c r="V135" t="s">
        <v>100</v>
      </c>
      <c r="X135">
        <v>7.94</v>
      </c>
      <c r="AA135" s="4" t="s">
        <v>106</v>
      </c>
      <c r="AB135" s="4">
        <f t="shared" si="17"/>
        <v>0</v>
      </c>
      <c r="AF135" t="s">
        <v>100</v>
      </c>
      <c r="AH135">
        <v>7.94</v>
      </c>
      <c r="AK135" s="4" t="s">
        <v>106</v>
      </c>
      <c r="AL135" s="4">
        <f t="shared" si="18"/>
        <v>0</v>
      </c>
      <c r="AP135" t="s">
        <v>100</v>
      </c>
      <c r="AR135">
        <v>7.94</v>
      </c>
      <c r="AU135" s="4" t="s">
        <v>106</v>
      </c>
      <c r="AV135" s="4">
        <f t="shared" si="19"/>
        <v>0</v>
      </c>
      <c r="AZ135" t="s">
        <v>100</v>
      </c>
      <c r="BB135">
        <v>7.94</v>
      </c>
      <c r="BE135" s="4" t="s">
        <v>106</v>
      </c>
      <c r="BF135" s="4">
        <f t="shared" si="20"/>
        <v>0</v>
      </c>
      <c r="BI135" s="23" t="s">
        <v>106</v>
      </c>
      <c r="BJ135" s="21">
        <f t="shared" si="21"/>
        <v>0</v>
      </c>
    </row>
    <row r="136" spans="1:62" x14ac:dyDescent="0.3">
      <c r="B136" t="s">
        <v>107</v>
      </c>
      <c r="D136">
        <v>3.6</v>
      </c>
      <c r="G136" s="4" t="s">
        <v>96</v>
      </c>
      <c r="H136" s="4">
        <f t="shared" si="15"/>
        <v>7.82</v>
      </c>
      <c r="L136" t="s">
        <v>107</v>
      </c>
      <c r="N136">
        <v>3.6</v>
      </c>
      <c r="Q136" s="4" t="s">
        <v>96</v>
      </c>
      <c r="R136" s="4">
        <f t="shared" si="16"/>
        <v>7.82</v>
      </c>
      <c r="V136" t="s">
        <v>93</v>
      </c>
      <c r="X136">
        <v>3.6</v>
      </c>
      <c r="AA136" s="4" t="s">
        <v>96</v>
      </c>
      <c r="AB136" s="4">
        <f t="shared" si="17"/>
        <v>0</v>
      </c>
      <c r="AF136" t="s">
        <v>93</v>
      </c>
      <c r="AH136">
        <v>3.6</v>
      </c>
      <c r="AK136" s="4" t="s">
        <v>96</v>
      </c>
      <c r="AL136" s="4">
        <f t="shared" si="18"/>
        <v>0</v>
      </c>
      <c r="AP136" t="s">
        <v>93</v>
      </c>
      <c r="AR136">
        <v>3.6</v>
      </c>
      <c r="AU136" s="4" t="s">
        <v>96</v>
      </c>
      <c r="AV136" s="4">
        <f t="shared" si="19"/>
        <v>0</v>
      </c>
      <c r="AZ136" t="s">
        <v>93</v>
      </c>
      <c r="BB136">
        <v>3.6</v>
      </c>
      <c r="BE136" s="4" t="s">
        <v>96</v>
      </c>
      <c r="BF136" s="4">
        <f>SUMIF($AZ$127:$AZ$171,BE136,$BB$127:$BB$171)</f>
        <v>0</v>
      </c>
      <c r="BI136" s="23" t="s">
        <v>96</v>
      </c>
      <c r="BJ136" s="21">
        <f t="shared" si="21"/>
        <v>15.64</v>
      </c>
    </row>
    <row r="137" spans="1:62" x14ac:dyDescent="0.3">
      <c r="B137" t="s">
        <v>96</v>
      </c>
      <c r="D137">
        <v>3.25</v>
      </c>
      <c r="L137" t="s">
        <v>96</v>
      </c>
      <c r="N137">
        <v>3.25</v>
      </c>
      <c r="V137" t="s">
        <v>94</v>
      </c>
      <c r="X137">
        <v>3.25</v>
      </c>
      <c r="AF137" t="s">
        <v>94</v>
      </c>
      <c r="AH137">
        <v>3.25</v>
      </c>
      <c r="AP137" t="s">
        <v>97</v>
      </c>
      <c r="AR137">
        <v>3.25</v>
      </c>
      <c r="AZ137" t="s">
        <v>97</v>
      </c>
      <c r="BB137">
        <v>3.25</v>
      </c>
      <c r="BI137" s="21"/>
      <c r="BJ137" s="21"/>
    </row>
    <row r="138" spans="1:62" x14ac:dyDescent="0.3">
      <c r="B138" t="s">
        <v>96</v>
      </c>
      <c r="D138">
        <v>0.65</v>
      </c>
      <c r="L138" t="s">
        <v>96</v>
      </c>
      <c r="N138">
        <v>0.65</v>
      </c>
      <c r="V138" t="s">
        <v>94</v>
      </c>
      <c r="X138">
        <v>0.65</v>
      </c>
      <c r="AF138" t="s">
        <v>94</v>
      </c>
      <c r="AH138">
        <v>0.65</v>
      </c>
      <c r="AP138" t="s">
        <v>97</v>
      </c>
      <c r="AR138">
        <v>0.65</v>
      </c>
      <c r="AZ138" t="s">
        <v>97</v>
      </c>
      <c r="BB138">
        <v>0.65</v>
      </c>
      <c r="BI138" s="21"/>
      <c r="BJ138" s="21"/>
    </row>
    <row r="139" spans="1:62" x14ac:dyDescent="0.3">
      <c r="A139" s="12" t="s">
        <v>110</v>
      </c>
      <c r="B139" s="12"/>
      <c r="C139" s="12"/>
      <c r="D139" s="12"/>
      <c r="K139" s="12" t="s">
        <v>110</v>
      </c>
      <c r="L139" s="12"/>
      <c r="M139" s="12"/>
      <c r="N139" s="12"/>
      <c r="U139" s="12" t="s">
        <v>110</v>
      </c>
      <c r="V139" s="12"/>
      <c r="W139" s="12"/>
      <c r="X139" s="12"/>
      <c r="AE139" s="12" t="s">
        <v>110</v>
      </c>
      <c r="AF139" s="12"/>
      <c r="AG139" s="12"/>
      <c r="AH139" s="12"/>
      <c r="AO139" s="12" t="s">
        <v>110</v>
      </c>
      <c r="AP139" s="12"/>
      <c r="AQ139" s="12"/>
      <c r="AR139" s="12"/>
      <c r="AY139" s="12" t="s">
        <v>110</v>
      </c>
      <c r="AZ139" s="12"/>
      <c r="BA139" s="12"/>
      <c r="BB139" s="12"/>
      <c r="BI139" s="21"/>
      <c r="BJ139" s="21"/>
    </row>
    <row r="140" spans="1:62" x14ac:dyDescent="0.3">
      <c r="B140" t="s">
        <v>93</v>
      </c>
      <c r="D140">
        <v>0.5</v>
      </c>
      <c r="L140" t="s">
        <v>93</v>
      </c>
      <c r="N140">
        <v>0.5</v>
      </c>
      <c r="V140" t="s">
        <v>95</v>
      </c>
      <c r="X140">
        <v>0.5</v>
      </c>
      <c r="AF140" t="s">
        <v>95</v>
      </c>
      <c r="AH140">
        <v>0.5</v>
      </c>
      <c r="AP140" t="s">
        <v>95</v>
      </c>
      <c r="AR140">
        <v>0.5</v>
      </c>
      <c r="AZ140" t="s">
        <v>95</v>
      </c>
      <c r="BB140">
        <v>0.5</v>
      </c>
      <c r="BI140" s="21" t="s">
        <v>156</v>
      </c>
      <c r="BJ140" s="21"/>
    </row>
    <row r="141" spans="1:62" x14ac:dyDescent="0.3">
      <c r="B141" t="s">
        <v>94</v>
      </c>
      <c r="D141">
        <v>7.94</v>
      </c>
      <c r="L141" t="s">
        <v>94</v>
      </c>
      <c r="N141">
        <v>7.94</v>
      </c>
      <c r="V141" t="s">
        <v>95</v>
      </c>
      <c r="X141">
        <v>7.94</v>
      </c>
      <c r="AF141" t="s">
        <v>95</v>
      </c>
      <c r="AH141">
        <v>7.94</v>
      </c>
      <c r="AP141" t="s">
        <v>95</v>
      </c>
      <c r="AR141">
        <v>7.94</v>
      </c>
      <c r="AZ141" t="s">
        <v>95</v>
      </c>
      <c r="BB141">
        <v>7.94</v>
      </c>
      <c r="BI141" s="22" t="s">
        <v>88</v>
      </c>
      <c r="BJ141" s="22" t="s">
        <v>115</v>
      </c>
    </row>
    <row r="142" spans="1:62" x14ac:dyDescent="0.3">
      <c r="B142" t="s">
        <v>97</v>
      </c>
      <c r="D142">
        <v>3.6</v>
      </c>
      <c r="L142" t="s">
        <v>97</v>
      </c>
      <c r="N142">
        <v>3.6</v>
      </c>
      <c r="V142" t="s">
        <v>95</v>
      </c>
      <c r="X142">
        <v>3.6</v>
      </c>
      <c r="AF142" t="s">
        <v>95</v>
      </c>
      <c r="AH142">
        <v>3.6</v>
      </c>
      <c r="AP142" t="s">
        <v>95</v>
      </c>
      <c r="AR142">
        <v>3.6</v>
      </c>
      <c r="AZ142" t="s">
        <v>95</v>
      </c>
      <c r="BB142">
        <v>3.6</v>
      </c>
      <c r="BI142" s="23" t="s">
        <v>78</v>
      </c>
      <c r="BJ142" s="21">
        <f>H126+R126+AB126+AL126</f>
        <v>0</v>
      </c>
    </row>
    <row r="143" spans="1:62" x14ac:dyDescent="0.3">
      <c r="B143" t="s">
        <v>97</v>
      </c>
      <c r="D143">
        <v>3.6</v>
      </c>
      <c r="L143" t="s">
        <v>97</v>
      </c>
      <c r="N143">
        <v>3.6</v>
      </c>
      <c r="V143" t="s">
        <v>95</v>
      </c>
      <c r="X143">
        <v>3.6</v>
      </c>
      <c r="AF143" t="s">
        <v>95</v>
      </c>
      <c r="AH143">
        <v>3.6</v>
      </c>
      <c r="AP143" t="s">
        <v>95</v>
      </c>
      <c r="AR143">
        <v>3.6</v>
      </c>
      <c r="AZ143" t="s">
        <v>95</v>
      </c>
      <c r="BB143">
        <v>3.6</v>
      </c>
      <c r="BI143" s="23" t="s">
        <v>90</v>
      </c>
      <c r="BJ143" s="21">
        <f t="shared" ref="BJ143:BJ152" si="22">H127+R127+AB127+AL127</f>
        <v>0</v>
      </c>
    </row>
    <row r="144" spans="1:62" x14ac:dyDescent="0.3">
      <c r="B144" t="s">
        <v>107</v>
      </c>
      <c r="D144">
        <v>3.24</v>
      </c>
      <c r="L144" t="s">
        <v>107</v>
      </c>
      <c r="N144">
        <v>3.24</v>
      </c>
      <c r="V144" t="s">
        <v>100</v>
      </c>
      <c r="X144">
        <v>3.24</v>
      </c>
      <c r="AF144" t="s">
        <v>100</v>
      </c>
      <c r="AH144">
        <v>3.24</v>
      </c>
      <c r="AP144" t="s">
        <v>100</v>
      </c>
      <c r="AR144">
        <v>3.24</v>
      </c>
      <c r="AZ144" t="s">
        <v>100</v>
      </c>
      <c r="BB144">
        <v>3.24</v>
      </c>
      <c r="BI144" s="23" t="s">
        <v>99</v>
      </c>
      <c r="BJ144" s="21">
        <f t="shared" si="22"/>
        <v>16.88</v>
      </c>
    </row>
    <row r="145" spans="1:62" x14ac:dyDescent="0.3">
      <c r="B145" t="s">
        <v>107</v>
      </c>
      <c r="D145">
        <v>0.65</v>
      </c>
      <c r="L145" t="s">
        <v>107</v>
      </c>
      <c r="N145">
        <v>0.65</v>
      </c>
      <c r="V145" t="s">
        <v>100</v>
      </c>
      <c r="X145">
        <v>0.65</v>
      </c>
      <c r="AF145" t="s">
        <v>100</v>
      </c>
      <c r="AH145">
        <v>0.65</v>
      </c>
      <c r="AP145" t="s">
        <v>100</v>
      </c>
      <c r="AR145">
        <v>0.65</v>
      </c>
      <c r="AZ145" t="s">
        <v>100</v>
      </c>
      <c r="BB145">
        <v>0.65</v>
      </c>
      <c r="BI145" s="23" t="s">
        <v>95</v>
      </c>
      <c r="BJ145" s="21">
        <f t="shared" si="22"/>
        <v>111.88</v>
      </c>
    </row>
    <row r="146" spans="1:62" x14ac:dyDescent="0.3">
      <c r="A146" s="12" t="s">
        <v>111</v>
      </c>
      <c r="B146" s="12"/>
      <c r="C146" s="12"/>
      <c r="D146" s="12"/>
      <c r="K146" s="12" t="s">
        <v>111</v>
      </c>
      <c r="L146" s="12"/>
      <c r="M146" s="12"/>
      <c r="N146" s="12"/>
      <c r="U146" s="12" t="s">
        <v>111</v>
      </c>
      <c r="V146" s="12"/>
      <c r="W146" s="12"/>
      <c r="X146" s="12"/>
      <c r="AE146" s="12" t="s">
        <v>111</v>
      </c>
      <c r="AF146" s="12"/>
      <c r="AG146" s="12"/>
      <c r="AH146" s="12"/>
      <c r="AO146" s="12" t="s">
        <v>111</v>
      </c>
      <c r="AP146" s="12"/>
      <c r="AQ146" s="12"/>
      <c r="AR146" s="12"/>
      <c r="AY146" s="12" t="s">
        <v>111</v>
      </c>
      <c r="AZ146" s="12"/>
      <c r="BA146" s="12"/>
      <c r="BB146" s="12"/>
      <c r="BI146" s="23" t="s">
        <v>100</v>
      </c>
      <c r="BJ146" s="21">
        <f t="shared" si="22"/>
        <v>102.22</v>
      </c>
    </row>
    <row r="147" spans="1:62" x14ac:dyDescent="0.3">
      <c r="B147" t="s">
        <v>93</v>
      </c>
      <c r="D147">
        <v>8.44</v>
      </c>
      <c r="L147" t="s">
        <v>93</v>
      </c>
      <c r="N147">
        <v>8.44</v>
      </c>
      <c r="V147" t="s">
        <v>99</v>
      </c>
      <c r="X147">
        <v>8.44</v>
      </c>
      <c r="AF147" t="s">
        <v>99</v>
      </c>
      <c r="AH147">
        <v>8.44</v>
      </c>
      <c r="AP147" t="s">
        <v>95</v>
      </c>
      <c r="AR147">
        <v>8.44</v>
      </c>
      <c r="AZ147" t="s">
        <v>95</v>
      </c>
      <c r="BB147">
        <v>8.44</v>
      </c>
      <c r="BI147" s="23" t="s">
        <v>93</v>
      </c>
      <c r="BJ147" s="21">
        <f t="shared" si="22"/>
        <v>55.08</v>
      </c>
    </row>
    <row r="148" spans="1:62" x14ac:dyDescent="0.3">
      <c r="B148" t="s">
        <v>94</v>
      </c>
      <c r="D148">
        <v>3.6</v>
      </c>
      <c r="L148" t="s">
        <v>94</v>
      </c>
      <c r="N148">
        <v>3.6</v>
      </c>
      <c r="V148" t="s">
        <v>95</v>
      </c>
      <c r="X148">
        <v>3.6</v>
      </c>
      <c r="AF148" t="s">
        <v>95</v>
      </c>
      <c r="AH148">
        <v>3.6</v>
      </c>
      <c r="AP148" t="s">
        <v>95</v>
      </c>
      <c r="AR148">
        <v>3.6</v>
      </c>
      <c r="AZ148" t="s">
        <v>95</v>
      </c>
      <c r="BB148">
        <v>3.6</v>
      </c>
      <c r="BI148" s="23" t="s">
        <v>94</v>
      </c>
      <c r="BJ148" s="21">
        <f t="shared" si="22"/>
        <v>64.84</v>
      </c>
    </row>
    <row r="149" spans="1:62" x14ac:dyDescent="0.3">
      <c r="B149" t="s">
        <v>94</v>
      </c>
      <c r="D149">
        <v>3.6</v>
      </c>
      <c r="L149" t="s">
        <v>94</v>
      </c>
      <c r="N149">
        <v>3.6</v>
      </c>
      <c r="V149" t="s">
        <v>95</v>
      </c>
      <c r="X149">
        <v>3.6</v>
      </c>
      <c r="AF149" t="s">
        <v>95</v>
      </c>
      <c r="AH149">
        <v>3.6</v>
      </c>
      <c r="AP149" t="s">
        <v>95</v>
      </c>
      <c r="AR149">
        <v>3.6</v>
      </c>
      <c r="AZ149" t="s">
        <v>95</v>
      </c>
      <c r="BB149">
        <v>3.6</v>
      </c>
      <c r="BI149" s="23" t="s">
        <v>97</v>
      </c>
      <c r="BJ149" s="21">
        <f t="shared" si="22"/>
        <v>60.560000000000009</v>
      </c>
    </row>
    <row r="150" spans="1:62" x14ac:dyDescent="0.3">
      <c r="B150" t="s">
        <v>107</v>
      </c>
      <c r="D150">
        <v>3.22</v>
      </c>
      <c r="L150" t="s">
        <v>107</v>
      </c>
      <c r="N150">
        <v>3.22</v>
      </c>
      <c r="V150" t="s">
        <v>100</v>
      </c>
      <c r="X150">
        <v>3.22</v>
      </c>
      <c r="AF150" t="s">
        <v>100</v>
      </c>
      <c r="AH150">
        <v>3.22</v>
      </c>
      <c r="AP150" t="s">
        <v>93</v>
      </c>
      <c r="AR150">
        <v>3.22</v>
      </c>
      <c r="AZ150" t="s">
        <v>93</v>
      </c>
      <c r="BB150">
        <v>3.22</v>
      </c>
      <c r="BI150" s="23" t="s">
        <v>107</v>
      </c>
      <c r="BJ150" s="21">
        <f t="shared" si="22"/>
        <v>37.680000000000007</v>
      </c>
    </row>
    <row r="151" spans="1:62" x14ac:dyDescent="0.3">
      <c r="B151" t="s">
        <v>107</v>
      </c>
      <c r="D151">
        <v>0.65</v>
      </c>
      <c r="L151" t="s">
        <v>107</v>
      </c>
      <c r="N151">
        <v>0.65</v>
      </c>
      <c r="V151" t="s">
        <v>100</v>
      </c>
      <c r="X151">
        <v>0.65</v>
      </c>
      <c r="AF151" t="s">
        <v>100</v>
      </c>
      <c r="AH151">
        <v>0.65</v>
      </c>
      <c r="AP151" t="s">
        <v>93</v>
      </c>
      <c r="AR151">
        <v>0.65</v>
      </c>
      <c r="AZ151" t="s">
        <v>93</v>
      </c>
      <c r="BB151">
        <v>0.65</v>
      </c>
      <c r="BI151" s="23" t="s">
        <v>106</v>
      </c>
      <c r="BJ151" s="21">
        <f t="shared" si="22"/>
        <v>0</v>
      </c>
    </row>
    <row r="152" spans="1:62" x14ac:dyDescent="0.3">
      <c r="A152" s="12" t="s">
        <v>121</v>
      </c>
      <c r="B152" s="12"/>
      <c r="C152" s="12"/>
      <c r="D152" s="12"/>
      <c r="K152" s="12" t="s">
        <v>121</v>
      </c>
      <c r="L152" s="12"/>
      <c r="M152" s="12"/>
      <c r="N152" s="12"/>
      <c r="U152" s="12" t="s">
        <v>121</v>
      </c>
      <c r="V152" s="12"/>
      <c r="W152" s="12"/>
      <c r="X152" s="12"/>
      <c r="AE152" s="12" t="s">
        <v>121</v>
      </c>
      <c r="AF152" s="12"/>
      <c r="AG152" s="12"/>
      <c r="AH152" s="12"/>
      <c r="AO152" s="12" t="s">
        <v>121</v>
      </c>
      <c r="AP152" s="12"/>
      <c r="AQ152" s="12"/>
      <c r="AR152" s="12"/>
      <c r="AY152" s="12" t="s">
        <v>121</v>
      </c>
      <c r="AZ152" s="12"/>
      <c r="BA152" s="12"/>
      <c r="BB152" s="12"/>
      <c r="BI152" s="23" t="s">
        <v>96</v>
      </c>
      <c r="BJ152" s="21">
        <f t="shared" si="22"/>
        <v>15.64</v>
      </c>
    </row>
    <row r="153" spans="1:62" x14ac:dyDescent="0.3">
      <c r="B153" t="s">
        <v>94</v>
      </c>
      <c r="D153">
        <v>0.5</v>
      </c>
      <c r="L153" t="s">
        <v>94</v>
      </c>
      <c r="N153">
        <v>0.5</v>
      </c>
      <c r="V153" t="s">
        <v>95</v>
      </c>
      <c r="X153">
        <v>0.5</v>
      </c>
      <c r="AF153" t="s">
        <v>95</v>
      </c>
      <c r="AH153">
        <v>0.5</v>
      </c>
      <c r="AP153" t="s">
        <v>95</v>
      </c>
      <c r="AR153">
        <v>0.5</v>
      </c>
      <c r="AZ153" t="s">
        <v>95</v>
      </c>
      <c r="BB153">
        <v>0.5</v>
      </c>
      <c r="BI153" s="21"/>
      <c r="BJ153" s="21"/>
    </row>
    <row r="154" spans="1:62" x14ac:dyDescent="0.3">
      <c r="B154" t="s">
        <v>97</v>
      </c>
      <c r="D154">
        <v>7.94</v>
      </c>
      <c r="L154" t="s">
        <v>97</v>
      </c>
      <c r="N154">
        <v>7.94</v>
      </c>
      <c r="V154" t="s">
        <v>100</v>
      </c>
      <c r="X154">
        <v>7.94</v>
      </c>
      <c r="AF154" t="s">
        <v>100</v>
      </c>
      <c r="AH154">
        <v>7.94</v>
      </c>
      <c r="AP154" t="s">
        <v>100</v>
      </c>
      <c r="AR154">
        <v>7.94</v>
      </c>
      <c r="AZ154" t="s">
        <v>100</v>
      </c>
      <c r="BB154">
        <v>7.94</v>
      </c>
      <c r="BI154" s="21"/>
      <c r="BJ154" s="21"/>
    </row>
    <row r="155" spans="1:62" x14ac:dyDescent="0.3">
      <c r="B155" t="s">
        <v>107</v>
      </c>
      <c r="D155">
        <v>3.6</v>
      </c>
      <c r="L155" t="s">
        <v>107</v>
      </c>
      <c r="N155">
        <v>3.6</v>
      </c>
      <c r="V155" t="s">
        <v>93</v>
      </c>
      <c r="X155">
        <v>3.6</v>
      </c>
      <c r="AF155" t="s">
        <v>93</v>
      </c>
      <c r="AH155">
        <v>3.6</v>
      </c>
      <c r="AP155" t="s">
        <v>93</v>
      </c>
      <c r="AR155">
        <v>3.6</v>
      </c>
      <c r="AZ155" t="s">
        <v>93</v>
      </c>
      <c r="BB155">
        <v>3.6</v>
      </c>
      <c r="BI155" s="21"/>
      <c r="BJ155" s="21"/>
    </row>
    <row r="156" spans="1:62" x14ac:dyDescent="0.3">
      <c r="B156" t="s">
        <v>96</v>
      </c>
      <c r="D156">
        <v>3.27</v>
      </c>
      <c r="L156" t="s">
        <v>96</v>
      </c>
      <c r="N156">
        <v>3.27</v>
      </c>
      <c r="V156" t="s">
        <v>94</v>
      </c>
      <c r="X156">
        <v>3.27</v>
      </c>
      <c r="AF156" t="s">
        <v>94</v>
      </c>
      <c r="AH156">
        <v>3.27</v>
      </c>
      <c r="AP156" t="s">
        <v>97</v>
      </c>
      <c r="AR156">
        <v>3.27</v>
      </c>
      <c r="AZ156" t="s">
        <v>97</v>
      </c>
      <c r="BB156">
        <v>3.27</v>
      </c>
      <c r="BI156" s="21" t="s">
        <v>157</v>
      </c>
      <c r="BJ156" s="21"/>
    </row>
    <row r="157" spans="1:62" x14ac:dyDescent="0.3">
      <c r="B157" t="s">
        <v>96</v>
      </c>
      <c r="D157" s="11">
        <v>0.65</v>
      </c>
      <c r="L157" t="s">
        <v>96</v>
      </c>
      <c r="N157">
        <v>0.65</v>
      </c>
      <c r="V157" t="s">
        <v>94</v>
      </c>
      <c r="X157">
        <v>0.65</v>
      </c>
      <c r="AF157" t="s">
        <v>94</v>
      </c>
      <c r="AH157">
        <v>0.65</v>
      </c>
      <c r="AP157" t="s">
        <v>97</v>
      </c>
      <c r="AR157">
        <v>0.65</v>
      </c>
      <c r="AZ157" t="s">
        <v>97</v>
      </c>
      <c r="BB157">
        <v>0.65</v>
      </c>
      <c r="BI157" s="22" t="s">
        <v>88</v>
      </c>
      <c r="BJ157" s="22" t="s">
        <v>115</v>
      </c>
    </row>
    <row r="158" spans="1:62" x14ac:dyDescent="0.3">
      <c r="A158" s="12" t="s">
        <v>123</v>
      </c>
      <c r="B158" s="12"/>
      <c r="C158" s="12"/>
      <c r="D158" s="12"/>
      <c r="K158" s="12" t="s">
        <v>123</v>
      </c>
      <c r="L158" s="12"/>
      <c r="M158" s="12"/>
      <c r="N158" s="12"/>
      <c r="AO158" s="12" t="s">
        <v>123</v>
      </c>
      <c r="AP158" s="12"/>
      <c r="AQ158" s="12"/>
      <c r="AR158" s="12"/>
      <c r="AY158" s="12" t="s">
        <v>123</v>
      </c>
      <c r="AZ158" s="12"/>
      <c r="BA158" s="12"/>
      <c r="BB158" s="12"/>
      <c r="BI158" s="23" t="s">
        <v>78</v>
      </c>
      <c r="BJ158" s="21">
        <f>BF126+AV126</f>
        <v>0</v>
      </c>
    </row>
    <row r="159" spans="1:62" x14ac:dyDescent="0.3">
      <c r="B159" t="s">
        <v>95</v>
      </c>
      <c r="D159">
        <v>0.51</v>
      </c>
      <c r="L159" t="s">
        <v>95</v>
      </c>
      <c r="N159">
        <v>0.51</v>
      </c>
      <c r="AP159" t="s">
        <v>99</v>
      </c>
      <c r="AR159">
        <v>0.51</v>
      </c>
      <c r="AZ159" t="s">
        <v>99</v>
      </c>
      <c r="BB159">
        <v>0.51</v>
      </c>
      <c r="BI159" s="23" t="s">
        <v>90</v>
      </c>
      <c r="BJ159" s="21">
        <f t="shared" ref="BJ159:BJ168" si="23">BF127+AV127</f>
        <v>0</v>
      </c>
    </row>
    <row r="160" spans="1:62" x14ac:dyDescent="0.3">
      <c r="B160" t="s">
        <v>95</v>
      </c>
      <c r="D160">
        <v>7.94</v>
      </c>
      <c r="L160" t="s">
        <v>95</v>
      </c>
      <c r="N160">
        <v>7.94</v>
      </c>
      <c r="AP160" t="s">
        <v>99</v>
      </c>
      <c r="AR160">
        <v>7.94</v>
      </c>
      <c r="AZ160" t="s">
        <v>99</v>
      </c>
      <c r="BB160">
        <v>7.94</v>
      </c>
      <c r="BI160" s="23" t="s">
        <v>99</v>
      </c>
      <c r="BJ160" s="21">
        <f t="shared" si="23"/>
        <v>39.059999999999995</v>
      </c>
    </row>
    <row r="161" spans="2:62" x14ac:dyDescent="0.3">
      <c r="B161" t="s">
        <v>95</v>
      </c>
      <c r="D161">
        <v>3.6</v>
      </c>
      <c r="L161" t="s">
        <v>95</v>
      </c>
      <c r="N161">
        <v>3.6</v>
      </c>
      <c r="AP161" t="s">
        <v>99</v>
      </c>
      <c r="AR161">
        <v>3.6</v>
      </c>
      <c r="AZ161" t="s">
        <v>99</v>
      </c>
      <c r="BB161">
        <v>3.6</v>
      </c>
      <c r="BI161" s="23" t="s">
        <v>95</v>
      </c>
      <c r="BJ161" s="21">
        <f t="shared" si="23"/>
        <v>98.38000000000001</v>
      </c>
    </row>
    <row r="162" spans="2:62" x14ac:dyDescent="0.3">
      <c r="B162" t="s">
        <v>95</v>
      </c>
      <c r="D162">
        <v>3.6</v>
      </c>
      <c r="L162" t="s">
        <v>95</v>
      </c>
      <c r="N162">
        <v>3.6</v>
      </c>
      <c r="AP162" t="s">
        <v>99</v>
      </c>
      <c r="AR162">
        <v>3.6</v>
      </c>
      <c r="AZ162" t="s">
        <v>99</v>
      </c>
      <c r="BB162">
        <v>3.6</v>
      </c>
      <c r="BI162" s="23" t="s">
        <v>100</v>
      </c>
      <c r="BJ162" s="21">
        <f t="shared" si="23"/>
        <v>53.940000000000005</v>
      </c>
    </row>
    <row r="163" spans="2:62" x14ac:dyDescent="0.3">
      <c r="B163" t="s">
        <v>95</v>
      </c>
      <c r="D163">
        <v>3.23</v>
      </c>
      <c r="L163" t="s">
        <v>95</v>
      </c>
      <c r="N163">
        <v>3.23</v>
      </c>
      <c r="AP163" t="s">
        <v>99</v>
      </c>
      <c r="AR163">
        <v>3.23</v>
      </c>
      <c r="AZ163" t="s">
        <v>99</v>
      </c>
      <c r="BB163">
        <v>3.23</v>
      </c>
      <c r="BI163" s="23" t="s">
        <v>93</v>
      </c>
      <c r="BJ163" s="21">
        <f t="shared" si="23"/>
        <v>29.900000000000002</v>
      </c>
    </row>
    <row r="164" spans="2:62" x14ac:dyDescent="0.3">
      <c r="B164" t="s">
        <v>95</v>
      </c>
      <c r="D164" s="11">
        <v>0.65</v>
      </c>
      <c r="L164" t="s">
        <v>95</v>
      </c>
      <c r="N164">
        <v>0.65</v>
      </c>
      <c r="U164" s="12" t="s">
        <v>124</v>
      </c>
      <c r="V164" s="12"/>
      <c r="W164" s="12"/>
      <c r="X164" s="12"/>
      <c r="AE164" s="12" t="s">
        <v>124</v>
      </c>
      <c r="AF164" s="12"/>
      <c r="AG164" s="12"/>
      <c r="AH164" s="12"/>
      <c r="AP164" t="s">
        <v>99</v>
      </c>
      <c r="AR164">
        <v>0.65</v>
      </c>
      <c r="AZ164" t="s">
        <v>99</v>
      </c>
      <c r="BB164">
        <v>0.65</v>
      </c>
      <c r="BI164" s="23" t="s">
        <v>94</v>
      </c>
      <c r="BJ164" s="21">
        <f t="shared" si="23"/>
        <v>0</v>
      </c>
    </row>
    <row r="165" spans="2:62" x14ac:dyDescent="0.3">
      <c r="V165" t="s">
        <v>100</v>
      </c>
      <c r="X165">
        <v>0.51</v>
      </c>
      <c r="AF165" t="s">
        <v>100</v>
      </c>
      <c r="AH165">
        <v>0.51</v>
      </c>
      <c r="AO165" s="12" t="s">
        <v>109</v>
      </c>
      <c r="AP165" s="12"/>
      <c r="AQ165" s="12"/>
      <c r="AR165" s="12"/>
      <c r="AY165" s="12" t="s">
        <v>109</v>
      </c>
      <c r="AZ165" s="12"/>
      <c r="BA165" s="12"/>
      <c r="BB165" s="12"/>
      <c r="BI165" s="23" t="s">
        <v>97</v>
      </c>
      <c r="BJ165" s="21">
        <f t="shared" si="23"/>
        <v>30.04</v>
      </c>
    </row>
    <row r="166" spans="2:62" x14ac:dyDescent="0.3">
      <c r="V166" t="s">
        <v>100</v>
      </c>
      <c r="X166">
        <v>7.94</v>
      </c>
      <c r="AF166" t="s">
        <v>100</v>
      </c>
      <c r="AH166">
        <v>7.94</v>
      </c>
      <c r="AP166" t="s">
        <v>95</v>
      </c>
      <c r="AR166">
        <v>0.51</v>
      </c>
      <c r="AZ166" t="s">
        <v>95</v>
      </c>
      <c r="BB166">
        <v>0.51</v>
      </c>
      <c r="BI166" s="23" t="s">
        <v>107</v>
      </c>
      <c r="BJ166" s="21">
        <f t="shared" si="23"/>
        <v>7.76</v>
      </c>
    </row>
    <row r="167" spans="2:62" x14ac:dyDescent="0.3">
      <c r="V167" t="s">
        <v>100</v>
      </c>
      <c r="X167">
        <v>3.6</v>
      </c>
      <c r="AF167" t="s">
        <v>100</v>
      </c>
      <c r="AH167">
        <v>3.6</v>
      </c>
      <c r="AP167" t="s">
        <v>95</v>
      </c>
      <c r="AR167">
        <v>7.94</v>
      </c>
      <c r="AZ167" t="s">
        <v>95</v>
      </c>
      <c r="BB167">
        <v>7.94</v>
      </c>
      <c r="BI167" s="23" t="s">
        <v>106</v>
      </c>
      <c r="BJ167" s="21">
        <f t="shared" si="23"/>
        <v>0</v>
      </c>
    </row>
    <row r="168" spans="2:62" x14ac:dyDescent="0.3">
      <c r="V168" t="s">
        <v>93</v>
      </c>
      <c r="X168">
        <v>3.25</v>
      </c>
      <c r="AF168" t="s">
        <v>93</v>
      </c>
      <c r="AH168">
        <v>3.25</v>
      </c>
      <c r="AP168" t="s">
        <v>97</v>
      </c>
      <c r="AR168">
        <v>3.6</v>
      </c>
      <c r="AZ168" t="s">
        <v>97</v>
      </c>
      <c r="BB168">
        <v>3.6</v>
      </c>
      <c r="BI168" s="23" t="s">
        <v>96</v>
      </c>
      <c r="BJ168" s="21">
        <f t="shared" si="23"/>
        <v>0</v>
      </c>
    </row>
    <row r="169" spans="2:62" x14ac:dyDescent="0.3">
      <c r="V169" t="s">
        <v>93</v>
      </c>
      <c r="X169">
        <v>0.65</v>
      </c>
      <c r="AF169" t="s">
        <v>93</v>
      </c>
      <c r="AH169">
        <v>0.65</v>
      </c>
      <c r="AP169" t="s">
        <v>97</v>
      </c>
      <c r="AR169">
        <v>3.6</v>
      </c>
      <c r="AZ169" t="s">
        <v>97</v>
      </c>
      <c r="BB169">
        <v>3.6</v>
      </c>
    </row>
    <row r="170" spans="2:62" x14ac:dyDescent="0.3">
      <c r="U170" s="12" t="s">
        <v>125</v>
      </c>
      <c r="V170" s="12"/>
      <c r="W170" s="12"/>
      <c r="X170" s="12"/>
      <c r="AE170" s="12" t="s">
        <v>125</v>
      </c>
      <c r="AF170" s="12"/>
      <c r="AG170" s="12"/>
      <c r="AH170" s="12"/>
      <c r="AP170" t="s">
        <v>107</v>
      </c>
      <c r="AR170">
        <v>3.23</v>
      </c>
      <c r="AZ170" t="s">
        <v>107</v>
      </c>
      <c r="BB170">
        <v>3.23</v>
      </c>
    </row>
    <row r="171" spans="2:62" x14ac:dyDescent="0.3">
      <c r="V171" t="s">
        <v>95</v>
      </c>
      <c r="X171">
        <v>0.51</v>
      </c>
      <c r="AF171" t="s">
        <v>95</v>
      </c>
      <c r="AH171">
        <v>0.51</v>
      </c>
      <c r="AP171" t="s">
        <v>107</v>
      </c>
      <c r="AR171">
        <v>0.65</v>
      </c>
      <c r="AZ171" t="s">
        <v>107</v>
      </c>
      <c r="BB171">
        <v>0.65</v>
      </c>
    </row>
    <row r="172" spans="2:62" x14ac:dyDescent="0.3">
      <c r="V172" t="s">
        <v>100</v>
      </c>
      <c r="X172">
        <v>7.94</v>
      </c>
      <c r="AF172" t="s">
        <v>100</v>
      </c>
      <c r="AH172">
        <v>7.94</v>
      </c>
    </row>
    <row r="173" spans="2:62" x14ac:dyDescent="0.3">
      <c r="V173" t="s">
        <v>93</v>
      </c>
      <c r="X173">
        <v>3.6</v>
      </c>
      <c r="AF173" t="s">
        <v>93</v>
      </c>
      <c r="AH173">
        <v>3.6</v>
      </c>
    </row>
    <row r="174" spans="2:62" x14ac:dyDescent="0.3">
      <c r="V174" t="s">
        <v>93</v>
      </c>
      <c r="X174">
        <v>3.25</v>
      </c>
      <c r="AF174" t="s">
        <v>93</v>
      </c>
      <c r="AH174">
        <v>3.25</v>
      </c>
    </row>
    <row r="175" spans="2:62" x14ac:dyDescent="0.3">
      <c r="V175" t="s">
        <v>93</v>
      </c>
      <c r="X175">
        <v>0.65</v>
      </c>
      <c r="AF175" t="s">
        <v>93</v>
      </c>
      <c r="AH175">
        <v>0.65</v>
      </c>
    </row>
    <row r="179" spans="1:52" x14ac:dyDescent="0.3">
      <c r="A179" s="12" t="s">
        <v>284</v>
      </c>
      <c r="B179" s="12"/>
      <c r="C179" s="12"/>
      <c r="D179" s="12"/>
      <c r="E179" s="12"/>
      <c r="F179" s="12"/>
      <c r="G179" s="12"/>
      <c r="H179" s="12"/>
      <c r="I179" s="12"/>
      <c r="K179" t="s">
        <v>138</v>
      </c>
      <c r="U179" t="s">
        <v>139</v>
      </c>
      <c r="AE179" t="s">
        <v>140</v>
      </c>
      <c r="AO179" t="s">
        <v>141</v>
      </c>
      <c r="AY179" s="21" t="s">
        <v>155</v>
      </c>
      <c r="AZ179" s="21"/>
    </row>
    <row r="180" spans="1:52" x14ac:dyDescent="0.3">
      <c r="A180" s="2" t="s">
        <v>67</v>
      </c>
      <c r="B180" s="2" t="s">
        <v>88</v>
      </c>
      <c r="C180" s="2" t="s">
        <v>47</v>
      </c>
      <c r="D180" s="2" t="s">
        <v>48</v>
      </c>
      <c r="E180" s="2" t="s">
        <v>77</v>
      </c>
      <c r="F180" s="2" t="s">
        <v>82</v>
      </c>
      <c r="G180" s="13" t="s">
        <v>88</v>
      </c>
      <c r="H180" s="13" t="s">
        <v>115</v>
      </c>
      <c r="I180" s="2"/>
      <c r="K180" s="2" t="s">
        <v>67</v>
      </c>
      <c r="L180" s="2" t="s">
        <v>88</v>
      </c>
      <c r="M180" s="2" t="s">
        <v>47</v>
      </c>
      <c r="N180" s="2" t="s">
        <v>48</v>
      </c>
      <c r="O180" s="2" t="s">
        <v>77</v>
      </c>
      <c r="P180" s="2" t="s">
        <v>82</v>
      </c>
      <c r="Q180" s="13" t="s">
        <v>88</v>
      </c>
      <c r="R180" s="13" t="s">
        <v>115</v>
      </c>
      <c r="S180" s="2"/>
      <c r="U180" s="2" t="s">
        <v>67</v>
      </c>
      <c r="V180" s="2" t="s">
        <v>88</v>
      </c>
      <c r="W180" s="2" t="s">
        <v>47</v>
      </c>
      <c r="X180" s="2" t="s">
        <v>48</v>
      </c>
      <c r="Y180" s="2" t="s">
        <v>77</v>
      </c>
      <c r="Z180" s="2" t="s">
        <v>82</v>
      </c>
      <c r="AA180" s="13" t="s">
        <v>88</v>
      </c>
      <c r="AB180" s="13" t="s">
        <v>115</v>
      </c>
      <c r="AC180" s="2"/>
      <c r="AE180" s="2" t="s">
        <v>67</v>
      </c>
      <c r="AF180" s="2" t="s">
        <v>88</v>
      </c>
      <c r="AG180" s="2" t="s">
        <v>47</v>
      </c>
      <c r="AH180" s="2" t="s">
        <v>48</v>
      </c>
      <c r="AI180" s="2" t="s">
        <v>77</v>
      </c>
      <c r="AJ180" s="2" t="s">
        <v>82</v>
      </c>
      <c r="AK180" s="13" t="s">
        <v>88</v>
      </c>
      <c r="AL180" s="13" t="s">
        <v>115</v>
      </c>
      <c r="AM180" s="2"/>
      <c r="AO180" s="2" t="s">
        <v>67</v>
      </c>
      <c r="AP180" s="2" t="s">
        <v>88</v>
      </c>
      <c r="AQ180" s="2" t="s">
        <v>47</v>
      </c>
      <c r="AR180" s="2" t="s">
        <v>48</v>
      </c>
      <c r="AS180" s="2" t="s">
        <v>77</v>
      </c>
      <c r="AT180" s="2" t="s">
        <v>82</v>
      </c>
      <c r="AU180" s="13" t="s">
        <v>88</v>
      </c>
      <c r="AV180" s="13" t="s">
        <v>115</v>
      </c>
      <c r="AW180" s="2"/>
      <c r="AY180" s="22" t="s">
        <v>88</v>
      </c>
      <c r="AZ180" s="22" t="s">
        <v>115</v>
      </c>
    </row>
    <row r="181" spans="1:52" x14ac:dyDescent="0.3">
      <c r="A181" s="12" t="s">
        <v>110</v>
      </c>
      <c r="B181" s="12"/>
      <c r="C181" s="12"/>
      <c r="D181" s="12"/>
      <c r="G181" s="4" t="s">
        <v>78</v>
      </c>
      <c r="H181" s="4">
        <f>SUMIF($B$182:$B$229,G181,$D$182:$D$229)</f>
        <v>0</v>
      </c>
      <c r="K181" s="12" t="s">
        <v>110</v>
      </c>
      <c r="L181" s="12"/>
      <c r="M181" s="12"/>
      <c r="N181" s="12"/>
      <c r="Q181" s="4" t="s">
        <v>78</v>
      </c>
      <c r="R181" s="4">
        <f>SUMIF($L$182:$L$229,Q181,$N$182:$N$229)</f>
        <v>0</v>
      </c>
      <c r="U181" s="12" t="s">
        <v>110</v>
      </c>
      <c r="V181" s="12"/>
      <c r="W181" s="12"/>
      <c r="X181" s="12"/>
      <c r="AA181" s="4" t="s">
        <v>78</v>
      </c>
      <c r="AB181" s="4">
        <f>SUMIF($V$182:$V$229,AA181,$X$182:$X$229)</f>
        <v>0</v>
      </c>
      <c r="AE181" s="12" t="s">
        <v>110</v>
      </c>
      <c r="AF181" s="12"/>
      <c r="AG181" s="12"/>
      <c r="AH181" s="12"/>
      <c r="AK181" s="4" t="s">
        <v>78</v>
      </c>
      <c r="AL181" s="4">
        <f>SUMIF($AF$182:$AF$229,AK181,$AH$182:$AH$229)</f>
        <v>0</v>
      </c>
      <c r="AO181" s="12" t="s">
        <v>110</v>
      </c>
      <c r="AP181" s="12"/>
      <c r="AQ181" s="12"/>
      <c r="AR181" s="12"/>
      <c r="AU181" s="4" t="s">
        <v>78</v>
      </c>
      <c r="AV181" s="4">
        <f>SUMIF($AP$182:$AP$229,AU181,$AR$182:$AR$229)</f>
        <v>0</v>
      </c>
      <c r="AY181" s="23" t="s">
        <v>78</v>
      </c>
      <c r="AZ181" s="21">
        <f>H181+R181+AB181+AL181+AV181</f>
        <v>0</v>
      </c>
    </row>
    <row r="182" spans="1:52" x14ac:dyDescent="0.3">
      <c r="A182" t="s">
        <v>89</v>
      </c>
      <c r="B182" t="s">
        <v>97</v>
      </c>
      <c r="D182">
        <v>2.1749999999999998</v>
      </c>
      <c r="G182" s="4" t="s">
        <v>90</v>
      </c>
      <c r="H182" s="4">
        <f t="shared" ref="H182:H191" si="24">SUMIF($B$182:$B$229,G182,$D$182:$D$229)</f>
        <v>0</v>
      </c>
      <c r="K182" t="s">
        <v>89</v>
      </c>
      <c r="L182" t="s">
        <v>107</v>
      </c>
      <c r="N182">
        <v>2.1749999999999998</v>
      </c>
      <c r="Q182" s="4" t="s">
        <v>90</v>
      </c>
      <c r="R182" s="4">
        <f t="shared" ref="R182:R191" si="25">SUMIF($L$182:$L$229,Q182,$N$182:$N$229)</f>
        <v>0</v>
      </c>
      <c r="U182" t="s">
        <v>89</v>
      </c>
      <c r="V182" t="s">
        <v>107</v>
      </c>
      <c r="X182">
        <v>2.1749999999999998</v>
      </c>
      <c r="AA182" s="4" t="s">
        <v>90</v>
      </c>
      <c r="AB182" s="4">
        <f t="shared" ref="AB182:AB191" si="26">SUMIF($V$182:$V$229,AA182,$X$182:$X$229)</f>
        <v>0</v>
      </c>
      <c r="AE182" t="s">
        <v>89</v>
      </c>
      <c r="AF182" t="s">
        <v>107</v>
      </c>
      <c r="AH182">
        <v>2.1749999999999998</v>
      </c>
      <c r="AK182" s="4" t="s">
        <v>90</v>
      </c>
      <c r="AL182" s="4">
        <f t="shared" ref="AL182:AL191" si="27">SUMIF($AF$182:$AF$229,AK182,$AH$182:$AH$229)</f>
        <v>0</v>
      </c>
      <c r="AO182" t="s">
        <v>89</v>
      </c>
      <c r="AP182" t="s">
        <v>107</v>
      </c>
      <c r="AR182">
        <v>2.1749999999999998</v>
      </c>
      <c r="AU182" s="4" t="s">
        <v>90</v>
      </c>
      <c r="AV182" s="4">
        <f t="shared" ref="AV182:AV191" si="28">SUMIF($AP$182:$AP$229,AU182,$AR$182:$AR$229)</f>
        <v>0</v>
      </c>
      <c r="AY182" s="23" t="s">
        <v>90</v>
      </c>
      <c r="AZ182" s="21">
        <f t="shared" ref="AZ182:AZ191" si="29">H182+R182+AB182+AL182+AV182</f>
        <v>0</v>
      </c>
    </row>
    <row r="183" spans="1:52" x14ac:dyDescent="0.3">
      <c r="A183" t="s">
        <v>126</v>
      </c>
      <c r="B183" t="s">
        <v>97</v>
      </c>
      <c r="D183">
        <v>2.2999999999999998</v>
      </c>
      <c r="G183" s="4" t="s">
        <v>99</v>
      </c>
      <c r="H183" s="4">
        <f t="shared" si="24"/>
        <v>0</v>
      </c>
      <c r="K183" t="s">
        <v>126</v>
      </c>
      <c r="L183" t="s">
        <v>107</v>
      </c>
      <c r="N183">
        <v>2.2999999999999998</v>
      </c>
      <c r="Q183" s="4" t="s">
        <v>99</v>
      </c>
      <c r="R183" s="4">
        <f t="shared" si="25"/>
        <v>0</v>
      </c>
      <c r="U183" t="s">
        <v>126</v>
      </c>
      <c r="V183" t="s">
        <v>107</v>
      </c>
      <c r="X183">
        <v>2.2999999999999998</v>
      </c>
      <c r="AA183" s="4" t="s">
        <v>99</v>
      </c>
      <c r="AB183" s="4">
        <f t="shared" si="26"/>
        <v>0</v>
      </c>
      <c r="AE183" t="s">
        <v>126</v>
      </c>
      <c r="AF183" t="s">
        <v>107</v>
      </c>
      <c r="AH183">
        <v>2.2999999999999998</v>
      </c>
      <c r="AK183" s="4" t="s">
        <v>99</v>
      </c>
      <c r="AL183" s="4">
        <f t="shared" si="27"/>
        <v>0</v>
      </c>
      <c r="AO183" t="s">
        <v>126</v>
      </c>
      <c r="AP183" t="s">
        <v>107</v>
      </c>
      <c r="AR183">
        <v>2.2999999999999998</v>
      </c>
      <c r="AU183" s="4" t="s">
        <v>99</v>
      </c>
      <c r="AV183" s="4">
        <f t="shared" si="28"/>
        <v>0</v>
      </c>
      <c r="AY183" s="23" t="s">
        <v>99</v>
      </c>
      <c r="AZ183" s="21">
        <f t="shared" si="29"/>
        <v>0</v>
      </c>
    </row>
    <row r="184" spans="1:52" x14ac:dyDescent="0.3">
      <c r="A184" t="s">
        <v>136</v>
      </c>
      <c r="B184" t="s">
        <v>100</v>
      </c>
      <c r="D184">
        <v>2.27</v>
      </c>
      <c r="G184" s="4" t="s">
        <v>95</v>
      </c>
      <c r="H184" s="4">
        <f t="shared" si="24"/>
        <v>0</v>
      </c>
      <c r="K184" t="s">
        <v>136</v>
      </c>
      <c r="L184" t="s">
        <v>100</v>
      </c>
      <c r="N184">
        <v>2.27</v>
      </c>
      <c r="Q184" s="4" t="s">
        <v>95</v>
      </c>
      <c r="R184" s="4">
        <f t="shared" si="25"/>
        <v>9.5400000000000009</v>
      </c>
      <c r="U184" t="s">
        <v>136</v>
      </c>
      <c r="V184" t="s">
        <v>100</v>
      </c>
      <c r="X184">
        <v>2.27</v>
      </c>
      <c r="AA184" s="4" t="s">
        <v>95</v>
      </c>
      <c r="AB184" s="4">
        <f t="shared" si="26"/>
        <v>9.5400000000000009</v>
      </c>
      <c r="AE184" t="s">
        <v>136</v>
      </c>
      <c r="AF184" t="s">
        <v>100</v>
      </c>
      <c r="AH184">
        <v>2.27</v>
      </c>
      <c r="AK184" s="4" t="s">
        <v>95</v>
      </c>
      <c r="AL184" s="4">
        <f t="shared" si="27"/>
        <v>13.89</v>
      </c>
      <c r="AO184" t="s">
        <v>136</v>
      </c>
      <c r="AP184" t="s">
        <v>100</v>
      </c>
      <c r="AR184">
        <v>2.27</v>
      </c>
      <c r="AU184" s="4" t="s">
        <v>95</v>
      </c>
      <c r="AV184" s="4">
        <f t="shared" si="28"/>
        <v>0</v>
      </c>
      <c r="AY184" s="23" t="s">
        <v>95</v>
      </c>
      <c r="AZ184" s="21">
        <f t="shared" si="29"/>
        <v>32.97</v>
      </c>
    </row>
    <row r="185" spans="1:52" x14ac:dyDescent="0.3">
      <c r="A185" t="s">
        <v>137</v>
      </c>
      <c r="B185" t="s">
        <v>100</v>
      </c>
      <c r="D185">
        <v>2.08</v>
      </c>
      <c r="G185" s="4" t="s">
        <v>100</v>
      </c>
      <c r="H185" s="4">
        <f t="shared" si="24"/>
        <v>44.269999999999996</v>
      </c>
      <c r="K185" t="s">
        <v>101</v>
      </c>
      <c r="L185" t="s">
        <v>100</v>
      </c>
      <c r="N185">
        <v>2.08</v>
      </c>
      <c r="Q185" s="4" t="s">
        <v>100</v>
      </c>
      <c r="R185" s="4">
        <f t="shared" si="25"/>
        <v>24.08</v>
      </c>
      <c r="U185" t="s">
        <v>101</v>
      </c>
      <c r="V185" t="s">
        <v>100</v>
      </c>
      <c r="X185">
        <v>2.08</v>
      </c>
      <c r="AA185" s="4" t="s">
        <v>100</v>
      </c>
      <c r="AB185" s="4">
        <f t="shared" si="26"/>
        <v>24.08</v>
      </c>
      <c r="AE185" t="s">
        <v>101</v>
      </c>
      <c r="AF185" t="s">
        <v>100</v>
      </c>
      <c r="AH185">
        <v>2.08</v>
      </c>
      <c r="AK185" s="4" t="s">
        <v>100</v>
      </c>
      <c r="AL185" s="4">
        <f t="shared" si="27"/>
        <v>19.729999999999997</v>
      </c>
      <c r="AO185" t="s">
        <v>101</v>
      </c>
      <c r="AP185" t="s">
        <v>100</v>
      </c>
      <c r="AR185">
        <v>2.08</v>
      </c>
      <c r="AU185" s="4" t="s">
        <v>100</v>
      </c>
      <c r="AV185" s="4">
        <f t="shared" si="28"/>
        <v>20.14</v>
      </c>
      <c r="AY185" s="23" t="s">
        <v>100</v>
      </c>
      <c r="AZ185" s="21">
        <f t="shared" si="29"/>
        <v>132.30000000000001</v>
      </c>
    </row>
    <row r="186" spans="1:52" x14ac:dyDescent="0.3">
      <c r="A186" t="s">
        <v>102</v>
      </c>
      <c r="B186" t="s">
        <v>94</v>
      </c>
      <c r="D186">
        <v>6.47</v>
      </c>
      <c r="G186" s="4" t="s">
        <v>93</v>
      </c>
      <c r="H186" s="4">
        <f t="shared" si="24"/>
        <v>8.6999999999999993</v>
      </c>
      <c r="K186" t="s">
        <v>102</v>
      </c>
      <c r="L186" t="s">
        <v>93</v>
      </c>
      <c r="N186">
        <v>6.47</v>
      </c>
      <c r="Q186" s="4" t="s">
        <v>93</v>
      </c>
      <c r="R186" s="4">
        <f t="shared" si="25"/>
        <v>51.98599999999999</v>
      </c>
      <c r="U186" t="s">
        <v>102</v>
      </c>
      <c r="V186" t="s">
        <v>93</v>
      </c>
      <c r="X186">
        <v>6.47</v>
      </c>
      <c r="AA186" s="4" t="s">
        <v>93</v>
      </c>
      <c r="AB186" s="4">
        <f t="shared" si="26"/>
        <v>51.98599999999999</v>
      </c>
      <c r="AE186" t="s">
        <v>102</v>
      </c>
      <c r="AF186" t="s">
        <v>93</v>
      </c>
      <c r="AH186">
        <v>6.47</v>
      </c>
      <c r="AK186" s="4" t="s">
        <v>93</v>
      </c>
      <c r="AL186" s="4">
        <f t="shared" si="27"/>
        <v>25.045999999999999</v>
      </c>
      <c r="AO186" t="s">
        <v>102</v>
      </c>
      <c r="AP186" t="s">
        <v>93</v>
      </c>
      <c r="AR186">
        <v>6.47</v>
      </c>
      <c r="AU186" s="4" t="s">
        <v>93</v>
      </c>
      <c r="AV186" s="4">
        <f t="shared" si="28"/>
        <v>29.395999999999997</v>
      </c>
      <c r="AY186" s="23" t="s">
        <v>93</v>
      </c>
      <c r="AZ186" s="21">
        <f t="shared" si="29"/>
        <v>167.11399999999998</v>
      </c>
    </row>
    <row r="187" spans="1:52" x14ac:dyDescent="0.3">
      <c r="A187" t="s">
        <v>103</v>
      </c>
      <c r="B187" t="s">
        <v>94</v>
      </c>
      <c r="D187">
        <v>6.0529999999999999</v>
      </c>
      <c r="G187" s="4" t="s">
        <v>94</v>
      </c>
      <c r="H187" s="4">
        <f t="shared" si="24"/>
        <v>20.943000000000001</v>
      </c>
      <c r="K187" t="s">
        <v>103</v>
      </c>
      <c r="L187" t="s">
        <v>93</v>
      </c>
      <c r="N187">
        <v>6.0529999999999999</v>
      </c>
      <c r="Q187" s="4" t="s">
        <v>94</v>
      </c>
      <c r="R187" s="4">
        <f t="shared" si="25"/>
        <v>7.92</v>
      </c>
      <c r="U187" t="s">
        <v>103</v>
      </c>
      <c r="V187" t="s">
        <v>93</v>
      </c>
      <c r="X187">
        <v>6.0529999999999999</v>
      </c>
      <c r="AA187" s="4" t="s">
        <v>94</v>
      </c>
      <c r="AB187" s="4">
        <f t="shared" si="26"/>
        <v>7.92</v>
      </c>
      <c r="AE187" t="s">
        <v>103</v>
      </c>
      <c r="AF187" t="s">
        <v>93</v>
      </c>
      <c r="AH187">
        <v>6.0529999999999999</v>
      </c>
      <c r="AK187" s="4" t="s">
        <v>94</v>
      </c>
      <c r="AL187" s="4">
        <f t="shared" si="27"/>
        <v>16.619999999999997</v>
      </c>
      <c r="AO187" t="s">
        <v>103</v>
      </c>
      <c r="AP187" t="s">
        <v>93</v>
      </c>
      <c r="AR187">
        <v>6.0529999999999999</v>
      </c>
      <c r="AU187" s="4" t="s">
        <v>94</v>
      </c>
      <c r="AV187" s="4">
        <f t="shared" si="28"/>
        <v>0</v>
      </c>
      <c r="AY187" s="23" t="s">
        <v>94</v>
      </c>
      <c r="AZ187" s="21">
        <f t="shared" si="29"/>
        <v>53.402999999999999</v>
      </c>
    </row>
    <row r="188" spans="1:52" x14ac:dyDescent="0.3">
      <c r="G188" s="4" t="s">
        <v>97</v>
      </c>
      <c r="H188" s="4">
        <f t="shared" si="24"/>
        <v>24.218</v>
      </c>
      <c r="Q188" s="4" t="s">
        <v>97</v>
      </c>
      <c r="R188" s="4">
        <f t="shared" si="25"/>
        <v>4.92</v>
      </c>
      <c r="AA188" s="4" t="s">
        <v>97</v>
      </c>
      <c r="AB188" s="4">
        <f t="shared" si="26"/>
        <v>4.92</v>
      </c>
      <c r="AK188" s="4" t="s">
        <v>97</v>
      </c>
      <c r="AL188" s="4">
        <f t="shared" si="27"/>
        <v>4.92</v>
      </c>
      <c r="AU188" s="4" t="s">
        <v>97</v>
      </c>
      <c r="AV188" s="4">
        <f t="shared" si="28"/>
        <v>4.92</v>
      </c>
      <c r="AY188" s="23" t="s">
        <v>97</v>
      </c>
      <c r="AZ188" s="21">
        <f t="shared" si="29"/>
        <v>43.898000000000003</v>
      </c>
    </row>
    <row r="189" spans="1:52" x14ac:dyDescent="0.3">
      <c r="A189" s="12" t="s">
        <v>121</v>
      </c>
      <c r="B189" s="12"/>
      <c r="C189" s="12"/>
      <c r="D189" s="12"/>
      <c r="G189" s="4" t="s">
        <v>107</v>
      </c>
      <c r="H189" s="4">
        <f t="shared" si="24"/>
        <v>0</v>
      </c>
      <c r="K189" s="12" t="s">
        <v>121</v>
      </c>
      <c r="L189" s="12"/>
      <c r="M189" s="12"/>
      <c r="N189" s="12"/>
      <c r="Q189" s="4" t="s">
        <v>107</v>
      </c>
      <c r="R189" s="4">
        <f t="shared" si="25"/>
        <v>16.170000000000002</v>
      </c>
      <c r="U189" s="12" t="s">
        <v>121</v>
      </c>
      <c r="V189" s="12"/>
      <c r="W189" s="12"/>
      <c r="X189" s="12"/>
      <c r="AA189" s="4" t="s">
        <v>107</v>
      </c>
      <c r="AB189" s="4">
        <f t="shared" si="26"/>
        <v>16.170000000000002</v>
      </c>
      <c r="AE189" s="12" t="s">
        <v>121</v>
      </c>
      <c r="AF189" s="12"/>
      <c r="AG189" s="12"/>
      <c r="AH189" s="12"/>
      <c r="AK189" s="4" t="s">
        <v>107</v>
      </c>
      <c r="AL189" s="4">
        <f t="shared" si="27"/>
        <v>8.9499999999999993</v>
      </c>
      <c r="AO189" s="12"/>
      <c r="AP189" s="12"/>
      <c r="AQ189" s="12"/>
      <c r="AR189" s="12"/>
      <c r="AU189" s="4" t="s">
        <v>107</v>
      </c>
      <c r="AV189" s="4">
        <f t="shared" si="28"/>
        <v>8.9499999999999993</v>
      </c>
      <c r="AY189" s="23" t="s">
        <v>107</v>
      </c>
      <c r="AZ189" s="21">
        <f t="shared" si="29"/>
        <v>50.240000000000009</v>
      </c>
    </row>
    <row r="190" spans="1:52" x14ac:dyDescent="0.3">
      <c r="A190" t="s">
        <v>89</v>
      </c>
      <c r="B190" t="s">
        <v>97</v>
      </c>
      <c r="D190">
        <v>1.82</v>
      </c>
      <c r="G190" s="4" t="s">
        <v>106</v>
      </c>
      <c r="H190" s="4">
        <f t="shared" si="24"/>
        <v>4.4749999999999996</v>
      </c>
      <c r="K190" t="s">
        <v>89</v>
      </c>
      <c r="L190" t="s">
        <v>107</v>
      </c>
      <c r="N190">
        <v>1.82</v>
      </c>
      <c r="Q190" s="4" t="s">
        <v>106</v>
      </c>
      <c r="R190" s="4">
        <f t="shared" si="25"/>
        <v>0</v>
      </c>
      <c r="U190" t="s">
        <v>89</v>
      </c>
      <c r="V190" t="s">
        <v>107</v>
      </c>
      <c r="X190">
        <v>1.82</v>
      </c>
      <c r="AA190" s="4" t="s">
        <v>106</v>
      </c>
      <c r="AB190" s="4">
        <f t="shared" si="26"/>
        <v>0</v>
      </c>
      <c r="AE190" t="s">
        <v>89</v>
      </c>
      <c r="AF190" t="s">
        <v>106</v>
      </c>
      <c r="AH190">
        <v>1.82</v>
      </c>
      <c r="AK190" s="4" t="s">
        <v>106</v>
      </c>
      <c r="AL190" s="4">
        <f t="shared" si="27"/>
        <v>7.2200000000000006</v>
      </c>
      <c r="AU190" s="4" t="s">
        <v>106</v>
      </c>
      <c r="AV190" s="4">
        <f t="shared" si="28"/>
        <v>0</v>
      </c>
      <c r="AY190" s="23" t="s">
        <v>106</v>
      </c>
      <c r="AZ190" s="21">
        <f t="shared" si="29"/>
        <v>11.695</v>
      </c>
    </row>
    <row r="191" spans="1:52" x14ac:dyDescent="0.3">
      <c r="A191" t="s">
        <v>126</v>
      </c>
      <c r="B191" t="s">
        <v>97</v>
      </c>
      <c r="D191">
        <v>1.79</v>
      </c>
      <c r="G191" s="4" t="s">
        <v>96</v>
      </c>
      <c r="H191" s="4">
        <f t="shared" si="24"/>
        <v>0</v>
      </c>
      <c r="K191" t="s">
        <v>126</v>
      </c>
      <c r="L191" t="s">
        <v>107</v>
      </c>
      <c r="N191">
        <v>1.79</v>
      </c>
      <c r="Q191" s="4" t="s">
        <v>96</v>
      </c>
      <c r="R191" s="4">
        <f t="shared" si="25"/>
        <v>0</v>
      </c>
      <c r="U191" t="s">
        <v>126</v>
      </c>
      <c r="V191" t="s">
        <v>107</v>
      </c>
      <c r="X191">
        <v>1.79</v>
      </c>
      <c r="AA191" s="4" t="s">
        <v>96</v>
      </c>
      <c r="AB191" s="4">
        <f t="shared" si="26"/>
        <v>0</v>
      </c>
      <c r="AE191" t="s">
        <v>126</v>
      </c>
      <c r="AF191" t="s">
        <v>106</v>
      </c>
      <c r="AH191">
        <v>1.79</v>
      </c>
      <c r="AK191" s="4" t="s">
        <v>96</v>
      </c>
      <c r="AL191" s="4">
        <f t="shared" si="27"/>
        <v>0</v>
      </c>
      <c r="AU191" s="4" t="s">
        <v>96</v>
      </c>
      <c r="AV191" s="4">
        <f t="shared" si="28"/>
        <v>0</v>
      </c>
      <c r="AY191" s="23" t="s">
        <v>96</v>
      </c>
      <c r="AZ191" s="21">
        <f t="shared" si="29"/>
        <v>0</v>
      </c>
    </row>
    <row r="192" spans="1:52" x14ac:dyDescent="0.3">
      <c r="A192" t="s">
        <v>136</v>
      </c>
      <c r="B192" t="s">
        <v>100</v>
      </c>
      <c r="D192">
        <v>1.91</v>
      </c>
      <c r="K192" t="s">
        <v>136</v>
      </c>
      <c r="L192" t="s">
        <v>94</v>
      </c>
      <c r="N192">
        <v>1.91</v>
      </c>
      <c r="U192" t="s">
        <v>136</v>
      </c>
      <c r="V192" t="s">
        <v>94</v>
      </c>
      <c r="X192">
        <v>1.91</v>
      </c>
      <c r="AE192" t="s">
        <v>136</v>
      </c>
      <c r="AF192" t="s">
        <v>94</v>
      </c>
      <c r="AH192">
        <v>1.91</v>
      </c>
      <c r="AY192" s="21"/>
      <c r="AZ192" s="21"/>
    </row>
    <row r="193" spans="1:52" x14ac:dyDescent="0.3">
      <c r="A193" t="s">
        <v>137</v>
      </c>
      <c r="B193" t="s">
        <v>100</v>
      </c>
      <c r="D193">
        <v>2.0499999999999998</v>
      </c>
      <c r="K193" t="s">
        <v>101</v>
      </c>
      <c r="L193" t="s">
        <v>94</v>
      </c>
      <c r="N193">
        <v>2.0499999999999998</v>
      </c>
      <c r="U193" t="s">
        <v>101</v>
      </c>
      <c r="V193" t="s">
        <v>94</v>
      </c>
      <c r="X193">
        <v>2.0499999999999998</v>
      </c>
      <c r="AE193" t="s">
        <v>101</v>
      </c>
      <c r="AF193" t="s">
        <v>94</v>
      </c>
      <c r="AH193">
        <v>2.0499999999999998</v>
      </c>
      <c r="AY193" s="21"/>
      <c r="AZ193" s="21"/>
    </row>
    <row r="194" spans="1:52" x14ac:dyDescent="0.3">
      <c r="A194" t="s">
        <v>102</v>
      </c>
      <c r="B194" t="s">
        <v>93</v>
      </c>
      <c r="D194">
        <v>1.94</v>
      </c>
      <c r="K194" t="s">
        <v>102</v>
      </c>
      <c r="L194" t="s">
        <v>93</v>
      </c>
      <c r="N194">
        <v>1.94</v>
      </c>
      <c r="U194" t="s">
        <v>102</v>
      </c>
      <c r="V194" t="s">
        <v>93</v>
      </c>
      <c r="X194">
        <v>1.94</v>
      </c>
      <c r="AE194" t="s">
        <v>102</v>
      </c>
      <c r="AF194" t="s">
        <v>94</v>
      </c>
      <c r="AH194">
        <v>1.94</v>
      </c>
      <c r="AY194" s="21"/>
      <c r="AZ194" s="21"/>
    </row>
    <row r="195" spans="1:52" x14ac:dyDescent="0.3">
      <c r="A195" t="s">
        <v>103</v>
      </c>
      <c r="B195" t="s">
        <v>93</v>
      </c>
      <c r="D195">
        <v>2.41</v>
      </c>
      <c r="G195" t="s">
        <v>87</v>
      </c>
      <c r="K195" t="s">
        <v>103</v>
      </c>
      <c r="L195" t="s">
        <v>93</v>
      </c>
      <c r="N195">
        <v>2.41</v>
      </c>
      <c r="Q195" t="s">
        <v>87</v>
      </c>
      <c r="U195" t="s">
        <v>103</v>
      </c>
      <c r="V195" t="s">
        <v>93</v>
      </c>
      <c r="X195">
        <v>2.41</v>
      </c>
      <c r="AA195" t="s">
        <v>87</v>
      </c>
      <c r="AE195" t="s">
        <v>103</v>
      </c>
      <c r="AF195" t="s">
        <v>94</v>
      </c>
      <c r="AH195">
        <v>2.41</v>
      </c>
      <c r="AK195" t="s">
        <v>87</v>
      </c>
      <c r="AU195" t="s">
        <v>87</v>
      </c>
      <c r="AY195" s="21" t="s">
        <v>156</v>
      </c>
      <c r="AZ195" s="21"/>
    </row>
    <row r="196" spans="1:52" x14ac:dyDescent="0.3">
      <c r="G196" s="2" t="s">
        <v>88</v>
      </c>
      <c r="H196" s="2" t="s">
        <v>115</v>
      </c>
      <c r="Q196" s="2" t="s">
        <v>88</v>
      </c>
      <c r="R196" s="2" t="s">
        <v>115</v>
      </c>
      <c r="AA196" s="2" t="s">
        <v>88</v>
      </c>
      <c r="AB196" s="2" t="s">
        <v>115</v>
      </c>
      <c r="AK196" s="2" t="s">
        <v>88</v>
      </c>
      <c r="AL196" s="2" t="s">
        <v>115</v>
      </c>
      <c r="AU196" s="2" t="s">
        <v>88</v>
      </c>
      <c r="AV196" s="2" t="s">
        <v>115</v>
      </c>
      <c r="AY196" s="22" t="s">
        <v>88</v>
      </c>
      <c r="AZ196" s="22" t="s">
        <v>115</v>
      </c>
    </row>
    <row r="197" spans="1:52" x14ac:dyDescent="0.3">
      <c r="A197" s="12" t="s">
        <v>125</v>
      </c>
      <c r="B197" s="12"/>
      <c r="C197" s="12"/>
      <c r="D197" s="12"/>
      <c r="G197" t="s">
        <v>78</v>
      </c>
      <c r="H197">
        <f>H181-H213</f>
        <v>0</v>
      </c>
      <c r="K197" s="12" t="s">
        <v>125</v>
      </c>
      <c r="L197" s="12"/>
      <c r="M197" s="12"/>
      <c r="N197" s="12"/>
      <c r="Q197" t="s">
        <v>78</v>
      </c>
      <c r="R197">
        <f>R181-R213</f>
        <v>0</v>
      </c>
      <c r="U197" s="12" t="s">
        <v>125</v>
      </c>
      <c r="V197" s="12"/>
      <c r="W197" s="12"/>
      <c r="X197" s="12"/>
      <c r="AA197" t="s">
        <v>78</v>
      </c>
      <c r="AB197">
        <f>AB181-AB213</f>
        <v>0</v>
      </c>
      <c r="AE197" s="12"/>
      <c r="AF197" s="12"/>
      <c r="AG197" s="12"/>
      <c r="AH197" s="12"/>
      <c r="AK197" t="s">
        <v>78</v>
      </c>
      <c r="AL197">
        <f>AL181-AL213</f>
        <v>0</v>
      </c>
      <c r="AO197" s="12"/>
      <c r="AP197" s="12"/>
      <c r="AQ197" s="12"/>
      <c r="AR197" s="12"/>
      <c r="AU197" t="s">
        <v>78</v>
      </c>
      <c r="AV197">
        <f>AV181-AV213</f>
        <v>0</v>
      </c>
      <c r="AY197" s="23" t="s">
        <v>78</v>
      </c>
      <c r="AZ197" s="21">
        <f>H197+R197+AB197+AL197+AV197</f>
        <v>0</v>
      </c>
    </row>
    <row r="198" spans="1:52" x14ac:dyDescent="0.3">
      <c r="A198" t="s">
        <v>136</v>
      </c>
      <c r="B198" t="s">
        <v>100</v>
      </c>
      <c r="D198">
        <v>5.13</v>
      </c>
      <c r="G198" t="s">
        <v>90</v>
      </c>
      <c r="H198">
        <f t="shared" ref="H198:H207" si="30">H182-H214</f>
        <v>0</v>
      </c>
      <c r="K198" t="s">
        <v>136</v>
      </c>
      <c r="L198" t="s">
        <v>93</v>
      </c>
      <c r="N198">
        <v>5.13</v>
      </c>
      <c r="Q198" t="s">
        <v>90</v>
      </c>
      <c r="R198">
        <f t="shared" ref="R198:R207" si="31">R182-R214</f>
        <v>0</v>
      </c>
      <c r="U198" t="s">
        <v>136</v>
      </c>
      <c r="V198" t="s">
        <v>93</v>
      </c>
      <c r="X198">
        <v>5.13</v>
      </c>
      <c r="AA198" t="s">
        <v>90</v>
      </c>
      <c r="AB198">
        <f t="shared" ref="AB198:AB207" si="32">AB182-AB214</f>
        <v>0</v>
      </c>
      <c r="AK198" t="s">
        <v>90</v>
      </c>
      <c r="AL198">
        <f t="shared" ref="AL198:AL207" si="33">AL182-AL214</f>
        <v>0</v>
      </c>
      <c r="AU198" t="s">
        <v>90</v>
      </c>
      <c r="AV198">
        <f t="shared" ref="AV198:AV207" si="34">AV182-AV214</f>
        <v>0</v>
      </c>
      <c r="AY198" s="23" t="s">
        <v>90</v>
      </c>
      <c r="AZ198" s="21">
        <f t="shared" ref="AZ198:AZ223" si="35">H198+R198+AB198+AL198+AV198</f>
        <v>0</v>
      </c>
    </row>
    <row r="199" spans="1:52" x14ac:dyDescent="0.3">
      <c r="A199" t="s">
        <v>137</v>
      </c>
      <c r="B199" t="s">
        <v>100</v>
      </c>
      <c r="D199">
        <v>4.6900000000000004</v>
      </c>
      <c r="G199" t="s">
        <v>99</v>
      </c>
      <c r="H199">
        <f t="shared" si="30"/>
        <v>0</v>
      </c>
      <c r="K199" t="s">
        <v>137</v>
      </c>
      <c r="L199" t="s">
        <v>93</v>
      </c>
      <c r="N199">
        <v>4.6900000000000004</v>
      </c>
      <c r="Q199" t="s">
        <v>99</v>
      </c>
      <c r="R199">
        <f t="shared" si="31"/>
        <v>0</v>
      </c>
      <c r="U199" t="s">
        <v>137</v>
      </c>
      <c r="V199" t="s">
        <v>93</v>
      </c>
      <c r="X199">
        <v>4.6900000000000004</v>
      </c>
      <c r="AA199" t="s">
        <v>99</v>
      </c>
      <c r="AB199">
        <f t="shared" si="32"/>
        <v>0</v>
      </c>
      <c r="AK199" t="s">
        <v>99</v>
      </c>
      <c r="AL199">
        <f t="shared" si="33"/>
        <v>0</v>
      </c>
      <c r="AU199" t="s">
        <v>99</v>
      </c>
      <c r="AV199">
        <f t="shared" si="34"/>
        <v>0</v>
      </c>
      <c r="AY199" s="23" t="s">
        <v>99</v>
      </c>
      <c r="AZ199" s="21">
        <f t="shared" si="35"/>
        <v>0</v>
      </c>
    </row>
    <row r="200" spans="1:52" x14ac:dyDescent="0.3">
      <c r="G200" t="s">
        <v>95</v>
      </c>
      <c r="H200">
        <f t="shared" si="30"/>
        <v>0</v>
      </c>
      <c r="Q200" t="s">
        <v>95</v>
      </c>
      <c r="R200">
        <f t="shared" si="31"/>
        <v>9.5400000000000009</v>
      </c>
      <c r="AA200" t="s">
        <v>95</v>
      </c>
      <c r="AB200">
        <f t="shared" si="32"/>
        <v>9.5400000000000009</v>
      </c>
      <c r="AK200" t="s">
        <v>95</v>
      </c>
      <c r="AL200">
        <f t="shared" si="33"/>
        <v>9.5400000000000009</v>
      </c>
      <c r="AU200" t="s">
        <v>95</v>
      </c>
      <c r="AV200">
        <f t="shared" si="34"/>
        <v>0</v>
      </c>
      <c r="AY200" s="23" t="s">
        <v>95</v>
      </c>
      <c r="AZ200" s="21">
        <f t="shared" si="35"/>
        <v>28.620000000000005</v>
      </c>
    </row>
    <row r="201" spans="1:52" x14ac:dyDescent="0.3">
      <c r="A201" s="12" t="s">
        <v>111</v>
      </c>
      <c r="B201" s="12"/>
      <c r="C201" s="12"/>
      <c r="D201" s="12"/>
      <c r="G201" t="s">
        <v>100</v>
      </c>
      <c r="H201">
        <f t="shared" si="30"/>
        <v>44.269999999999996</v>
      </c>
      <c r="K201" s="12" t="s">
        <v>111</v>
      </c>
      <c r="L201" s="12"/>
      <c r="M201" s="12"/>
      <c r="N201" s="12"/>
      <c r="Q201" t="s">
        <v>100</v>
      </c>
      <c r="R201">
        <f t="shared" si="31"/>
        <v>19.729999999999997</v>
      </c>
      <c r="U201" s="12" t="s">
        <v>111</v>
      </c>
      <c r="V201" s="12"/>
      <c r="W201" s="12"/>
      <c r="X201" s="12"/>
      <c r="AA201" t="s">
        <v>100</v>
      </c>
      <c r="AB201">
        <f t="shared" si="32"/>
        <v>19.729999999999997</v>
      </c>
      <c r="AE201" s="12" t="s">
        <v>111</v>
      </c>
      <c r="AF201" s="12"/>
      <c r="AG201" s="12"/>
      <c r="AH201" s="12"/>
      <c r="AK201" t="s">
        <v>100</v>
      </c>
      <c r="AL201">
        <f t="shared" si="33"/>
        <v>19.729999999999997</v>
      </c>
      <c r="AO201" s="12" t="s">
        <v>111</v>
      </c>
      <c r="AP201" s="12"/>
      <c r="AQ201" s="12"/>
      <c r="AR201" s="12"/>
      <c r="AU201" t="s">
        <v>100</v>
      </c>
      <c r="AV201">
        <f t="shared" si="34"/>
        <v>20.14</v>
      </c>
      <c r="AY201" s="23" t="s">
        <v>100</v>
      </c>
      <c r="AZ201" s="21">
        <f t="shared" si="35"/>
        <v>123.59999999999998</v>
      </c>
    </row>
    <row r="202" spans="1:52" x14ac:dyDescent="0.3">
      <c r="A202" t="s">
        <v>136</v>
      </c>
      <c r="B202" t="s">
        <v>100</v>
      </c>
      <c r="D202">
        <v>9.36</v>
      </c>
      <c r="G202" t="s">
        <v>93</v>
      </c>
      <c r="H202">
        <f t="shared" si="30"/>
        <v>0</v>
      </c>
      <c r="K202" t="s">
        <v>89</v>
      </c>
      <c r="L202" t="s">
        <v>97</v>
      </c>
      <c r="N202">
        <v>2.46</v>
      </c>
      <c r="Q202" t="s">
        <v>93</v>
      </c>
      <c r="R202">
        <f t="shared" si="31"/>
        <v>18.239999999999988</v>
      </c>
      <c r="U202" t="s">
        <v>89</v>
      </c>
      <c r="V202" t="s">
        <v>97</v>
      </c>
      <c r="X202">
        <v>2.46</v>
      </c>
      <c r="AA202" t="s">
        <v>93</v>
      </c>
      <c r="AB202">
        <f t="shared" si="32"/>
        <v>18.239999999999988</v>
      </c>
      <c r="AE202" t="s">
        <v>89</v>
      </c>
      <c r="AF202" t="s">
        <v>97</v>
      </c>
      <c r="AH202">
        <v>2.46</v>
      </c>
      <c r="AK202" t="s">
        <v>93</v>
      </c>
      <c r="AL202">
        <f t="shared" si="33"/>
        <v>0</v>
      </c>
      <c r="AO202" t="s">
        <v>89</v>
      </c>
      <c r="AP202" t="s">
        <v>97</v>
      </c>
      <c r="AR202">
        <v>2.46</v>
      </c>
      <c r="AU202" t="s">
        <v>93</v>
      </c>
      <c r="AV202">
        <f t="shared" si="34"/>
        <v>0</v>
      </c>
      <c r="AY202" s="23" t="s">
        <v>93</v>
      </c>
      <c r="AZ202" s="21">
        <f t="shared" si="35"/>
        <v>36.479999999999976</v>
      </c>
    </row>
    <row r="203" spans="1:52" x14ac:dyDescent="0.3">
      <c r="A203" t="s">
        <v>101</v>
      </c>
      <c r="B203" t="s">
        <v>100</v>
      </c>
      <c r="D203">
        <v>8.4700000000000006</v>
      </c>
      <c r="G203" t="s">
        <v>94</v>
      </c>
      <c r="H203">
        <f t="shared" si="30"/>
        <v>8.4200000000000017</v>
      </c>
      <c r="K203" t="s">
        <v>126</v>
      </c>
      <c r="L203" t="s">
        <v>97</v>
      </c>
      <c r="N203">
        <v>2.46</v>
      </c>
      <c r="Q203" t="s">
        <v>94</v>
      </c>
      <c r="R203">
        <f t="shared" si="31"/>
        <v>7.92</v>
      </c>
      <c r="U203" t="s">
        <v>126</v>
      </c>
      <c r="V203" t="s">
        <v>97</v>
      </c>
      <c r="X203">
        <v>2.46</v>
      </c>
      <c r="AA203" t="s">
        <v>94</v>
      </c>
      <c r="AB203">
        <f t="shared" si="32"/>
        <v>7.92</v>
      </c>
      <c r="AE203" t="s">
        <v>126</v>
      </c>
      <c r="AF203" t="s">
        <v>97</v>
      </c>
      <c r="AH203">
        <v>2.46</v>
      </c>
      <c r="AK203" t="s">
        <v>94</v>
      </c>
      <c r="AL203">
        <f t="shared" si="33"/>
        <v>7.9199999999999982</v>
      </c>
      <c r="AO203" t="s">
        <v>126</v>
      </c>
      <c r="AP203" t="s">
        <v>97</v>
      </c>
      <c r="AR203">
        <v>2.46</v>
      </c>
      <c r="AU203" t="s">
        <v>94</v>
      </c>
      <c r="AV203">
        <f t="shared" si="34"/>
        <v>0</v>
      </c>
      <c r="AY203" s="23" t="s">
        <v>94</v>
      </c>
      <c r="AZ203" s="21">
        <f t="shared" si="35"/>
        <v>32.180000000000007</v>
      </c>
    </row>
    <row r="204" spans="1:52" x14ac:dyDescent="0.3">
      <c r="G204" t="s">
        <v>97</v>
      </c>
      <c r="H204">
        <f t="shared" si="30"/>
        <v>11.695</v>
      </c>
      <c r="K204" t="s">
        <v>136</v>
      </c>
      <c r="L204" t="s">
        <v>95</v>
      </c>
      <c r="N204">
        <v>5.73</v>
      </c>
      <c r="Q204" t="s">
        <v>97</v>
      </c>
      <c r="R204">
        <f t="shared" si="31"/>
        <v>4.92</v>
      </c>
      <c r="U204" t="s">
        <v>136</v>
      </c>
      <c r="V204" t="s">
        <v>95</v>
      </c>
      <c r="X204">
        <v>5.73</v>
      </c>
      <c r="AA204" t="s">
        <v>97</v>
      </c>
      <c r="AB204">
        <f t="shared" si="32"/>
        <v>4.92</v>
      </c>
      <c r="AE204" t="s">
        <v>136</v>
      </c>
      <c r="AF204" t="s">
        <v>95</v>
      </c>
      <c r="AH204">
        <v>5.73</v>
      </c>
      <c r="AK204" t="s">
        <v>97</v>
      </c>
      <c r="AL204">
        <f t="shared" si="33"/>
        <v>4.92</v>
      </c>
      <c r="AO204" t="s">
        <v>136</v>
      </c>
      <c r="AP204" t="s">
        <v>100</v>
      </c>
      <c r="AR204">
        <v>5.78</v>
      </c>
      <c r="AU204" t="s">
        <v>97</v>
      </c>
      <c r="AV204">
        <f t="shared" si="34"/>
        <v>4.92</v>
      </c>
      <c r="AY204" s="23" t="s">
        <v>97</v>
      </c>
      <c r="AZ204" s="21">
        <f t="shared" si="35"/>
        <v>31.375000000000007</v>
      </c>
    </row>
    <row r="205" spans="1:52" x14ac:dyDescent="0.3">
      <c r="G205" t="s">
        <v>107</v>
      </c>
      <c r="H205">
        <f t="shared" si="30"/>
        <v>0</v>
      </c>
      <c r="L205" t="s">
        <v>100</v>
      </c>
      <c r="N205">
        <v>4.09</v>
      </c>
      <c r="Q205" t="s">
        <v>107</v>
      </c>
      <c r="R205">
        <f t="shared" si="31"/>
        <v>16.170000000000002</v>
      </c>
      <c r="V205" t="s">
        <v>100</v>
      </c>
      <c r="X205">
        <v>4.09</v>
      </c>
      <c r="AA205" t="s">
        <v>107</v>
      </c>
      <c r="AB205">
        <f t="shared" si="32"/>
        <v>16.170000000000002</v>
      </c>
      <c r="AF205" t="s">
        <v>100</v>
      </c>
      <c r="AH205">
        <v>4.09</v>
      </c>
      <c r="AK205" t="s">
        <v>107</v>
      </c>
      <c r="AL205">
        <f t="shared" si="33"/>
        <v>8.9499999999999993</v>
      </c>
      <c r="AU205" t="s">
        <v>107</v>
      </c>
      <c r="AV205">
        <f t="shared" si="34"/>
        <v>8.9499999999999993</v>
      </c>
      <c r="AY205" s="23" t="s">
        <v>107</v>
      </c>
      <c r="AZ205" s="21">
        <f t="shared" si="35"/>
        <v>50.240000000000009</v>
      </c>
    </row>
    <row r="206" spans="1:52" x14ac:dyDescent="0.3">
      <c r="G206" t="s">
        <v>106</v>
      </c>
      <c r="H206">
        <f t="shared" si="30"/>
        <v>4.4749999999999996</v>
      </c>
      <c r="K206" t="s">
        <v>101</v>
      </c>
      <c r="L206" t="s">
        <v>95</v>
      </c>
      <c r="N206">
        <v>3.81</v>
      </c>
      <c r="Q206" t="s">
        <v>106</v>
      </c>
      <c r="R206">
        <f t="shared" si="31"/>
        <v>0</v>
      </c>
      <c r="U206" t="s">
        <v>101</v>
      </c>
      <c r="V206" t="s">
        <v>95</v>
      </c>
      <c r="X206">
        <v>3.81</v>
      </c>
      <c r="AA206" t="s">
        <v>106</v>
      </c>
      <c r="AB206">
        <f t="shared" si="32"/>
        <v>0</v>
      </c>
      <c r="AE206" t="s">
        <v>101</v>
      </c>
      <c r="AF206" t="s">
        <v>95</v>
      </c>
      <c r="AH206">
        <v>3.81</v>
      </c>
      <c r="AK206" t="s">
        <v>106</v>
      </c>
      <c r="AL206">
        <f t="shared" si="33"/>
        <v>7.2200000000000006</v>
      </c>
      <c r="AO206" t="s">
        <v>101</v>
      </c>
      <c r="AP206" t="s">
        <v>100</v>
      </c>
      <c r="AR206">
        <v>5.66</v>
      </c>
      <c r="AU206" t="s">
        <v>106</v>
      </c>
      <c r="AV206">
        <f t="shared" si="34"/>
        <v>0</v>
      </c>
      <c r="AY206" s="23" t="s">
        <v>106</v>
      </c>
      <c r="AZ206" s="21">
        <f t="shared" si="35"/>
        <v>11.695</v>
      </c>
    </row>
    <row r="207" spans="1:52" x14ac:dyDescent="0.3">
      <c r="G207" t="s">
        <v>96</v>
      </c>
      <c r="H207">
        <f t="shared" si="30"/>
        <v>0</v>
      </c>
      <c r="L207" t="s">
        <v>100</v>
      </c>
      <c r="N207">
        <v>6.94</v>
      </c>
      <c r="Q207" t="s">
        <v>96</v>
      </c>
      <c r="R207">
        <f t="shared" si="31"/>
        <v>0</v>
      </c>
      <c r="V207" t="s">
        <v>100</v>
      </c>
      <c r="X207">
        <v>6.94</v>
      </c>
      <c r="AA207" t="s">
        <v>96</v>
      </c>
      <c r="AB207">
        <f t="shared" si="32"/>
        <v>0</v>
      </c>
      <c r="AF207" t="s">
        <v>100</v>
      </c>
      <c r="AH207">
        <v>6.94</v>
      </c>
      <c r="AK207" t="s">
        <v>96</v>
      </c>
      <c r="AL207">
        <f t="shared" si="33"/>
        <v>0</v>
      </c>
      <c r="AU207" t="s">
        <v>96</v>
      </c>
      <c r="AV207">
        <f t="shared" si="34"/>
        <v>0</v>
      </c>
      <c r="AY207" s="23" t="s">
        <v>96</v>
      </c>
      <c r="AZ207" s="21"/>
    </row>
    <row r="208" spans="1:52" x14ac:dyDescent="0.3">
      <c r="K208" t="s">
        <v>102</v>
      </c>
      <c r="L208" t="s">
        <v>100</v>
      </c>
      <c r="N208">
        <v>1.94</v>
      </c>
      <c r="U208" t="s">
        <v>102</v>
      </c>
      <c r="V208" t="s">
        <v>100</v>
      </c>
      <c r="X208">
        <v>1.94</v>
      </c>
      <c r="AE208" t="s">
        <v>102</v>
      </c>
      <c r="AF208" t="s">
        <v>95</v>
      </c>
      <c r="AH208">
        <v>1.94</v>
      </c>
      <c r="AO208" t="s">
        <v>102</v>
      </c>
      <c r="AP208" t="s">
        <v>93</v>
      </c>
      <c r="AR208">
        <v>1.94</v>
      </c>
      <c r="AY208" s="21"/>
      <c r="AZ208" s="21"/>
    </row>
    <row r="209" spans="1:52" x14ac:dyDescent="0.3">
      <c r="K209" t="s">
        <v>103</v>
      </c>
      <c r="L209" t="s">
        <v>100</v>
      </c>
      <c r="N209">
        <v>2.41</v>
      </c>
      <c r="U209" t="s">
        <v>103</v>
      </c>
      <c r="V209" t="s">
        <v>100</v>
      </c>
      <c r="X209">
        <v>2.41</v>
      </c>
      <c r="AE209" t="s">
        <v>103</v>
      </c>
      <c r="AF209" t="s">
        <v>95</v>
      </c>
      <c r="AH209">
        <v>2.41</v>
      </c>
      <c r="AO209" t="s">
        <v>103</v>
      </c>
      <c r="AP209" t="s">
        <v>93</v>
      </c>
      <c r="AR209">
        <v>2.41</v>
      </c>
      <c r="AY209" s="21"/>
      <c r="AZ209" s="21"/>
    </row>
    <row r="210" spans="1:52" x14ac:dyDescent="0.3">
      <c r="AY210" s="21"/>
      <c r="AZ210" s="21"/>
    </row>
    <row r="211" spans="1:52" x14ac:dyDescent="0.3">
      <c r="A211" s="12" t="s">
        <v>109</v>
      </c>
      <c r="B211" s="12"/>
      <c r="C211" s="12"/>
      <c r="D211" s="12"/>
      <c r="G211" t="s">
        <v>153</v>
      </c>
      <c r="K211" s="12" t="s">
        <v>109</v>
      </c>
      <c r="L211" s="12"/>
      <c r="M211" s="12"/>
      <c r="N211" s="12"/>
      <c r="Q211" t="s">
        <v>153</v>
      </c>
      <c r="U211" s="12" t="s">
        <v>109</v>
      </c>
      <c r="V211" s="12"/>
      <c r="W211" s="12"/>
      <c r="X211" s="12"/>
      <c r="AA211" t="s">
        <v>153</v>
      </c>
      <c r="AE211" s="12" t="s">
        <v>109</v>
      </c>
      <c r="AF211" s="12"/>
      <c r="AG211" s="12"/>
      <c r="AH211" s="12"/>
      <c r="AK211" t="s">
        <v>153</v>
      </c>
      <c r="AO211" s="12" t="s">
        <v>109</v>
      </c>
      <c r="AP211" s="12"/>
      <c r="AQ211" s="12"/>
      <c r="AR211" s="12"/>
      <c r="AU211" t="s">
        <v>153</v>
      </c>
      <c r="AY211" s="21" t="s">
        <v>157</v>
      </c>
      <c r="AZ211" s="21"/>
    </row>
    <row r="212" spans="1:52" x14ac:dyDescent="0.3">
      <c r="A212" t="s">
        <v>89</v>
      </c>
      <c r="B212" t="s">
        <v>106</v>
      </c>
      <c r="D212">
        <v>2.1749999999999998</v>
      </c>
      <c r="G212" s="2" t="s">
        <v>88</v>
      </c>
      <c r="H212" s="2" t="s">
        <v>115</v>
      </c>
      <c r="K212" t="s">
        <v>89</v>
      </c>
      <c r="L212" t="s">
        <v>107</v>
      </c>
      <c r="N212">
        <v>2.1749999999999998</v>
      </c>
      <c r="Q212" s="2" t="s">
        <v>88</v>
      </c>
      <c r="R212" s="2" t="s">
        <v>115</v>
      </c>
      <c r="U212" t="s">
        <v>89</v>
      </c>
      <c r="V212" t="s">
        <v>107</v>
      </c>
      <c r="X212">
        <v>2.1749999999999998</v>
      </c>
      <c r="AA212" s="2" t="s">
        <v>88</v>
      </c>
      <c r="AB212" s="2" t="s">
        <v>115</v>
      </c>
      <c r="AE212" t="s">
        <v>89</v>
      </c>
      <c r="AF212" t="s">
        <v>107</v>
      </c>
      <c r="AH212">
        <v>2.1749999999999998</v>
      </c>
      <c r="AK212" s="2" t="s">
        <v>88</v>
      </c>
      <c r="AL212" s="2" t="s">
        <v>115</v>
      </c>
      <c r="AO212" t="s">
        <v>89</v>
      </c>
      <c r="AP212" t="s">
        <v>107</v>
      </c>
      <c r="AR212">
        <v>2.1749999999999998</v>
      </c>
      <c r="AU212" s="2" t="s">
        <v>88</v>
      </c>
      <c r="AV212" s="2" t="s">
        <v>115</v>
      </c>
      <c r="AY212" s="22" t="s">
        <v>88</v>
      </c>
      <c r="AZ212" s="22" t="s">
        <v>115</v>
      </c>
    </row>
    <row r="213" spans="1:52" x14ac:dyDescent="0.3">
      <c r="A213" t="s">
        <v>126</v>
      </c>
      <c r="B213" t="s">
        <v>106</v>
      </c>
      <c r="D213">
        <v>2.2999999999999998</v>
      </c>
      <c r="G213" t="s">
        <v>78</v>
      </c>
      <c r="H213" cm="1">
        <f t="array" ref="H213">SUMPRODUCT(SUMIFS($D$182:$D$229,$B$182:$B$229,G213,$A$182:$A$229,$A$224:$A$225))</f>
        <v>0</v>
      </c>
      <c r="K213" t="s">
        <v>126</v>
      </c>
      <c r="L213" t="s">
        <v>107</v>
      </c>
      <c r="N213">
        <v>2.2999999999999998</v>
      </c>
      <c r="Q213" t="s">
        <v>78</v>
      </c>
      <c r="R213" cm="1">
        <f t="array" ref="R213">SUMPRODUCT(SUMIFS($N$182:$N$229,$L$182:$L$229,Q213,$K$182:$K$229,$K$224:$K$225))</f>
        <v>0</v>
      </c>
      <c r="U213" t="s">
        <v>126</v>
      </c>
      <c r="V213" t="s">
        <v>107</v>
      </c>
      <c r="X213">
        <v>2.2999999999999998</v>
      </c>
      <c r="AA213" t="s">
        <v>78</v>
      </c>
      <c r="AB213" cm="1">
        <f t="array" ref="AB213">SUMPRODUCT(SUMIFS($X$182:$X$229,$V$182:$V$229,AA213,$U$182:$U$229,$U$224:$U$225))</f>
        <v>0</v>
      </c>
      <c r="AE213" t="s">
        <v>126</v>
      </c>
      <c r="AF213" t="s">
        <v>107</v>
      </c>
      <c r="AH213">
        <v>2.2999999999999998</v>
      </c>
      <c r="AK213" t="s">
        <v>78</v>
      </c>
      <c r="AL213" cm="1">
        <f t="array" ref="AL213">SUMPRODUCT(SUMIFS($AH$182:$AH$229,$AF$182:$AF$229,AK213,$AE$182:$AE$229,$AE$224:$AE$225))</f>
        <v>0</v>
      </c>
      <c r="AO213" t="s">
        <v>126</v>
      </c>
      <c r="AP213" t="s">
        <v>107</v>
      </c>
      <c r="AR213">
        <v>2.2999999999999998</v>
      </c>
      <c r="AU213" t="s">
        <v>78</v>
      </c>
      <c r="AV213" cm="1">
        <f t="array" ref="AV213">SUMPRODUCT(SUMIFS($AR$182:$AR$229,$AP$182:$AP$229,AU213,$AO$182:$AO$229,$AO$216:$AO$217))</f>
        <v>0</v>
      </c>
      <c r="AY213" s="23" t="s">
        <v>78</v>
      </c>
      <c r="AZ213" s="21">
        <f>H213+R213+AB213+AL213+AV213</f>
        <v>0</v>
      </c>
    </row>
    <row r="214" spans="1:52" x14ac:dyDescent="0.3">
      <c r="A214" t="s">
        <v>136</v>
      </c>
      <c r="B214" t="s">
        <v>100</v>
      </c>
      <c r="D214">
        <v>2.27</v>
      </c>
      <c r="G214" t="s">
        <v>90</v>
      </c>
      <c r="H214" cm="1">
        <f t="array" ref="H214">SUMPRODUCT(SUMIFS($D$182:$D$229,$B$182:$B$229,G214,$A$182:$A$229,$A$224:$A$225))</f>
        <v>0</v>
      </c>
      <c r="K214" t="s">
        <v>136</v>
      </c>
      <c r="L214" t="s">
        <v>100</v>
      </c>
      <c r="N214">
        <v>2.27</v>
      </c>
      <c r="Q214" t="s">
        <v>90</v>
      </c>
      <c r="R214" cm="1">
        <f t="array" ref="R214">SUMPRODUCT(SUMIFS($N$182:$N$229,$L$182:$L$229,Q214,$K$182:$K$229,$K$224:$K$225))</f>
        <v>0</v>
      </c>
      <c r="U214" t="s">
        <v>136</v>
      </c>
      <c r="V214" t="s">
        <v>100</v>
      </c>
      <c r="X214">
        <v>2.27</v>
      </c>
      <c r="AA214" t="s">
        <v>90</v>
      </c>
      <c r="AB214" cm="1">
        <f t="array" ref="AB214">SUMPRODUCT(SUMIFS($X$182:$X$229,$V$182:$V$229,AA214,$U$182:$U$229,$U$224:$U$225))</f>
        <v>0</v>
      </c>
      <c r="AE214" t="s">
        <v>136</v>
      </c>
      <c r="AF214" t="s">
        <v>100</v>
      </c>
      <c r="AH214">
        <v>2.27</v>
      </c>
      <c r="AK214" t="s">
        <v>90</v>
      </c>
      <c r="AL214" cm="1">
        <f t="array" ref="AL214">SUMPRODUCT(SUMIFS($AH$182:$AH$229,$AF$182:$AF$229,AK214,$AE$182:$AE$229,$AE$224:$AE$225))</f>
        <v>0</v>
      </c>
      <c r="AO214" t="s">
        <v>136</v>
      </c>
      <c r="AP214" t="s">
        <v>100</v>
      </c>
      <c r="AR214">
        <v>2.27</v>
      </c>
      <c r="AU214" t="s">
        <v>90</v>
      </c>
      <c r="AV214" cm="1">
        <f t="array" ref="AV214">SUMPRODUCT(SUMIFS($AR$182:$AR$229,$AP$182:$AP$229,AU214,$AO$182:$AO$229,$AO$216:$AO$217))</f>
        <v>0</v>
      </c>
      <c r="AY214" s="23" t="s">
        <v>90</v>
      </c>
      <c r="AZ214" s="21">
        <f t="shared" si="35"/>
        <v>0</v>
      </c>
    </row>
    <row r="215" spans="1:52" x14ac:dyDescent="0.3">
      <c r="A215" t="s">
        <v>137</v>
      </c>
      <c r="B215" t="s">
        <v>100</v>
      </c>
      <c r="D215">
        <v>2.08</v>
      </c>
      <c r="G215" t="s">
        <v>99</v>
      </c>
      <c r="H215" cm="1">
        <f t="array" ref="H215">SUMPRODUCT(SUMIFS($D$182:$D$229,$B$182:$B$229,G215,$A$182:$A$229,$A$224:$A$225))</f>
        <v>0</v>
      </c>
      <c r="K215" t="s">
        <v>101</v>
      </c>
      <c r="L215" t="s">
        <v>100</v>
      </c>
      <c r="N215">
        <v>2.08</v>
      </c>
      <c r="Q215" t="s">
        <v>99</v>
      </c>
      <c r="R215" cm="1">
        <f t="array" ref="R215">SUMPRODUCT(SUMIFS($N$182:$N$229,$L$182:$L$229,Q215,$K$182:$K$229,$K$224:$K$225))</f>
        <v>0</v>
      </c>
      <c r="U215" t="s">
        <v>101</v>
      </c>
      <c r="V215" t="s">
        <v>100</v>
      </c>
      <c r="X215">
        <v>2.08</v>
      </c>
      <c r="AA215" t="s">
        <v>99</v>
      </c>
      <c r="AB215" cm="1">
        <f t="array" ref="AB215">SUMPRODUCT(SUMIFS($X$182:$X$229,$V$182:$V$229,AA215,$U$182:$U$229,$U$224:$U$225))</f>
        <v>0</v>
      </c>
      <c r="AE215" t="s">
        <v>101</v>
      </c>
      <c r="AF215" t="s">
        <v>100</v>
      </c>
      <c r="AH215">
        <v>2.08</v>
      </c>
      <c r="AK215" t="s">
        <v>99</v>
      </c>
      <c r="AL215" cm="1">
        <f t="array" ref="AL215">SUMPRODUCT(SUMIFS($AH$182:$AH$229,$AF$182:$AF$229,AK215,$AE$182:$AE$229,$AE$224:$AE$225))</f>
        <v>0</v>
      </c>
      <c r="AO215" t="s">
        <v>101</v>
      </c>
      <c r="AP215" t="s">
        <v>100</v>
      </c>
      <c r="AR215">
        <v>2.08</v>
      </c>
      <c r="AU215" t="s">
        <v>99</v>
      </c>
      <c r="AV215" cm="1">
        <f t="array" ref="AV215">SUMPRODUCT(SUMIFS($AR$182:$AR$229,$AP$182:$AP$229,AU215,$AO$182:$AO$229,$AO$216:$AO$217))</f>
        <v>0</v>
      </c>
      <c r="AY215" s="23" t="s">
        <v>99</v>
      </c>
      <c r="AZ215" s="21">
        <f t="shared" si="35"/>
        <v>0</v>
      </c>
    </row>
    <row r="216" spans="1:52" x14ac:dyDescent="0.3">
      <c r="A216" t="s">
        <v>102</v>
      </c>
      <c r="B216" t="s">
        <v>97</v>
      </c>
      <c r="D216">
        <v>6.47</v>
      </c>
      <c r="G216" t="s">
        <v>95</v>
      </c>
      <c r="H216" cm="1">
        <f t="array" ref="H216">SUMPRODUCT(SUMIFS($D$182:$D$229,$B$182:$B$229,G216,$A$182:$A$229,$A$224:$A$225))</f>
        <v>0</v>
      </c>
      <c r="K216" t="s">
        <v>102</v>
      </c>
      <c r="L216" t="s">
        <v>93</v>
      </c>
      <c r="N216">
        <v>6.47</v>
      </c>
      <c r="Q216" t="s">
        <v>95</v>
      </c>
      <c r="R216" cm="1">
        <f t="array" ref="R216">SUMPRODUCT(SUMIFS($N$182:$N$229,$L$182:$L$229,Q216,$K$182:$K$229,$K$224:$K$225))</f>
        <v>0</v>
      </c>
      <c r="U216" t="s">
        <v>102</v>
      </c>
      <c r="V216" t="s">
        <v>93</v>
      </c>
      <c r="X216">
        <v>6.47</v>
      </c>
      <c r="AA216" t="s">
        <v>95</v>
      </c>
      <c r="AB216" cm="1">
        <f t="array" ref="AB216">SUMPRODUCT(SUMIFS($X$182:$X$229,$V$182:$V$229,AA216,$U$182:$U$229,$U$224:$U$225))</f>
        <v>0</v>
      </c>
      <c r="AE216" t="s">
        <v>102</v>
      </c>
      <c r="AF216" t="s">
        <v>93</v>
      </c>
      <c r="AH216">
        <v>6.47</v>
      </c>
      <c r="AK216" t="s">
        <v>95</v>
      </c>
      <c r="AL216" cm="1">
        <f t="array" ref="AL216">SUMPRODUCT(SUMIFS($AH$182:$AH$229,$AF$182:$AF$229,AK216,$AE$182:$AE$229,$AE$224:$AE$225))</f>
        <v>4.3499999999999996</v>
      </c>
      <c r="AO216" t="s">
        <v>102</v>
      </c>
      <c r="AP216" t="s">
        <v>93</v>
      </c>
      <c r="AR216">
        <v>6.47</v>
      </c>
      <c r="AU216" t="s">
        <v>95</v>
      </c>
      <c r="AV216" cm="1">
        <f t="array" ref="AV216">SUMPRODUCT(SUMIFS($AR$182:$AR$229,$AP$182:$AP$229,AU216,$AO$182:$AO$229,$AO$216:$AO$217))</f>
        <v>0</v>
      </c>
      <c r="AY216" s="23" t="s">
        <v>95</v>
      </c>
      <c r="AZ216" s="21">
        <f t="shared" si="35"/>
        <v>4.3499999999999996</v>
      </c>
    </row>
    <row r="217" spans="1:52" x14ac:dyDescent="0.3">
      <c r="A217" t="s">
        <v>103</v>
      </c>
      <c r="B217" t="s">
        <v>97</v>
      </c>
      <c r="D217">
        <v>6.0529999999999999</v>
      </c>
      <c r="G217" t="s">
        <v>100</v>
      </c>
      <c r="H217" cm="1">
        <f t="array" ref="H217">SUMPRODUCT(SUMIFS($D$182:$D$229,$B$182:$B$229,G217,$A$182:$A$229,$A$224:$A$225))</f>
        <v>0</v>
      </c>
      <c r="K217" t="s">
        <v>103</v>
      </c>
      <c r="L217" t="s">
        <v>93</v>
      </c>
      <c r="N217">
        <v>6.0529999999999999</v>
      </c>
      <c r="Q217" t="s">
        <v>100</v>
      </c>
      <c r="R217" cm="1">
        <f t="array" ref="R217">SUMPRODUCT(SUMIFS($N$182:$N$229,$L$182:$L$229,Q217,$K$182:$K$229,$K$224:$K$225))</f>
        <v>4.3499999999999996</v>
      </c>
      <c r="U217" t="s">
        <v>103</v>
      </c>
      <c r="V217" t="s">
        <v>93</v>
      </c>
      <c r="X217">
        <v>6.0529999999999999</v>
      </c>
      <c r="AA217" t="s">
        <v>100</v>
      </c>
      <c r="AB217" cm="1">
        <f t="array" ref="AB217">SUMPRODUCT(SUMIFS($X$182:$X$229,$V$182:$V$229,AA217,$U$182:$U$229,$U$224:$U$225))</f>
        <v>4.3499999999999996</v>
      </c>
      <c r="AE217" t="s">
        <v>103</v>
      </c>
      <c r="AF217" t="s">
        <v>93</v>
      </c>
      <c r="AH217">
        <v>6.0529999999999999</v>
      </c>
      <c r="AK217" t="s">
        <v>100</v>
      </c>
      <c r="AL217" cm="1">
        <f t="array" ref="AL217">SUMPRODUCT(SUMIFS($AH$182:$AH$229,$AF$182:$AF$229,AK217,$AE$182:$AE$229,$AE$224:$AE$225))</f>
        <v>0</v>
      </c>
      <c r="AO217" t="s">
        <v>103</v>
      </c>
      <c r="AP217" t="s">
        <v>93</v>
      </c>
      <c r="AR217">
        <v>6.0529999999999999</v>
      </c>
      <c r="AU217" t="s">
        <v>100</v>
      </c>
      <c r="AV217" cm="1">
        <f t="array" ref="AV217">SUMPRODUCT(SUMIFS($AR$182:$AR$229,$AP$182:$AP$229,AU217,$AO$182:$AO$229,$AO$216:$AO$217))</f>
        <v>0</v>
      </c>
      <c r="AY217" s="23" t="s">
        <v>100</v>
      </c>
      <c r="AZ217" s="21">
        <f t="shared" si="35"/>
        <v>8.6999999999999993</v>
      </c>
    </row>
    <row r="218" spans="1:52" x14ac:dyDescent="0.3">
      <c r="G218" t="s">
        <v>93</v>
      </c>
      <c r="H218" cm="1">
        <f t="array" ref="H218">SUMPRODUCT(SUMIFS($D$182:$D$229,$B$182:$B$229,G218,$A$182:$A$229,$A$224:$A$225))</f>
        <v>8.6999999999999993</v>
      </c>
      <c r="Q218" t="s">
        <v>93</v>
      </c>
      <c r="R218" cm="1">
        <f t="array" ref="R218">SUMPRODUCT(SUMIFS($N$182:$N$229,$L$182:$L$229,Q218,$K$182:$K$229,$K$224:$K$225))</f>
        <v>33.746000000000002</v>
      </c>
      <c r="AA218" t="s">
        <v>93</v>
      </c>
      <c r="AB218" cm="1">
        <f t="array" ref="AB218">SUMPRODUCT(SUMIFS($X$182:$X$229,$V$182:$V$229,AA218,$U$182:$U$229,$U$224:$U$225))</f>
        <v>33.746000000000002</v>
      </c>
      <c r="AK218" t="s">
        <v>93</v>
      </c>
      <c r="AL218" cm="1">
        <f t="array" ref="AL218">SUMPRODUCT(SUMIFS($AH$182:$AH$229,$AF$182:$AF$229,AK218,$AE$182:$AE$229,$AE$224:$AE$225))</f>
        <v>25.045999999999999</v>
      </c>
      <c r="AU218" t="s">
        <v>93</v>
      </c>
      <c r="AV218" cm="1">
        <f t="array" ref="AV218">SUMPRODUCT(SUMIFS($AR$182:$AR$229,$AP$182:$AP$229,AU218,$AO$182:$AO$229,$AO$216:$AO$217))</f>
        <v>29.396000000000001</v>
      </c>
      <c r="AY218" s="23" t="s">
        <v>93</v>
      </c>
      <c r="AZ218" s="21">
        <f t="shared" si="35"/>
        <v>130.63400000000001</v>
      </c>
    </row>
    <row r="219" spans="1:52" x14ac:dyDescent="0.3">
      <c r="A219" s="12" t="s">
        <v>108</v>
      </c>
      <c r="B219" s="12"/>
      <c r="C219" s="12"/>
      <c r="D219" s="12"/>
      <c r="G219" t="s">
        <v>94</v>
      </c>
      <c r="H219" cm="1">
        <f t="array" ref="H219">SUMPRODUCT(SUMIFS($D$182:$D$229,$B$182:$B$229,G219,$A$182:$A$229,$A$224:$A$225))</f>
        <v>12.523</v>
      </c>
      <c r="K219" s="12" t="s">
        <v>108</v>
      </c>
      <c r="L219" s="12"/>
      <c r="M219" s="12"/>
      <c r="N219" s="12"/>
      <c r="Q219" t="s">
        <v>94</v>
      </c>
      <c r="R219" cm="1">
        <f t="array" ref="R219">SUMPRODUCT(SUMIFS($N$182:$N$229,$L$182:$L$229,Q219,$K$182:$K$229,$K$224:$K$225))</f>
        <v>0</v>
      </c>
      <c r="U219" s="12" t="s">
        <v>108</v>
      </c>
      <c r="V219" s="12"/>
      <c r="W219" s="12"/>
      <c r="X219" s="12"/>
      <c r="AA219" t="s">
        <v>94</v>
      </c>
      <c r="AB219" cm="1">
        <f t="array" ref="AB219">SUMPRODUCT(SUMIFS($X$182:$X$229,$V$182:$V$229,AA219,$U$182:$U$229,$U$224:$U$225))</f>
        <v>0</v>
      </c>
      <c r="AE219" s="12" t="s">
        <v>108</v>
      </c>
      <c r="AF219" s="12"/>
      <c r="AG219" s="12"/>
      <c r="AH219" s="12"/>
      <c r="AK219" t="s">
        <v>94</v>
      </c>
      <c r="AL219" cm="1">
        <f t="array" ref="AL219">SUMPRODUCT(SUMIFS($AH$182:$AH$229,$AF$182:$AF$229,AK219,$AE$182:$AE$229,$AE$224:$AE$225))</f>
        <v>8.6999999999999993</v>
      </c>
      <c r="AO219" s="12"/>
      <c r="AP219" s="12"/>
      <c r="AQ219" s="12"/>
      <c r="AR219" s="12"/>
      <c r="AU219" t="s">
        <v>94</v>
      </c>
      <c r="AV219" cm="1">
        <f t="array" ref="AV219">SUMPRODUCT(SUMIFS($AR$182:$AR$229,$AP$182:$AP$229,AU219,$AO$182:$AO$229,$AO$216:$AO$217))</f>
        <v>0</v>
      </c>
      <c r="AY219" s="23" t="s">
        <v>94</v>
      </c>
      <c r="AZ219" s="21">
        <f t="shared" si="35"/>
        <v>21.222999999999999</v>
      </c>
    </row>
    <row r="220" spans="1:52" x14ac:dyDescent="0.3">
      <c r="A220" t="s">
        <v>89</v>
      </c>
      <c r="B220" t="s">
        <v>97</v>
      </c>
      <c r="D220">
        <v>1.82</v>
      </c>
      <c r="G220" t="s">
        <v>97</v>
      </c>
      <c r="H220" cm="1">
        <f t="array" ref="H220">SUMPRODUCT(SUMIFS($D$182:$D$229,$B$182:$B$229,G220,$A$182:$A$229,$A$224:$A$225))</f>
        <v>12.523</v>
      </c>
      <c r="K220" t="s">
        <v>89</v>
      </c>
      <c r="L220" t="s">
        <v>107</v>
      </c>
      <c r="N220">
        <v>1.82</v>
      </c>
      <c r="Q220" t="s">
        <v>97</v>
      </c>
      <c r="R220" cm="1">
        <f t="array" ref="R220">SUMPRODUCT(SUMIFS($N$182:$N$229,$L$182:$L$229,Q220,$K$182:$K$229,$K$224:$K$225))</f>
        <v>0</v>
      </c>
      <c r="U220" t="s">
        <v>89</v>
      </c>
      <c r="V220" t="s">
        <v>107</v>
      </c>
      <c r="X220">
        <v>1.82</v>
      </c>
      <c r="AA220" t="s">
        <v>97</v>
      </c>
      <c r="AB220" cm="1">
        <f t="array" ref="AB220">SUMPRODUCT(SUMIFS($X$182:$X$229,$V$182:$V$229,AA220,$U$182:$U$229,$U$224:$U$225))</f>
        <v>0</v>
      </c>
      <c r="AE220" t="s">
        <v>89</v>
      </c>
      <c r="AF220" t="s">
        <v>106</v>
      </c>
      <c r="AH220">
        <v>1.82</v>
      </c>
      <c r="AK220" t="s">
        <v>97</v>
      </c>
      <c r="AL220" cm="1">
        <f t="array" ref="AL220">SUMPRODUCT(SUMIFS($AH$182:$AH$229,$AF$182:$AF$229,AK220,$AE$182:$AE$229,$AE$224:$AE$225))</f>
        <v>0</v>
      </c>
      <c r="AU220" t="s">
        <v>97</v>
      </c>
      <c r="AV220" cm="1">
        <f t="array" ref="AV220">SUMPRODUCT(SUMIFS($AR$182:$AR$229,$AP$182:$AP$229,AU220,$AO$182:$AO$229,$AO$216:$AO$217))</f>
        <v>0</v>
      </c>
      <c r="AY220" s="23" t="s">
        <v>97</v>
      </c>
      <c r="AZ220" s="21">
        <f t="shared" si="35"/>
        <v>12.523</v>
      </c>
    </row>
    <row r="221" spans="1:52" x14ac:dyDescent="0.3">
      <c r="A221" t="s">
        <v>126</v>
      </c>
      <c r="B221" t="s">
        <v>97</v>
      </c>
      <c r="D221">
        <v>1.79</v>
      </c>
      <c r="G221" t="s">
        <v>107</v>
      </c>
      <c r="H221" cm="1">
        <f t="array" ref="H221">SUMPRODUCT(SUMIFS($D$182:$D$229,$B$182:$B$229,G221,$A$182:$A$229,$A$224:$A$225))</f>
        <v>0</v>
      </c>
      <c r="K221" t="s">
        <v>126</v>
      </c>
      <c r="L221" t="s">
        <v>107</v>
      </c>
      <c r="N221">
        <v>1.79</v>
      </c>
      <c r="Q221" t="s">
        <v>107</v>
      </c>
      <c r="R221" cm="1">
        <f t="array" ref="R221">SUMPRODUCT(SUMIFS($N$182:$N$229,$L$182:$L$229,Q221,$K$182:$K$229,$K$224:$K$225))</f>
        <v>0</v>
      </c>
      <c r="U221" t="s">
        <v>126</v>
      </c>
      <c r="V221" t="s">
        <v>107</v>
      </c>
      <c r="X221">
        <v>1.79</v>
      </c>
      <c r="AA221" t="s">
        <v>107</v>
      </c>
      <c r="AB221" cm="1">
        <f t="array" ref="AB221">SUMPRODUCT(SUMIFS($X$182:$X$229,$V$182:$V$229,AA221,$U$182:$U$229,$U$224:$U$225))</f>
        <v>0</v>
      </c>
      <c r="AE221" t="s">
        <v>126</v>
      </c>
      <c r="AF221" t="s">
        <v>106</v>
      </c>
      <c r="AH221">
        <v>1.79</v>
      </c>
      <c r="AK221" t="s">
        <v>107</v>
      </c>
      <c r="AL221" cm="1">
        <f t="array" ref="AL221">SUMPRODUCT(SUMIFS($AH$182:$AH$229,$AF$182:$AF$229,AK221,$AE$182:$AE$229,$AE$224:$AE$225))</f>
        <v>0</v>
      </c>
      <c r="AU221" t="s">
        <v>107</v>
      </c>
      <c r="AV221" cm="1">
        <f t="array" ref="AV221">SUMPRODUCT(SUMIFS($AR$182:$AR$229,$AP$182:$AP$229,AU221,$AO$182:$AO$229,$AO$216:$AO$217))</f>
        <v>0</v>
      </c>
      <c r="AY221" s="23" t="s">
        <v>107</v>
      </c>
      <c r="AZ221" s="21">
        <f t="shared" si="35"/>
        <v>0</v>
      </c>
    </row>
    <row r="222" spans="1:52" x14ac:dyDescent="0.3">
      <c r="A222" t="s">
        <v>136</v>
      </c>
      <c r="B222" t="s">
        <v>100</v>
      </c>
      <c r="D222">
        <v>1.91</v>
      </c>
      <c r="G222" t="s">
        <v>106</v>
      </c>
      <c r="H222" cm="1">
        <f t="array" ref="H222">SUMPRODUCT(SUMIFS($D$182:$D$229,$B$182:$B$229,G222,$A$182:$A$229,$A$224:$A$225))</f>
        <v>0</v>
      </c>
      <c r="K222" t="s">
        <v>136</v>
      </c>
      <c r="L222" t="s">
        <v>94</v>
      </c>
      <c r="N222">
        <v>1.91</v>
      </c>
      <c r="Q222" t="s">
        <v>106</v>
      </c>
      <c r="R222" cm="1">
        <f t="array" ref="R222">SUMPRODUCT(SUMIFS($N$182:$N$229,$L$182:$L$229,Q222,$K$182:$K$229,$K$224:$K$225))</f>
        <v>0</v>
      </c>
      <c r="U222" t="s">
        <v>136</v>
      </c>
      <c r="V222" t="s">
        <v>94</v>
      </c>
      <c r="X222">
        <v>1.91</v>
      </c>
      <c r="AA222" t="s">
        <v>106</v>
      </c>
      <c r="AB222" cm="1">
        <f t="array" ref="AB222">SUMPRODUCT(SUMIFS($X$182:$X$229,$V$182:$V$229,AA222,$U$182:$U$229,$U$224:$U$225))</f>
        <v>0</v>
      </c>
      <c r="AE222" t="s">
        <v>136</v>
      </c>
      <c r="AF222" t="s">
        <v>94</v>
      </c>
      <c r="AH222">
        <v>1.91</v>
      </c>
      <c r="AK222" t="s">
        <v>106</v>
      </c>
      <c r="AL222" cm="1">
        <f t="array" ref="AL222">SUMPRODUCT(SUMIFS($AH$182:$AH$229,$AF$182:$AF$229,AK222,$AE$182:$AE$229,$AE$224:$AE$225))</f>
        <v>0</v>
      </c>
      <c r="AU222" t="s">
        <v>106</v>
      </c>
      <c r="AV222" cm="1">
        <f t="array" ref="AV222">SUMPRODUCT(SUMIFS($AR$182:$AR$229,$AP$182:$AP$229,AU222,$AO$182:$AO$229,$AO$216:$AO$217))</f>
        <v>0</v>
      </c>
      <c r="AY222" s="23" t="s">
        <v>106</v>
      </c>
      <c r="AZ222" s="21">
        <f t="shared" si="35"/>
        <v>0</v>
      </c>
    </row>
    <row r="223" spans="1:52" x14ac:dyDescent="0.3">
      <c r="A223" t="s">
        <v>137</v>
      </c>
      <c r="B223" t="s">
        <v>100</v>
      </c>
      <c r="D223">
        <v>2.0499999999999998</v>
      </c>
      <c r="G223" t="s">
        <v>96</v>
      </c>
      <c r="H223" cm="1">
        <f t="array" ref="H223">SUMPRODUCT(SUMIFS($D$182:$D$229,$B$182:$B$229,G223,$A$182:$A$229,$A$224:$A$225))</f>
        <v>0</v>
      </c>
      <c r="K223" t="s">
        <v>101</v>
      </c>
      <c r="L223" t="s">
        <v>94</v>
      </c>
      <c r="N223">
        <v>2.0499999999999998</v>
      </c>
      <c r="Q223" t="s">
        <v>96</v>
      </c>
      <c r="R223" cm="1">
        <f t="array" ref="R223">SUMPRODUCT(SUMIFS($N$182:$N$229,$L$182:$L$229,Q223,$K$182:$K$229,$K$224:$K$225))</f>
        <v>0</v>
      </c>
      <c r="U223" t="s">
        <v>101</v>
      </c>
      <c r="V223" t="s">
        <v>94</v>
      </c>
      <c r="X223">
        <v>2.0499999999999998</v>
      </c>
      <c r="AA223" t="s">
        <v>96</v>
      </c>
      <c r="AB223" cm="1">
        <f t="array" ref="AB223">SUMPRODUCT(SUMIFS($X$182:$X$229,$V$182:$V$229,AA223,$U$182:$U$229,$U$224:$U$225))</f>
        <v>0</v>
      </c>
      <c r="AE223" t="s">
        <v>101</v>
      </c>
      <c r="AF223" t="s">
        <v>94</v>
      </c>
      <c r="AH223">
        <v>2.0499999999999998</v>
      </c>
      <c r="AK223" t="s">
        <v>96</v>
      </c>
      <c r="AL223" cm="1">
        <f t="array" ref="AL223">SUMPRODUCT(SUMIFS($AH$182:$AH$229,$AF$182:$AF$229,AK223,$AE$182:$AE$229,$AE$224:$AE$225))</f>
        <v>0</v>
      </c>
      <c r="AU223" t="s">
        <v>96</v>
      </c>
      <c r="AV223" cm="1">
        <f t="array" ref="AV223">SUMPRODUCT(SUMIFS($AR$182:$AR$229,$AP$182:$AP$229,AU223,$AO$182:$AO$229,$AO$216:$AO$217))</f>
        <v>0</v>
      </c>
      <c r="AY223" s="23" t="s">
        <v>96</v>
      </c>
      <c r="AZ223" s="21">
        <f t="shared" si="35"/>
        <v>0</v>
      </c>
    </row>
    <row r="224" spans="1:52" x14ac:dyDescent="0.3">
      <c r="A224" t="s">
        <v>102</v>
      </c>
      <c r="B224" t="s">
        <v>93</v>
      </c>
      <c r="D224">
        <v>1.94</v>
      </c>
      <c r="K224" t="s">
        <v>102</v>
      </c>
      <c r="L224" t="s">
        <v>93</v>
      </c>
      <c r="N224">
        <v>1.94</v>
      </c>
      <c r="U224" t="s">
        <v>102</v>
      </c>
      <c r="V224" t="s">
        <v>93</v>
      </c>
      <c r="X224">
        <v>1.94</v>
      </c>
      <c r="AE224" t="s">
        <v>102</v>
      </c>
      <c r="AF224" t="s">
        <v>94</v>
      </c>
      <c r="AH224">
        <v>1.94</v>
      </c>
    </row>
    <row r="225" spans="1:34" x14ac:dyDescent="0.3">
      <c r="A225" t="s">
        <v>103</v>
      </c>
      <c r="B225" t="s">
        <v>93</v>
      </c>
      <c r="D225">
        <v>2.41</v>
      </c>
      <c r="K225" t="s">
        <v>103</v>
      </c>
      <c r="L225" t="s">
        <v>93</v>
      </c>
      <c r="N225">
        <v>2.41</v>
      </c>
      <c r="U225" t="s">
        <v>103</v>
      </c>
      <c r="V225" t="s">
        <v>93</v>
      </c>
      <c r="X225">
        <v>2.41</v>
      </c>
      <c r="AE225" t="s">
        <v>103</v>
      </c>
      <c r="AF225" t="s">
        <v>94</v>
      </c>
      <c r="AH225">
        <v>2.41</v>
      </c>
    </row>
    <row r="227" spans="1:34" x14ac:dyDescent="0.3">
      <c r="A227" s="12" t="s">
        <v>124</v>
      </c>
      <c r="B227" s="12"/>
      <c r="C227" s="12"/>
      <c r="D227" s="12"/>
      <c r="K227" s="12" t="s">
        <v>124</v>
      </c>
      <c r="L227" s="12"/>
      <c r="M227" s="12"/>
      <c r="N227" s="12"/>
      <c r="U227" s="12" t="s">
        <v>124</v>
      </c>
      <c r="V227" s="12"/>
      <c r="W227" s="12"/>
      <c r="X227" s="12"/>
      <c r="AE227" s="12"/>
      <c r="AF227" s="12"/>
      <c r="AG227" s="12"/>
      <c r="AH227" s="12"/>
    </row>
    <row r="228" spans="1:34" x14ac:dyDescent="0.3">
      <c r="A228" t="s">
        <v>136</v>
      </c>
      <c r="B228" t="s">
        <v>94</v>
      </c>
      <c r="D228">
        <v>4.46</v>
      </c>
      <c r="K228" t="s">
        <v>136</v>
      </c>
      <c r="L228" t="s">
        <v>93</v>
      </c>
      <c r="N228">
        <v>4.46</v>
      </c>
      <c r="U228" t="s">
        <v>136</v>
      </c>
      <c r="V228" t="s">
        <v>93</v>
      </c>
      <c r="X228">
        <v>4.46</v>
      </c>
    </row>
    <row r="229" spans="1:34" x14ac:dyDescent="0.3">
      <c r="A229" t="s">
        <v>137</v>
      </c>
      <c r="B229" t="s">
        <v>94</v>
      </c>
      <c r="D229">
        <v>3.96</v>
      </c>
      <c r="K229" t="s">
        <v>137</v>
      </c>
      <c r="L229" t="s">
        <v>93</v>
      </c>
      <c r="N229">
        <v>3.96</v>
      </c>
      <c r="U229" t="s">
        <v>137</v>
      </c>
      <c r="V229" t="s">
        <v>93</v>
      </c>
      <c r="X229">
        <v>3.96</v>
      </c>
    </row>
  </sheetData>
  <phoneticPr fontId="9" type="noConversion"/>
  <pageMargins left="0.7" right="0.7" top="0.78740157499999996" bottom="0.78740157499999996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207"/>
  <sheetViews>
    <sheetView topLeftCell="A43" zoomScale="55" zoomScaleNormal="55" workbookViewId="0">
      <selection activeCell="AA105" sqref="AA105"/>
    </sheetView>
  </sheetViews>
  <sheetFormatPr defaultColWidth="11" defaultRowHeight="15.6" x14ac:dyDescent="0.3"/>
  <cols>
    <col min="2" max="2" width="20.296875" bestFit="1" customWidth="1"/>
    <col min="10" max="10" width="20.296875" bestFit="1" customWidth="1"/>
  </cols>
  <sheetData>
    <row r="1" spans="1:39" x14ac:dyDescent="0.3">
      <c r="A1" s="12" t="s">
        <v>218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9" x14ac:dyDescent="0.3">
      <c r="A2" s="2" t="s">
        <v>168</v>
      </c>
      <c r="B2" s="2" t="s">
        <v>11</v>
      </c>
      <c r="C2" s="2" t="s">
        <v>47</v>
      </c>
      <c r="D2" s="2" t="s">
        <v>48</v>
      </c>
      <c r="E2" s="2" t="s">
        <v>207</v>
      </c>
      <c r="F2" s="2" t="s">
        <v>82</v>
      </c>
      <c r="G2" s="2" t="s">
        <v>201</v>
      </c>
      <c r="H2" s="2"/>
      <c r="I2" s="2" t="s">
        <v>168</v>
      </c>
      <c r="J2" s="2" t="s">
        <v>11</v>
      </c>
      <c r="K2" s="2" t="s">
        <v>47</v>
      </c>
      <c r="L2" s="2" t="s">
        <v>48</v>
      </c>
      <c r="M2" s="2" t="s">
        <v>207</v>
      </c>
      <c r="N2" s="2" t="s">
        <v>82</v>
      </c>
      <c r="O2" s="2" t="s">
        <v>201</v>
      </c>
      <c r="Q2" s="2" t="s">
        <v>168</v>
      </c>
      <c r="R2" s="2" t="s">
        <v>11</v>
      </c>
      <c r="S2" s="2" t="s">
        <v>47</v>
      </c>
      <c r="T2" s="2" t="s">
        <v>48</v>
      </c>
      <c r="U2" s="2" t="s">
        <v>207</v>
      </c>
      <c r="V2" s="2" t="s">
        <v>82</v>
      </c>
      <c r="W2" s="2" t="s">
        <v>201</v>
      </c>
      <c r="Y2" s="2" t="s">
        <v>168</v>
      </c>
      <c r="Z2" s="2" t="s">
        <v>11</v>
      </c>
      <c r="AA2" s="2" t="s">
        <v>47</v>
      </c>
      <c r="AB2" s="2" t="s">
        <v>48</v>
      </c>
      <c r="AC2" s="2" t="s">
        <v>207</v>
      </c>
      <c r="AD2" s="2" t="s">
        <v>82</v>
      </c>
      <c r="AE2" s="2" t="s">
        <v>201</v>
      </c>
      <c r="AG2" s="2" t="s">
        <v>168</v>
      </c>
      <c r="AH2" s="2" t="s">
        <v>11</v>
      </c>
      <c r="AI2" s="2" t="s">
        <v>47</v>
      </c>
      <c r="AJ2" s="2" t="s">
        <v>48</v>
      </c>
      <c r="AK2" s="2" t="s">
        <v>207</v>
      </c>
      <c r="AL2" s="2" t="s">
        <v>82</v>
      </c>
      <c r="AM2" s="2" t="s">
        <v>201</v>
      </c>
    </row>
    <row r="3" spans="1:39" x14ac:dyDescent="0.3">
      <c r="A3" s="12" t="s">
        <v>220</v>
      </c>
      <c r="I3" s="12" t="s">
        <v>217</v>
      </c>
      <c r="Q3" s="12" t="s">
        <v>221</v>
      </c>
      <c r="Y3" s="12" t="s">
        <v>223</v>
      </c>
      <c r="AG3" s="12" t="s">
        <v>222</v>
      </c>
    </row>
    <row r="4" spans="1:39" x14ac:dyDescent="0.3">
      <c r="B4" t="s">
        <v>230</v>
      </c>
      <c r="C4">
        <v>2.4500000000000002</v>
      </c>
      <c r="D4">
        <v>10.79</v>
      </c>
      <c r="E4">
        <v>1.26</v>
      </c>
      <c r="F4">
        <v>3.5000000000000003E-2</v>
      </c>
      <c r="G4">
        <f>(C4*E4*2+C4*D4*2+E4*D4*2)*F4</f>
        <v>3.0182530000000001</v>
      </c>
      <c r="J4" t="s">
        <v>230</v>
      </c>
      <c r="K4">
        <v>1.61</v>
      </c>
      <c r="L4">
        <v>9.7899999999999991</v>
      </c>
      <c r="M4">
        <v>1.26</v>
      </c>
      <c r="N4">
        <v>3.5000000000000003E-2</v>
      </c>
      <c r="O4">
        <f>(K4*M4*2+K4*L4*2+M4*L4*2)*N4</f>
        <v>2.1088129999999996</v>
      </c>
      <c r="R4" t="s">
        <v>230</v>
      </c>
      <c r="S4">
        <v>0.98</v>
      </c>
      <c r="T4">
        <v>8.1</v>
      </c>
      <c r="U4">
        <v>0.68</v>
      </c>
      <c r="V4">
        <v>3.5000000000000003E-2</v>
      </c>
      <c r="W4">
        <f>(S4*U4*2+S4*T4*2+U4*T4*2)*V4</f>
        <v>0.98786800000000019</v>
      </c>
      <c r="Z4" t="s">
        <v>230</v>
      </c>
      <c r="AA4">
        <v>2.4500000000000002</v>
      </c>
      <c r="AB4">
        <v>10.79</v>
      </c>
      <c r="AC4">
        <v>1.26</v>
      </c>
      <c r="AD4">
        <v>3.5000000000000003E-2</v>
      </c>
      <c r="AE4">
        <f>(AA4*AC4*2+AA4*AB4*2+AC4*AB4*2)*AD4</f>
        <v>3.0182530000000001</v>
      </c>
      <c r="AH4" t="s">
        <v>230</v>
      </c>
      <c r="AI4">
        <v>0.67</v>
      </c>
      <c r="AJ4">
        <v>8.1</v>
      </c>
      <c r="AK4">
        <v>0.68</v>
      </c>
      <c r="AL4">
        <v>3.5000000000000003E-2</v>
      </c>
      <c r="AM4">
        <f>(AI4*AK4*2+AI4*AJ4*2+AK4*AJ4*2)*AL4</f>
        <v>0.79734200000000011</v>
      </c>
    </row>
    <row r="5" spans="1:39" x14ac:dyDescent="0.3">
      <c r="B5" t="s">
        <v>231</v>
      </c>
      <c r="C5">
        <v>2.4500000000000002</v>
      </c>
      <c r="D5">
        <v>7.29</v>
      </c>
      <c r="E5">
        <v>1.26</v>
      </c>
      <c r="F5">
        <v>3.5000000000000003E-2</v>
      </c>
      <c r="G5">
        <f>(C5*E5*2+C5*D5*2+E5*D5*2)*F5</f>
        <v>2.1093030000000002</v>
      </c>
      <c r="J5" t="s">
        <v>231</v>
      </c>
      <c r="K5">
        <v>1.61</v>
      </c>
      <c r="L5">
        <v>7.04</v>
      </c>
      <c r="M5">
        <v>1.26</v>
      </c>
      <c r="N5">
        <v>3.5000000000000003E-2</v>
      </c>
      <c r="O5">
        <f>(K5*M5*2+K5*L5*2+M5*L5*2)*N5</f>
        <v>1.5563380000000002</v>
      </c>
      <c r="R5" t="s">
        <v>231</v>
      </c>
      <c r="S5">
        <v>0.98</v>
      </c>
      <c r="T5">
        <v>6.66</v>
      </c>
      <c r="U5">
        <v>0.68</v>
      </c>
      <c r="V5">
        <v>3.5000000000000003E-2</v>
      </c>
      <c r="W5">
        <f>(S5*U5*2+S5*T5*2+U5*T5*2)*V5</f>
        <v>0.82054000000000016</v>
      </c>
      <c r="Z5" t="s">
        <v>231</v>
      </c>
      <c r="AA5">
        <v>2.4500000000000002</v>
      </c>
      <c r="AB5">
        <v>7.29</v>
      </c>
      <c r="AC5">
        <v>1.26</v>
      </c>
      <c r="AD5">
        <v>3.5000000000000003E-2</v>
      </c>
      <c r="AE5">
        <f>(AA5*AC5*2+AA5*AB5*2+AC5*AB5*2)*AD5</f>
        <v>2.1093030000000002</v>
      </c>
      <c r="AH5" t="s">
        <v>231</v>
      </c>
      <c r="AI5">
        <v>0.67</v>
      </c>
      <c r="AJ5">
        <v>6.66</v>
      </c>
      <c r="AK5">
        <v>0.68</v>
      </c>
      <c r="AL5">
        <v>3.5000000000000003E-2</v>
      </c>
      <c r="AM5">
        <f>(AI5*AK5*2+AI5*AJ5*2+AK5*AJ5*2)*AL5</f>
        <v>0.66126200000000002</v>
      </c>
    </row>
    <row r="6" spans="1:39" x14ac:dyDescent="0.3">
      <c r="B6" t="s">
        <v>219</v>
      </c>
      <c r="C6">
        <v>2.4500000000000002</v>
      </c>
      <c r="D6">
        <v>10.79</v>
      </c>
      <c r="F6">
        <v>0.13</v>
      </c>
      <c r="G6">
        <f>C6*D6*F6</f>
        <v>3.4366150000000002</v>
      </c>
      <c r="J6" t="s">
        <v>219</v>
      </c>
      <c r="K6">
        <v>1.61</v>
      </c>
      <c r="L6">
        <v>9.7899999999999991</v>
      </c>
      <c r="N6">
        <v>0.13</v>
      </c>
      <c r="O6">
        <f>K6*L6*N6</f>
        <v>2.0490469999999998</v>
      </c>
      <c r="R6" t="s">
        <v>219</v>
      </c>
      <c r="S6">
        <v>0.98</v>
      </c>
      <c r="T6">
        <v>8.1</v>
      </c>
      <c r="V6">
        <v>0.13</v>
      </c>
      <c r="W6">
        <f>S6*T6*V6</f>
        <v>1.0319400000000001</v>
      </c>
      <c r="Z6" t="s">
        <v>219</v>
      </c>
      <c r="AA6">
        <v>2.4500000000000002</v>
      </c>
      <c r="AB6">
        <v>10.79</v>
      </c>
      <c r="AD6">
        <v>0.13</v>
      </c>
      <c r="AE6">
        <f>AA6*AB6*AD6</f>
        <v>3.4366150000000002</v>
      </c>
      <c r="AH6" t="s">
        <v>219</v>
      </c>
      <c r="AI6">
        <v>0.67</v>
      </c>
      <c r="AJ6">
        <v>8.1</v>
      </c>
      <c r="AL6">
        <v>0.13</v>
      </c>
      <c r="AM6">
        <f>AI6*AJ6*AL6</f>
        <v>0.70551000000000008</v>
      </c>
    </row>
    <row r="7" spans="1:39" x14ac:dyDescent="0.3">
      <c r="B7" t="s">
        <v>219</v>
      </c>
      <c r="C7">
        <v>2.4500000000000002</v>
      </c>
      <c r="D7">
        <v>5.41</v>
      </c>
      <c r="F7">
        <v>0.13</v>
      </c>
      <c r="G7">
        <f>C7*D7*F7</f>
        <v>1.7230850000000004</v>
      </c>
      <c r="J7" t="s">
        <v>219</v>
      </c>
      <c r="K7">
        <v>1.61</v>
      </c>
      <c r="L7">
        <v>5.7</v>
      </c>
      <c r="N7">
        <v>0.13</v>
      </c>
      <c r="O7">
        <f>K7*L7*N7</f>
        <v>1.1930100000000001</v>
      </c>
      <c r="R7" t="s">
        <v>219</v>
      </c>
      <c r="S7">
        <v>0.98</v>
      </c>
      <c r="T7">
        <v>5.39</v>
      </c>
      <c r="V7">
        <v>0.13</v>
      </c>
      <c r="W7">
        <f>S7*T7*V7</f>
        <v>0.68668600000000002</v>
      </c>
      <c r="Z7" t="s">
        <v>219</v>
      </c>
      <c r="AA7">
        <v>2.4500000000000002</v>
      </c>
      <c r="AB7">
        <v>5.41</v>
      </c>
      <c r="AD7">
        <v>0.13</v>
      </c>
      <c r="AE7">
        <f>AA7*AB7*AD7</f>
        <v>1.7230850000000004</v>
      </c>
      <c r="AH7" t="s">
        <v>219</v>
      </c>
      <c r="AI7">
        <v>0.67</v>
      </c>
      <c r="AJ7">
        <v>5.39</v>
      </c>
      <c r="AL7">
        <v>0.13</v>
      </c>
      <c r="AM7">
        <f>AI7*AJ7*AL7</f>
        <v>0.46946900000000003</v>
      </c>
    </row>
    <row r="8" spans="1:39" x14ac:dyDescent="0.3">
      <c r="B8" t="s">
        <v>224</v>
      </c>
      <c r="C8">
        <v>2.37</v>
      </c>
      <c r="D8">
        <v>0.33</v>
      </c>
      <c r="E8">
        <v>2.64</v>
      </c>
      <c r="J8" t="s">
        <v>224</v>
      </c>
      <c r="K8">
        <v>2.37</v>
      </c>
      <c r="L8">
        <v>0.33</v>
      </c>
      <c r="M8">
        <v>2.64</v>
      </c>
      <c r="R8" t="s">
        <v>225</v>
      </c>
      <c r="S8">
        <v>0.9</v>
      </c>
      <c r="T8">
        <v>1.1499999999999999</v>
      </c>
      <c r="U8">
        <v>1.39</v>
      </c>
      <c r="Z8" t="s">
        <v>224</v>
      </c>
      <c r="AA8">
        <v>2.37</v>
      </c>
      <c r="AB8">
        <v>0.33</v>
      </c>
      <c r="AC8">
        <v>2.64</v>
      </c>
      <c r="AH8" t="s">
        <v>225</v>
      </c>
      <c r="AI8">
        <v>0.9</v>
      </c>
      <c r="AJ8">
        <v>1.1499999999999999</v>
      </c>
      <c r="AK8">
        <v>1.39</v>
      </c>
    </row>
    <row r="9" spans="1:39" x14ac:dyDescent="0.3">
      <c r="A9" t="s">
        <v>40</v>
      </c>
      <c r="B9" t="s">
        <v>37</v>
      </c>
      <c r="C9">
        <v>2.37</v>
      </c>
      <c r="D9">
        <v>0.18</v>
      </c>
      <c r="E9">
        <v>1.17</v>
      </c>
      <c r="I9" t="s">
        <v>40</v>
      </c>
      <c r="J9" t="s">
        <v>37</v>
      </c>
      <c r="K9">
        <v>1.57</v>
      </c>
      <c r="L9">
        <v>0.18</v>
      </c>
      <c r="M9">
        <v>0.16</v>
      </c>
      <c r="Q9" t="s">
        <v>40</v>
      </c>
      <c r="R9" t="s">
        <v>37</v>
      </c>
      <c r="S9">
        <v>0.92</v>
      </c>
      <c r="T9">
        <v>0.12</v>
      </c>
      <c r="U9">
        <v>0.6</v>
      </c>
      <c r="Y9" t="s">
        <v>40</v>
      </c>
      <c r="Z9" t="s">
        <v>37</v>
      </c>
      <c r="AA9">
        <v>2.37</v>
      </c>
      <c r="AB9">
        <v>0.18</v>
      </c>
      <c r="AC9">
        <v>1.17</v>
      </c>
      <c r="AG9" t="s">
        <v>40</v>
      </c>
      <c r="AH9" t="s">
        <v>37</v>
      </c>
      <c r="AI9">
        <v>0.6</v>
      </c>
      <c r="AJ9">
        <v>0.12</v>
      </c>
      <c r="AK9">
        <v>0.6</v>
      </c>
    </row>
    <row r="10" spans="1:39" x14ac:dyDescent="0.3">
      <c r="B10" t="s">
        <v>211</v>
      </c>
      <c r="C10">
        <v>2.37</v>
      </c>
      <c r="D10">
        <v>0.1</v>
      </c>
      <c r="E10">
        <v>1.17</v>
      </c>
      <c r="J10" t="s">
        <v>211</v>
      </c>
      <c r="K10">
        <v>1.57</v>
      </c>
      <c r="L10">
        <v>0.1</v>
      </c>
      <c r="M10">
        <v>1.17</v>
      </c>
      <c r="R10" t="s">
        <v>211</v>
      </c>
      <c r="S10">
        <v>0.92</v>
      </c>
      <c r="T10">
        <v>0.1</v>
      </c>
      <c r="U10">
        <v>0.6</v>
      </c>
      <c r="Z10" t="s">
        <v>211</v>
      </c>
      <c r="AA10">
        <v>2.37</v>
      </c>
      <c r="AB10">
        <v>0.6</v>
      </c>
      <c r="AC10">
        <v>1.17</v>
      </c>
      <c r="AH10" t="s">
        <v>211</v>
      </c>
      <c r="AI10">
        <v>0.6</v>
      </c>
      <c r="AJ10">
        <v>0.1</v>
      </c>
      <c r="AK10">
        <v>0.6</v>
      </c>
    </row>
    <row r="11" spans="1:39" x14ac:dyDescent="0.3">
      <c r="B11" t="s">
        <v>212</v>
      </c>
      <c r="C11">
        <v>2.37</v>
      </c>
      <c r="D11">
        <v>0.92</v>
      </c>
      <c r="E11">
        <v>1.17</v>
      </c>
      <c r="J11" t="s">
        <v>212</v>
      </c>
      <c r="K11">
        <v>1.57</v>
      </c>
      <c r="L11">
        <v>0.92</v>
      </c>
      <c r="M11">
        <v>1.17</v>
      </c>
      <c r="R11" t="s">
        <v>212</v>
      </c>
      <c r="S11">
        <v>0.92</v>
      </c>
      <c r="T11">
        <v>0.92</v>
      </c>
      <c r="U11">
        <v>0.6</v>
      </c>
      <c r="Z11" t="s">
        <v>212</v>
      </c>
      <c r="AA11">
        <v>2.37</v>
      </c>
      <c r="AB11">
        <v>0.92</v>
      </c>
      <c r="AC11">
        <v>1.17</v>
      </c>
      <c r="AH11" t="s">
        <v>212</v>
      </c>
      <c r="AI11">
        <v>0.6</v>
      </c>
      <c r="AJ11">
        <v>0.62</v>
      </c>
      <c r="AK11">
        <v>0.6</v>
      </c>
    </row>
    <row r="12" spans="1:39" x14ac:dyDescent="0.3">
      <c r="B12" t="s">
        <v>213</v>
      </c>
      <c r="C12">
        <v>2.37</v>
      </c>
      <c r="D12">
        <v>0.13</v>
      </c>
      <c r="E12">
        <v>1.17</v>
      </c>
      <c r="J12" t="s">
        <v>213</v>
      </c>
      <c r="K12">
        <v>1.57</v>
      </c>
      <c r="L12">
        <v>0.13</v>
      </c>
      <c r="M12">
        <v>1.17</v>
      </c>
      <c r="R12" t="s">
        <v>211</v>
      </c>
      <c r="S12">
        <v>0.92</v>
      </c>
      <c r="T12">
        <v>0.1</v>
      </c>
      <c r="U12">
        <v>0.6</v>
      </c>
      <c r="Z12" t="s">
        <v>213</v>
      </c>
      <c r="AA12">
        <v>2.37</v>
      </c>
      <c r="AB12">
        <v>0.13</v>
      </c>
      <c r="AC12">
        <v>1.17</v>
      </c>
      <c r="AH12" t="s">
        <v>211</v>
      </c>
      <c r="AI12">
        <v>0.6</v>
      </c>
      <c r="AJ12">
        <v>0.1</v>
      </c>
      <c r="AK12">
        <v>0.6</v>
      </c>
    </row>
    <row r="13" spans="1:39" x14ac:dyDescent="0.3">
      <c r="B13" t="s">
        <v>214</v>
      </c>
      <c r="C13">
        <v>2.37</v>
      </c>
      <c r="D13">
        <v>0.18</v>
      </c>
      <c r="E13">
        <v>1.17</v>
      </c>
      <c r="J13" t="s">
        <v>214</v>
      </c>
      <c r="K13">
        <v>1.57</v>
      </c>
      <c r="L13">
        <v>0.18</v>
      </c>
      <c r="M13">
        <v>1.17</v>
      </c>
      <c r="R13" t="s">
        <v>212</v>
      </c>
      <c r="S13">
        <v>0.92</v>
      </c>
      <c r="T13">
        <v>0.92</v>
      </c>
      <c r="U13">
        <v>0.6</v>
      </c>
      <c r="Z13" t="s">
        <v>214</v>
      </c>
      <c r="AA13">
        <v>2.37</v>
      </c>
      <c r="AB13">
        <v>0.18</v>
      </c>
      <c r="AC13">
        <v>1.17</v>
      </c>
      <c r="AH13" t="s">
        <v>212</v>
      </c>
      <c r="AI13">
        <v>0.6</v>
      </c>
      <c r="AJ13">
        <v>0.92</v>
      </c>
      <c r="AK13">
        <v>0.6</v>
      </c>
    </row>
    <row r="14" spans="1:39" x14ac:dyDescent="0.3">
      <c r="B14" t="s">
        <v>215</v>
      </c>
      <c r="C14">
        <v>1</v>
      </c>
      <c r="D14">
        <v>0.95</v>
      </c>
      <c r="E14">
        <v>1.02</v>
      </c>
      <c r="J14" t="s">
        <v>215</v>
      </c>
      <c r="K14">
        <v>0.82</v>
      </c>
      <c r="L14">
        <v>0.74</v>
      </c>
      <c r="M14">
        <v>0.6</v>
      </c>
      <c r="Q14" t="s">
        <v>39</v>
      </c>
      <c r="R14" t="s">
        <v>37</v>
      </c>
      <c r="S14">
        <v>0.92</v>
      </c>
      <c r="T14">
        <v>0.12</v>
      </c>
      <c r="U14">
        <v>0.6</v>
      </c>
      <c r="Z14" t="s">
        <v>215</v>
      </c>
      <c r="AA14">
        <v>1</v>
      </c>
      <c r="AB14">
        <v>0.95</v>
      </c>
      <c r="AC14">
        <v>1.02</v>
      </c>
      <c r="AG14" t="s">
        <v>39</v>
      </c>
      <c r="AH14" t="s">
        <v>37</v>
      </c>
      <c r="AI14">
        <v>0.6</v>
      </c>
      <c r="AJ14">
        <v>0.12</v>
      </c>
      <c r="AK14">
        <v>0.6</v>
      </c>
    </row>
    <row r="15" spans="1:39" x14ac:dyDescent="0.3">
      <c r="B15" t="s">
        <v>216</v>
      </c>
      <c r="C15">
        <v>2.37</v>
      </c>
      <c r="D15">
        <v>0.1</v>
      </c>
      <c r="E15">
        <v>1.17</v>
      </c>
      <c r="J15" t="s">
        <v>216</v>
      </c>
      <c r="K15">
        <v>1.57</v>
      </c>
      <c r="L15">
        <v>0.1</v>
      </c>
      <c r="M15">
        <v>1.17</v>
      </c>
      <c r="R15" t="s">
        <v>212</v>
      </c>
      <c r="S15">
        <v>0.92</v>
      </c>
      <c r="T15">
        <v>1.53</v>
      </c>
      <c r="U15">
        <v>0.6</v>
      </c>
      <c r="Z15" t="s">
        <v>216</v>
      </c>
      <c r="AA15">
        <v>2.37</v>
      </c>
      <c r="AB15">
        <v>0.1</v>
      </c>
      <c r="AC15">
        <v>1.17</v>
      </c>
      <c r="AH15" t="s">
        <v>212</v>
      </c>
      <c r="AI15">
        <v>0.6</v>
      </c>
      <c r="AJ15">
        <v>1.53</v>
      </c>
      <c r="AK15">
        <v>0.6</v>
      </c>
    </row>
    <row r="16" spans="1:39" x14ac:dyDescent="0.3">
      <c r="B16" t="s">
        <v>212</v>
      </c>
      <c r="C16">
        <v>2.37</v>
      </c>
      <c r="D16">
        <v>1.53</v>
      </c>
      <c r="E16">
        <v>1.17</v>
      </c>
      <c r="J16" t="s">
        <v>212</v>
      </c>
      <c r="K16">
        <v>1.57</v>
      </c>
      <c r="L16">
        <v>1.53</v>
      </c>
      <c r="M16">
        <v>1.17</v>
      </c>
      <c r="R16" t="s">
        <v>215</v>
      </c>
      <c r="S16">
        <v>0.92</v>
      </c>
      <c r="T16">
        <v>0.37</v>
      </c>
      <c r="U16">
        <v>0.38</v>
      </c>
      <c r="Z16" t="s">
        <v>212</v>
      </c>
      <c r="AA16">
        <v>2.37</v>
      </c>
      <c r="AB16">
        <v>1.53</v>
      </c>
      <c r="AC16">
        <v>1.17</v>
      </c>
      <c r="AH16" t="s">
        <v>215</v>
      </c>
      <c r="AI16">
        <v>0.35</v>
      </c>
      <c r="AJ16">
        <v>0.37</v>
      </c>
      <c r="AK16">
        <v>0.38</v>
      </c>
    </row>
    <row r="17" spans="1:37" x14ac:dyDescent="0.3">
      <c r="A17" t="s">
        <v>39</v>
      </c>
      <c r="B17" t="s">
        <v>37</v>
      </c>
      <c r="C17">
        <v>2.37</v>
      </c>
      <c r="D17">
        <v>0.18</v>
      </c>
      <c r="E17">
        <v>1.17</v>
      </c>
      <c r="I17" t="s">
        <v>39</v>
      </c>
      <c r="J17" t="s">
        <v>37</v>
      </c>
      <c r="K17">
        <v>1.57</v>
      </c>
      <c r="L17">
        <v>0.18</v>
      </c>
      <c r="M17">
        <v>1.17</v>
      </c>
      <c r="R17" t="s">
        <v>213</v>
      </c>
      <c r="S17">
        <v>0.92</v>
      </c>
      <c r="T17">
        <v>0.15</v>
      </c>
      <c r="U17">
        <v>0.6</v>
      </c>
      <c r="Y17" t="s">
        <v>39</v>
      </c>
      <c r="Z17" t="s">
        <v>37</v>
      </c>
      <c r="AA17">
        <v>2.37</v>
      </c>
      <c r="AB17">
        <v>0.18</v>
      </c>
      <c r="AC17">
        <v>1.17</v>
      </c>
      <c r="AH17" t="s">
        <v>213</v>
      </c>
      <c r="AI17">
        <v>0.6</v>
      </c>
      <c r="AJ17">
        <v>0.15</v>
      </c>
      <c r="AK17">
        <v>0.6</v>
      </c>
    </row>
    <row r="18" spans="1:37" x14ac:dyDescent="0.3">
      <c r="B18" t="s">
        <v>212</v>
      </c>
      <c r="C18">
        <v>2.37</v>
      </c>
      <c r="D18">
        <v>0.92</v>
      </c>
      <c r="E18">
        <v>1.17</v>
      </c>
      <c r="J18" t="s">
        <v>212</v>
      </c>
      <c r="K18">
        <v>1.57</v>
      </c>
      <c r="L18">
        <v>1.22</v>
      </c>
      <c r="M18">
        <v>1.17</v>
      </c>
      <c r="R18" t="s">
        <v>215</v>
      </c>
      <c r="S18">
        <v>0.92</v>
      </c>
      <c r="U18">
        <v>0.38</v>
      </c>
      <c r="Z18" t="s">
        <v>212</v>
      </c>
      <c r="AA18">
        <v>2.37</v>
      </c>
      <c r="AB18">
        <v>1.22</v>
      </c>
      <c r="AC18">
        <v>1.17</v>
      </c>
      <c r="AH18" t="s">
        <v>215</v>
      </c>
      <c r="AI18">
        <v>0.35</v>
      </c>
      <c r="AJ18">
        <v>0.37</v>
      </c>
      <c r="AK18">
        <v>0.38</v>
      </c>
    </row>
    <row r="19" spans="1:37" x14ac:dyDescent="0.3">
      <c r="B19" t="s">
        <v>215</v>
      </c>
      <c r="C19">
        <v>1</v>
      </c>
      <c r="D19">
        <v>0.95</v>
      </c>
      <c r="E19">
        <v>1.02</v>
      </c>
      <c r="J19" t="s">
        <v>215</v>
      </c>
      <c r="K19">
        <v>0.82</v>
      </c>
      <c r="L19">
        <v>0.74</v>
      </c>
      <c r="M19">
        <v>0.6</v>
      </c>
      <c r="R19" t="s">
        <v>216</v>
      </c>
      <c r="S19">
        <v>0.92</v>
      </c>
      <c r="U19">
        <v>0.6</v>
      </c>
      <c r="Z19" t="s">
        <v>215</v>
      </c>
      <c r="AA19">
        <v>1</v>
      </c>
      <c r="AB19">
        <v>0.95</v>
      </c>
      <c r="AC19">
        <v>1.02</v>
      </c>
      <c r="AH19" t="s">
        <v>216</v>
      </c>
      <c r="AI19">
        <v>0.6</v>
      </c>
      <c r="AJ19">
        <v>0.1</v>
      </c>
      <c r="AK19">
        <v>0.6</v>
      </c>
    </row>
    <row r="20" spans="1:37" x14ac:dyDescent="0.3">
      <c r="B20" t="s">
        <v>212</v>
      </c>
      <c r="C20">
        <v>2.37</v>
      </c>
      <c r="D20">
        <v>1.22</v>
      </c>
      <c r="E20">
        <v>1.17</v>
      </c>
      <c r="J20" t="s">
        <v>212</v>
      </c>
      <c r="K20">
        <v>1.57</v>
      </c>
      <c r="L20">
        <v>1.22</v>
      </c>
      <c r="M20">
        <v>1.17</v>
      </c>
      <c r="R20" t="s">
        <v>212</v>
      </c>
      <c r="S20">
        <v>0.92</v>
      </c>
      <c r="T20">
        <v>1.22</v>
      </c>
      <c r="U20">
        <v>0.6</v>
      </c>
      <c r="Z20" t="s">
        <v>212</v>
      </c>
      <c r="AA20">
        <v>2.37</v>
      </c>
      <c r="AB20">
        <v>1.22</v>
      </c>
      <c r="AC20">
        <v>1.17</v>
      </c>
      <c r="AH20" t="s">
        <v>212</v>
      </c>
      <c r="AI20">
        <v>0.6</v>
      </c>
      <c r="AJ20">
        <v>0.92</v>
      </c>
      <c r="AK20">
        <v>0.6</v>
      </c>
    </row>
    <row r="21" spans="1:37" x14ac:dyDescent="0.3">
      <c r="B21" t="s">
        <v>211</v>
      </c>
      <c r="C21">
        <v>2.37</v>
      </c>
      <c r="D21">
        <v>0.6</v>
      </c>
      <c r="E21">
        <v>1.17</v>
      </c>
      <c r="J21" t="s">
        <v>211</v>
      </c>
      <c r="K21">
        <v>1.57</v>
      </c>
      <c r="L21">
        <v>0.1</v>
      </c>
      <c r="M21">
        <v>1.17</v>
      </c>
      <c r="Z21" t="s">
        <v>211</v>
      </c>
      <c r="AA21">
        <v>2.37</v>
      </c>
      <c r="AB21">
        <v>0.6</v>
      </c>
      <c r="AC21">
        <v>1.17</v>
      </c>
    </row>
    <row r="24" spans="1:37" x14ac:dyDescent="0.3">
      <c r="A24" s="12" t="s">
        <v>238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37" x14ac:dyDescent="0.3">
      <c r="A25" s="2" t="s">
        <v>169</v>
      </c>
      <c r="B25" s="2" t="s">
        <v>168</v>
      </c>
      <c r="C25" s="2" t="s">
        <v>47</v>
      </c>
      <c r="D25" s="2" t="s">
        <v>48</v>
      </c>
      <c r="E25" s="2" t="s">
        <v>77</v>
      </c>
      <c r="G25" s="4" t="s">
        <v>182</v>
      </c>
      <c r="H25" s="4"/>
    </row>
    <row r="26" spans="1:37" x14ac:dyDescent="0.3">
      <c r="A26" t="s">
        <v>227</v>
      </c>
      <c r="C26">
        <v>1.66</v>
      </c>
      <c r="D26">
        <v>3</v>
      </c>
      <c r="E26">
        <v>1.33</v>
      </c>
      <c r="G26" s="25" t="s">
        <v>47</v>
      </c>
      <c r="H26" s="25" t="s">
        <v>77</v>
      </c>
      <c r="I26" s="25" t="s">
        <v>48</v>
      </c>
    </row>
    <row r="27" spans="1:37" x14ac:dyDescent="0.3">
      <c r="A27" t="s">
        <v>226</v>
      </c>
      <c r="G27" s="26">
        <v>1.66</v>
      </c>
      <c r="H27" s="26">
        <v>1.33</v>
      </c>
      <c r="I27" s="26">
        <f>SUMPRODUCT(SUMIFS($D$26:$D$43,$C$26:$C$43,G27,$E$26:$E$43,H27))</f>
        <v>3</v>
      </c>
    </row>
    <row r="28" spans="1:37" x14ac:dyDescent="0.3">
      <c r="C28">
        <v>0.7</v>
      </c>
      <c r="D28">
        <v>28.64</v>
      </c>
      <c r="E28">
        <v>1.56</v>
      </c>
      <c r="G28" s="26">
        <v>1.8</v>
      </c>
      <c r="H28" s="26">
        <v>1.2</v>
      </c>
      <c r="I28" s="26">
        <f t="shared" ref="I28:I32" si="0">SUMPRODUCT(SUMIFS($D$26:$D$43,$C$26:$C$43,G28,$E$26:$E$43,H28))</f>
        <v>13.399999999999999</v>
      </c>
    </row>
    <row r="29" spans="1:37" x14ac:dyDescent="0.3">
      <c r="C29">
        <v>0.5</v>
      </c>
      <c r="D29">
        <v>47.47</v>
      </c>
      <c r="E29">
        <v>0.2</v>
      </c>
      <c r="G29" s="26">
        <v>1</v>
      </c>
      <c r="H29" s="26">
        <v>0.5</v>
      </c>
      <c r="I29" s="26">
        <f t="shared" si="0"/>
        <v>57.1</v>
      </c>
    </row>
    <row r="30" spans="1:37" x14ac:dyDescent="0.3">
      <c r="C30">
        <v>1</v>
      </c>
      <c r="D30">
        <v>6.4</v>
      </c>
      <c r="E30">
        <v>0.5</v>
      </c>
      <c r="G30" s="26">
        <v>0.7</v>
      </c>
      <c r="H30" s="26">
        <v>1.56</v>
      </c>
      <c r="I30" s="26">
        <f t="shared" si="0"/>
        <v>54.879999999999995</v>
      </c>
    </row>
    <row r="31" spans="1:37" x14ac:dyDescent="0.3">
      <c r="G31" s="26">
        <v>0.5</v>
      </c>
      <c r="H31" s="26">
        <v>0.5</v>
      </c>
      <c r="I31" s="26">
        <f t="shared" si="0"/>
        <v>39.86</v>
      </c>
    </row>
    <row r="32" spans="1:37" x14ac:dyDescent="0.3">
      <c r="A32" t="s">
        <v>228</v>
      </c>
      <c r="D32">
        <v>6</v>
      </c>
      <c r="E32">
        <v>0.76</v>
      </c>
      <c r="G32" s="26">
        <v>0.5</v>
      </c>
      <c r="H32" s="26">
        <v>0.2</v>
      </c>
      <c r="I32" s="26">
        <f>SUMPRODUCT(SUMIFS($D$26:$D$43,$C$26:$C$43,G32,$E$26:$E$43,H32))</f>
        <v>165.64000000000001</v>
      </c>
    </row>
    <row r="33" spans="1:43" x14ac:dyDescent="0.3">
      <c r="C33">
        <v>0.7</v>
      </c>
      <c r="D33">
        <v>26.24</v>
      </c>
      <c r="E33">
        <v>1.56</v>
      </c>
    </row>
    <row r="34" spans="1:43" x14ac:dyDescent="0.3">
      <c r="C34">
        <v>0.5</v>
      </c>
      <c r="D34">
        <v>45.02</v>
      </c>
      <c r="E34">
        <v>0.2</v>
      </c>
    </row>
    <row r="35" spans="1:43" x14ac:dyDescent="0.3">
      <c r="C35">
        <v>1</v>
      </c>
      <c r="D35">
        <v>8</v>
      </c>
      <c r="E35">
        <v>0.5</v>
      </c>
    </row>
    <row r="36" spans="1:43" x14ac:dyDescent="0.3">
      <c r="A36" t="s">
        <v>229</v>
      </c>
    </row>
    <row r="37" spans="1:43" x14ac:dyDescent="0.3">
      <c r="A37" t="s">
        <v>226</v>
      </c>
      <c r="C37">
        <v>1.8</v>
      </c>
      <c r="D37">
        <v>11.7</v>
      </c>
      <c r="E37">
        <v>1.2</v>
      </c>
    </row>
    <row r="38" spans="1:43" x14ac:dyDescent="0.3">
      <c r="C38">
        <v>1</v>
      </c>
      <c r="D38">
        <v>42.42</v>
      </c>
      <c r="E38">
        <v>0.5</v>
      </c>
    </row>
    <row r="39" spans="1:43" x14ac:dyDescent="0.3">
      <c r="C39">
        <v>0.5</v>
      </c>
      <c r="D39">
        <v>35.450000000000003</v>
      </c>
      <c r="E39">
        <v>0.2</v>
      </c>
    </row>
    <row r="40" spans="1:43" x14ac:dyDescent="0.3">
      <c r="A40" t="s">
        <v>228</v>
      </c>
      <c r="C40">
        <v>1.8</v>
      </c>
      <c r="D40">
        <v>1.7</v>
      </c>
      <c r="E40">
        <v>1.2</v>
      </c>
      <c r="X40" s="28"/>
    </row>
    <row r="41" spans="1:43" x14ac:dyDescent="0.3">
      <c r="C41">
        <v>1</v>
      </c>
      <c r="D41">
        <v>0.28000000000000003</v>
      </c>
      <c r="E41">
        <v>0.5</v>
      </c>
    </row>
    <row r="42" spans="1:43" x14ac:dyDescent="0.3">
      <c r="C42">
        <v>0.5</v>
      </c>
      <c r="D42">
        <v>39.86</v>
      </c>
      <c r="E42">
        <v>0.5</v>
      </c>
    </row>
    <row r="43" spans="1:43" x14ac:dyDescent="0.3">
      <c r="C43">
        <v>0.5</v>
      </c>
      <c r="D43">
        <v>37.700000000000003</v>
      </c>
      <c r="E43">
        <v>0.2</v>
      </c>
    </row>
    <row r="45" spans="1:43" x14ac:dyDescent="0.3">
      <c r="A45" s="12" t="s">
        <v>181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43" x14ac:dyDescent="0.3">
      <c r="A46" t="s">
        <v>68</v>
      </c>
      <c r="G46" t="s">
        <v>69</v>
      </c>
      <c r="M46" t="s">
        <v>70</v>
      </c>
      <c r="S46" t="s">
        <v>71</v>
      </c>
      <c r="Y46" s="4" t="s">
        <v>172</v>
      </c>
      <c r="Z46" s="4"/>
      <c r="AC46" s="4" t="s">
        <v>182</v>
      </c>
      <c r="AD46" s="4"/>
      <c r="AG46" s="4" t="s">
        <v>183</v>
      </c>
      <c r="AH46" s="4"/>
      <c r="AK46" s="4" t="s">
        <v>184</v>
      </c>
      <c r="AL46" s="4"/>
      <c r="AO46" s="4" t="s">
        <v>185</v>
      </c>
      <c r="AP46" s="4"/>
    </row>
    <row r="47" spans="1:43" x14ac:dyDescent="0.3">
      <c r="A47" s="2" t="s">
        <v>169</v>
      </c>
      <c r="B47" s="2" t="s">
        <v>168</v>
      </c>
      <c r="C47" s="2" t="s">
        <v>47</v>
      </c>
      <c r="D47" s="2" t="s">
        <v>48</v>
      </c>
      <c r="E47" s="2" t="s">
        <v>77</v>
      </c>
      <c r="G47" s="2" t="s">
        <v>67</v>
      </c>
      <c r="H47" s="2" t="s">
        <v>66</v>
      </c>
      <c r="I47" s="2" t="s">
        <v>47</v>
      </c>
      <c r="J47" s="2" t="s">
        <v>48</v>
      </c>
      <c r="K47" s="2" t="s">
        <v>77</v>
      </c>
      <c r="M47" s="2" t="s">
        <v>67</v>
      </c>
      <c r="N47" s="2" t="s">
        <v>66</v>
      </c>
      <c r="O47" s="2" t="s">
        <v>47</v>
      </c>
      <c r="P47" s="2" t="s">
        <v>48</v>
      </c>
      <c r="Q47" s="2" t="s">
        <v>77</v>
      </c>
      <c r="S47" s="2" t="s">
        <v>67</v>
      </c>
      <c r="T47" s="2" t="s">
        <v>66</v>
      </c>
      <c r="U47" s="2" t="s">
        <v>47</v>
      </c>
      <c r="V47" s="2" t="s">
        <v>48</v>
      </c>
      <c r="W47" s="2" t="s">
        <v>77</v>
      </c>
      <c r="Y47" s="2" t="s">
        <v>47</v>
      </c>
      <c r="Z47" s="2" t="s">
        <v>77</v>
      </c>
      <c r="AA47" s="2" t="s">
        <v>48</v>
      </c>
      <c r="AC47" s="25" t="s">
        <v>47</v>
      </c>
      <c r="AD47" s="25" t="s">
        <v>77</v>
      </c>
      <c r="AE47" s="25" t="s">
        <v>48</v>
      </c>
      <c r="AG47" s="25" t="s">
        <v>47</v>
      </c>
      <c r="AH47" s="25" t="s">
        <v>77</v>
      </c>
      <c r="AI47" s="25" t="s">
        <v>48</v>
      </c>
      <c r="AK47" s="25" t="s">
        <v>47</v>
      </c>
      <c r="AL47" s="25" t="s">
        <v>77</v>
      </c>
      <c r="AM47" s="25" t="s">
        <v>48</v>
      </c>
      <c r="AO47" s="25" t="s">
        <v>47</v>
      </c>
      <c r="AP47" s="25" t="s">
        <v>77</v>
      </c>
      <c r="AQ47" s="25" t="s">
        <v>48</v>
      </c>
    </row>
    <row r="48" spans="1:43" x14ac:dyDescent="0.3">
      <c r="A48" s="12" t="s">
        <v>84</v>
      </c>
      <c r="B48" s="12"/>
      <c r="C48" s="12"/>
      <c r="D48" s="12"/>
      <c r="E48" s="12"/>
      <c r="G48" s="12" t="s">
        <v>84</v>
      </c>
      <c r="H48" s="12"/>
      <c r="I48" s="12"/>
      <c r="J48" s="12"/>
      <c r="K48" s="12"/>
      <c r="M48" s="12" t="s">
        <v>84</v>
      </c>
      <c r="N48" s="12"/>
      <c r="O48" s="12"/>
      <c r="P48" s="12"/>
      <c r="Q48" s="12"/>
      <c r="S48" s="12" t="s">
        <v>84</v>
      </c>
      <c r="T48" s="12"/>
      <c r="U48" s="12"/>
      <c r="V48" s="12"/>
      <c r="W48" s="12"/>
      <c r="Y48">
        <v>0.55000000000000004</v>
      </c>
      <c r="Z48">
        <v>0.35</v>
      </c>
      <c r="AA48">
        <f t="shared" ref="AA48:AA63" si="1">SUMPRODUCT(SUMIFS($D$49:$D$102,$C$49:$C$102,Y48,$E$49:$E$102,Z48))</f>
        <v>1.25</v>
      </c>
      <c r="AC48" s="26">
        <v>0.55000000000000004</v>
      </c>
      <c r="AD48" s="26">
        <v>0.35</v>
      </c>
      <c r="AE48" s="26">
        <f t="shared" ref="AE48:AE63" si="2">SUMPRODUCT(SUMIFS($AA$48:$AA$105,$Y$48:$Y$105,AC48,$Z$48:$Z$105,AD48))</f>
        <v>2.5</v>
      </c>
      <c r="AG48" s="26">
        <v>0.55000000000000004</v>
      </c>
      <c r="AH48" s="26">
        <v>0.35</v>
      </c>
      <c r="AI48" s="27">
        <f>AE48*1.22</f>
        <v>3.05</v>
      </c>
      <c r="AK48" s="26">
        <v>0.55000000000000004</v>
      </c>
      <c r="AL48" s="26">
        <v>0.35</v>
      </c>
      <c r="AM48" s="27">
        <f>AE48*0.75</f>
        <v>1.875</v>
      </c>
      <c r="AO48" s="26">
        <v>0.55000000000000004</v>
      </c>
      <c r="AP48" s="26">
        <v>0.35</v>
      </c>
      <c r="AQ48" s="27">
        <f>AI48*3+AE48+AM48</f>
        <v>13.524999999999999</v>
      </c>
    </row>
    <row r="49" spans="1:43" x14ac:dyDescent="0.3">
      <c r="B49" t="s">
        <v>170</v>
      </c>
      <c r="C49">
        <v>0.5</v>
      </c>
      <c r="D49">
        <v>2.73</v>
      </c>
      <c r="E49">
        <v>0.25</v>
      </c>
      <c r="H49" t="s">
        <v>170</v>
      </c>
      <c r="I49">
        <v>0.5</v>
      </c>
      <c r="J49">
        <v>2.73</v>
      </c>
      <c r="K49">
        <v>2.5</v>
      </c>
      <c r="N49" t="s">
        <v>167</v>
      </c>
      <c r="O49">
        <v>0.125</v>
      </c>
      <c r="P49">
        <v>4.9800000000000004</v>
      </c>
      <c r="T49" t="s">
        <v>167</v>
      </c>
      <c r="U49">
        <v>0.125</v>
      </c>
      <c r="V49">
        <v>5.95</v>
      </c>
      <c r="Y49">
        <v>0.55000000000000004</v>
      </c>
      <c r="Z49">
        <v>0.3</v>
      </c>
      <c r="AA49">
        <f t="shared" si="1"/>
        <v>0</v>
      </c>
      <c r="AC49" s="26">
        <v>0.55000000000000004</v>
      </c>
      <c r="AD49" s="26">
        <v>0.3</v>
      </c>
      <c r="AE49" s="26">
        <f t="shared" si="2"/>
        <v>1.59</v>
      </c>
      <c r="AG49" s="26">
        <v>0.55000000000000004</v>
      </c>
      <c r="AH49" s="26">
        <v>0.3</v>
      </c>
      <c r="AI49" s="27">
        <f t="shared" ref="AI49:AI68" si="3">AE49*1.22</f>
        <v>1.9398</v>
      </c>
      <c r="AK49" s="26">
        <v>0.55000000000000004</v>
      </c>
      <c r="AL49" s="26">
        <v>0.3</v>
      </c>
      <c r="AM49" s="27">
        <f t="shared" ref="AM49:AM68" si="4">AE49*0.75</f>
        <v>1.1925000000000001</v>
      </c>
      <c r="AO49" s="26">
        <v>0.55000000000000004</v>
      </c>
      <c r="AP49" s="26">
        <v>0.3</v>
      </c>
      <c r="AQ49" s="27">
        <f t="shared" ref="AQ49:AQ68" si="5">AI49*3+AE49+AM49</f>
        <v>8.6019000000000005</v>
      </c>
    </row>
    <row r="50" spans="1:43" x14ac:dyDescent="0.3">
      <c r="B50" t="s">
        <v>170</v>
      </c>
      <c r="C50">
        <v>0.4</v>
      </c>
      <c r="D50">
        <v>3.58</v>
      </c>
      <c r="E50">
        <v>0.3</v>
      </c>
      <c r="H50" t="s">
        <v>170</v>
      </c>
      <c r="I50">
        <v>0.4</v>
      </c>
      <c r="J50">
        <v>3.58</v>
      </c>
      <c r="K50">
        <v>0.3</v>
      </c>
      <c r="N50" t="s">
        <v>167</v>
      </c>
      <c r="O50">
        <v>0.1</v>
      </c>
      <c r="P50">
        <v>12.32</v>
      </c>
      <c r="T50" t="s">
        <v>167</v>
      </c>
      <c r="U50">
        <v>0.1</v>
      </c>
      <c r="V50">
        <v>6.46</v>
      </c>
      <c r="Y50">
        <v>0.55000000000000004</v>
      </c>
      <c r="Z50">
        <v>0.15</v>
      </c>
      <c r="AA50">
        <f t="shared" si="1"/>
        <v>0</v>
      </c>
      <c r="AC50" s="26">
        <v>0.55000000000000004</v>
      </c>
      <c r="AD50" s="26">
        <v>0.15</v>
      </c>
      <c r="AE50" s="26">
        <f t="shared" si="2"/>
        <v>0.63</v>
      </c>
      <c r="AG50" s="26">
        <v>0.55000000000000004</v>
      </c>
      <c r="AH50" s="26">
        <v>0.15</v>
      </c>
      <c r="AI50" s="27">
        <f t="shared" si="3"/>
        <v>0.76859999999999995</v>
      </c>
      <c r="AK50" s="26">
        <v>0.55000000000000004</v>
      </c>
      <c r="AL50" s="26">
        <v>0.15</v>
      </c>
      <c r="AM50" s="27">
        <f t="shared" si="4"/>
        <v>0.47250000000000003</v>
      </c>
      <c r="AO50" s="26">
        <v>0.55000000000000004</v>
      </c>
      <c r="AP50" s="26">
        <v>0.15</v>
      </c>
      <c r="AQ50" s="27">
        <f t="shared" si="5"/>
        <v>3.4082999999999997</v>
      </c>
    </row>
    <row r="51" spans="1:43" x14ac:dyDescent="0.3">
      <c r="B51" t="s">
        <v>170</v>
      </c>
      <c r="C51">
        <v>0.3</v>
      </c>
      <c r="D51">
        <v>1</v>
      </c>
      <c r="E51">
        <v>0.3</v>
      </c>
      <c r="H51" t="s">
        <v>170</v>
      </c>
      <c r="I51">
        <v>0.3</v>
      </c>
      <c r="J51">
        <v>0.8</v>
      </c>
      <c r="K51">
        <v>0.3</v>
      </c>
      <c r="Y51">
        <v>0.5</v>
      </c>
      <c r="Z51">
        <v>0.3</v>
      </c>
      <c r="AA51">
        <f t="shared" si="1"/>
        <v>4.5</v>
      </c>
      <c r="AC51" s="26">
        <v>0.5</v>
      </c>
      <c r="AD51" s="26">
        <v>0.3</v>
      </c>
      <c r="AE51" s="26">
        <f t="shared" si="2"/>
        <v>7.96</v>
      </c>
      <c r="AG51" s="26">
        <v>0.5</v>
      </c>
      <c r="AH51" s="26">
        <v>0.3</v>
      </c>
      <c r="AI51" s="27">
        <f t="shared" si="3"/>
        <v>9.7111999999999998</v>
      </c>
      <c r="AK51" s="26">
        <v>0.5</v>
      </c>
      <c r="AL51" s="26">
        <v>0.3</v>
      </c>
      <c r="AM51" s="27">
        <f t="shared" si="4"/>
        <v>5.97</v>
      </c>
      <c r="AO51" s="26">
        <v>0.5</v>
      </c>
      <c r="AP51" s="26">
        <v>0.3</v>
      </c>
      <c r="AQ51" s="27">
        <f t="shared" si="5"/>
        <v>43.063600000000001</v>
      </c>
    </row>
    <row r="52" spans="1:43" x14ac:dyDescent="0.3">
      <c r="B52" t="s">
        <v>170</v>
      </c>
      <c r="C52">
        <v>0.3</v>
      </c>
      <c r="D52">
        <v>5.66</v>
      </c>
      <c r="E52">
        <v>0.25</v>
      </c>
      <c r="H52" t="s">
        <v>170</v>
      </c>
      <c r="I52">
        <v>0.3</v>
      </c>
      <c r="J52">
        <v>4</v>
      </c>
      <c r="K52">
        <v>0.2</v>
      </c>
      <c r="Y52">
        <v>0.5</v>
      </c>
      <c r="Z52">
        <v>0.25</v>
      </c>
      <c r="AA52">
        <f t="shared" si="1"/>
        <v>8.370000000000001</v>
      </c>
      <c r="AC52" s="26">
        <v>0.5</v>
      </c>
      <c r="AD52" s="26">
        <v>0.25</v>
      </c>
      <c r="AE52" s="26">
        <f t="shared" si="2"/>
        <v>13.21</v>
      </c>
      <c r="AG52" s="26">
        <v>0.5</v>
      </c>
      <c r="AH52" s="26">
        <v>0.25</v>
      </c>
      <c r="AI52" s="27">
        <f t="shared" si="3"/>
        <v>16.116199999999999</v>
      </c>
      <c r="AK52" s="26">
        <v>0.5</v>
      </c>
      <c r="AL52" s="26">
        <v>0.25</v>
      </c>
      <c r="AM52" s="27">
        <f t="shared" si="4"/>
        <v>9.9075000000000006</v>
      </c>
      <c r="AO52" s="26">
        <v>0.5</v>
      </c>
      <c r="AP52" s="26">
        <v>0.25</v>
      </c>
      <c r="AQ52" s="27">
        <f t="shared" si="5"/>
        <v>71.466099999999997</v>
      </c>
    </row>
    <row r="53" spans="1:43" x14ac:dyDescent="0.3">
      <c r="B53" t="s">
        <v>170</v>
      </c>
      <c r="C53">
        <v>0.25</v>
      </c>
      <c r="D53">
        <v>1.1399999999999999</v>
      </c>
      <c r="E53">
        <v>0.25</v>
      </c>
      <c r="H53" t="s">
        <v>170</v>
      </c>
      <c r="I53">
        <v>0.2</v>
      </c>
      <c r="J53">
        <v>1.06</v>
      </c>
      <c r="K53">
        <v>0.2</v>
      </c>
      <c r="Y53">
        <v>0.5</v>
      </c>
      <c r="Z53">
        <v>0.15</v>
      </c>
      <c r="AA53">
        <f t="shared" si="1"/>
        <v>5.0199999999999996</v>
      </c>
      <c r="AC53" s="26">
        <v>0.5</v>
      </c>
      <c r="AD53" s="26">
        <v>0.15</v>
      </c>
      <c r="AE53" s="26">
        <f t="shared" si="2"/>
        <v>8.6499999999999986</v>
      </c>
      <c r="AG53" s="26">
        <v>0.5</v>
      </c>
      <c r="AH53" s="26">
        <v>0.15</v>
      </c>
      <c r="AI53" s="27">
        <f t="shared" si="3"/>
        <v>10.552999999999997</v>
      </c>
      <c r="AK53" s="26">
        <v>0.5</v>
      </c>
      <c r="AL53" s="26">
        <v>0.15</v>
      </c>
      <c r="AM53" s="27">
        <f t="shared" si="4"/>
        <v>6.4874999999999989</v>
      </c>
      <c r="AO53" s="26">
        <v>0.5</v>
      </c>
      <c r="AP53" s="26">
        <v>0.15</v>
      </c>
      <c r="AQ53" s="27">
        <f t="shared" si="5"/>
        <v>46.796499999999988</v>
      </c>
    </row>
    <row r="54" spans="1:43" x14ac:dyDescent="0.3">
      <c r="B54" t="s">
        <v>167</v>
      </c>
      <c r="C54">
        <v>0.25</v>
      </c>
      <c r="D54">
        <v>4.78</v>
      </c>
      <c r="H54" t="s">
        <v>167</v>
      </c>
      <c r="I54">
        <v>0.25</v>
      </c>
      <c r="J54">
        <v>7.16</v>
      </c>
      <c r="Y54">
        <v>0.4</v>
      </c>
      <c r="Z54">
        <v>0.3</v>
      </c>
      <c r="AA54">
        <f t="shared" si="1"/>
        <v>7.24</v>
      </c>
      <c r="AC54" s="26">
        <v>0.4</v>
      </c>
      <c r="AD54" s="26">
        <v>0.3</v>
      </c>
      <c r="AE54" s="26">
        <f t="shared" si="2"/>
        <v>14.34</v>
      </c>
      <c r="AG54" s="26">
        <v>0.4</v>
      </c>
      <c r="AH54" s="26">
        <v>0.3</v>
      </c>
      <c r="AI54" s="27">
        <f t="shared" si="3"/>
        <v>17.494799999999998</v>
      </c>
      <c r="AK54" s="26">
        <v>0.4</v>
      </c>
      <c r="AL54" s="26">
        <v>0.3</v>
      </c>
      <c r="AM54" s="27">
        <f t="shared" si="4"/>
        <v>10.754999999999999</v>
      </c>
      <c r="AO54" s="26">
        <v>0.4</v>
      </c>
      <c r="AP54" s="26">
        <v>0.3</v>
      </c>
      <c r="AQ54" s="27">
        <f t="shared" si="5"/>
        <v>77.579399999999993</v>
      </c>
    </row>
    <row r="55" spans="1:43" x14ac:dyDescent="0.3">
      <c r="B55" t="s">
        <v>167</v>
      </c>
      <c r="C55">
        <v>0.2</v>
      </c>
      <c r="D55">
        <v>7.34</v>
      </c>
      <c r="H55" t="s">
        <v>167</v>
      </c>
      <c r="I55">
        <v>0.2</v>
      </c>
      <c r="J55">
        <v>7.62</v>
      </c>
      <c r="Y55">
        <v>0.4</v>
      </c>
      <c r="Z55">
        <v>0.15</v>
      </c>
      <c r="AA55">
        <f t="shared" si="1"/>
        <v>8.35</v>
      </c>
      <c r="AC55" s="26">
        <v>0.4</v>
      </c>
      <c r="AD55" s="26">
        <v>0.15</v>
      </c>
      <c r="AE55" s="26">
        <f t="shared" si="2"/>
        <v>22.47</v>
      </c>
      <c r="AG55" s="26">
        <v>0.4</v>
      </c>
      <c r="AH55" s="26">
        <v>0.15</v>
      </c>
      <c r="AI55" s="27">
        <f t="shared" si="3"/>
        <v>27.413399999999999</v>
      </c>
      <c r="AK55" s="26">
        <v>0.4</v>
      </c>
      <c r="AL55" s="26">
        <v>0.15</v>
      </c>
      <c r="AM55" s="27">
        <f t="shared" si="4"/>
        <v>16.852499999999999</v>
      </c>
      <c r="AO55" s="26">
        <v>0.4</v>
      </c>
      <c r="AP55" s="26">
        <v>0.15</v>
      </c>
      <c r="AQ55" s="27">
        <f t="shared" si="5"/>
        <v>121.56270000000001</v>
      </c>
    </row>
    <row r="56" spans="1:43" x14ac:dyDescent="0.3">
      <c r="B56" t="s">
        <v>167</v>
      </c>
      <c r="C56">
        <v>0.16</v>
      </c>
      <c r="D56">
        <v>19.8</v>
      </c>
      <c r="H56" t="s">
        <v>167</v>
      </c>
      <c r="I56">
        <v>0.16</v>
      </c>
      <c r="J56">
        <v>24.87</v>
      </c>
      <c r="Y56">
        <v>0.35</v>
      </c>
      <c r="Z56">
        <v>0.15</v>
      </c>
      <c r="AA56">
        <f t="shared" si="1"/>
        <v>6.67</v>
      </c>
      <c r="AC56" s="26">
        <v>0.35</v>
      </c>
      <c r="AD56" s="26">
        <v>0.15</v>
      </c>
      <c r="AE56" s="26">
        <f t="shared" si="2"/>
        <v>10.85</v>
      </c>
      <c r="AG56" s="26">
        <v>0.35</v>
      </c>
      <c r="AH56" s="26">
        <v>0.15</v>
      </c>
      <c r="AI56" s="27">
        <f t="shared" si="3"/>
        <v>13.237</v>
      </c>
      <c r="AK56" s="26">
        <v>0.35</v>
      </c>
      <c r="AL56" s="26">
        <v>0.15</v>
      </c>
      <c r="AM56" s="27">
        <f t="shared" si="4"/>
        <v>8.1374999999999993</v>
      </c>
      <c r="AO56" s="26">
        <v>0.35</v>
      </c>
      <c r="AP56" s="26">
        <v>0.15</v>
      </c>
      <c r="AQ56" s="27">
        <f t="shared" si="5"/>
        <v>58.698499999999996</v>
      </c>
    </row>
    <row r="57" spans="1:43" x14ac:dyDescent="0.3">
      <c r="B57" t="s">
        <v>167</v>
      </c>
      <c r="C57">
        <v>0.125</v>
      </c>
      <c r="D57">
        <v>52.17</v>
      </c>
      <c r="H57" t="s">
        <v>167</v>
      </c>
      <c r="I57">
        <v>0.125</v>
      </c>
      <c r="J57">
        <v>34.619999999999997</v>
      </c>
      <c r="Y57">
        <v>0.3</v>
      </c>
      <c r="Z57">
        <v>0.3</v>
      </c>
      <c r="AA57">
        <f t="shared" si="1"/>
        <v>1.51</v>
      </c>
      <c r="AC57" s="26">
        <v>0.3</v>
      </c>
      <c r="AD57" s="26">
        <v>0.3</v>
      </c>
      <c r="AE57" s="26">
        <f t="shared" si="2"/>
        <v>2.76</v>
      </c>
      <c r="AG57" s="26">
        <v>0.3</v>
      </c>
      <c r="AH57" s="26">
        <v>0.3</v>
      </c>
      <c r="AI57" s="27">
        <f t="shared" si="3"/>
        <v>3.3671999999999995</v>
      </c>
      <c r="AK57" s="26">
        <v>0.3</v>
      </c>
      <c r="AL57" s="26">
        <v>0.3</v>
      </c>
      <c r="AM57" s="27">
        <f t="shared" si="4"/>
        <v>2.0699999999999998</v>
      </c>
      <c r="AO57" s="26">
        <v>0.3</v>
      </c>
      <c r="AP57" s="26">
        <v>0.3</v>
      </c>
      <c r="AQ57" s="27">
        <f t="shared" si="5"/>
        <v>14.931599999999998</v>
      </c>
    </row>
    <row r="58" spans="1:43" x14ac:dyDescent="0.3">
      <c r="B58" t="s">
        <v>167</v>
      </c>
      <c r="C58">
        <v>0.1</v>
      </c>
      <c r="D58">
        <v>3.55</v>
      </c>
      <c r="H58" t="s">
        <v>167</v>
      </c>
      <c r="I58">
        <v>0.1</v>
      </c>
      <c r="J58">
        <v>2.39</v>
      </c>
      <c r="Y58">
        <v>0.3</v>
      </c>
      <c r="Z58">
        <v>0.25</v>
      </c>
      <c r="AA58">
        <f t="shared" si="1"/>
        <v>8.4</v>
      </c>
      <c r="AC58" s="26">
        <v>0.3</v>
      </c>
      <c r="AD58" s="26">
        <v>0.25</v>
      </c>
      <c r="AE58" s="26">
        <f t="shared" si="2"/>
        <v>8.4</v>
      </c>
      <c r="AG58" s="26">
        <v>0.3</v>
      </c>
      <c r="AH58" s="26">
        <v>0.25</v>
      </c>
      <c r="AI58" s="27">
        <f t="shared" si="3"/>
        <v>10.247999999999999</v>
      </c>
      <c r="AK58" s="26">
        <v>0.3</v>
      </c>
      <c r="AL58" s="26">
        <v>0.25</v>
      </c>
      <c r="AM58" s="27">
        <f t="shared" si="4"/>
        <v>6.3000000000000007</v>
      </c>
      <c r="AO58" s="26">
        <v>0.3</v>
      </c>
      <c r="AP58" s="26">
        <v>0.25</v>
      </c>
      <c r="AQ58" s="27">
        <f t="shared" si="5"/>
        <v>45.444000000000003</v>
      </c>
    </row>
    <row r="59" spans="1:43" x14ac:dyDescent="0.3">
      <c r="Y59">
        <v>0.3</v>
      </c>
      <c r="Z59">
        <v>0.2</v>
      </c>
      <c r="AA59">
        <f t="shared" si="1"/>
        <v>0</v>
      </c>
      <c r="AC59" s="26">
        <v>0.3</v>
      </c>
      <c r="AD59" s="26">
        <v>0.2</v>
      </c>
      <c r="AE59" s="26">
        <f t="shared" si="2"/>
        <v>8.379999999999999</v>
      </c>
      <c r="AG59" s="26">
        <v>0.3</v>
      </c>
      <c r="AH59" s="26">
        <v>0.2</v>
      </c>
      <c r="AI59" s="27">
        <f t="shared" si="3"/>
        <v>10.223599999999999</v>
      </c>
      <c r="AK59" s="26">
        <v>0.3</v>
      </c>
      <c r="AL59" s="26">
        <v>0.2</v>
      </c>
      <c r="AM59" s="27">
        <f t="shared" si="4"/>
        <v>6.2849999999999993</v>
      </c>
      <c r="AO59" s="26">
        <v>0.3</v>
      </c>
      <c r="AP59" s="26">
        <v>0.2</v>
      </c>
      <c r="AQ59" s="27">
        <f t="shared" si="5"/>
        <v>45.335799999999992</v>
      </c>
    </row>
    <row r="60" spans="1:43" x14ac:dyDescent="0.3">
      <c r="A60" s="12" t="s">
        <v>85</v>
      </c>
      <c r="B60" s="12"/>
      <c r="C60" s="12"/>
      <c r="D60" s="12"/>
      <c r="E60" s="12"/>
      <c r="G60" s="12" t="s">
        <v>85</v>
      </c>
      <c r="H60" s="12"/>
      <c r="I60" s="12"/>
      <c r="J60" s="12"/>
      <c r="K60" s="12"/>
      <c r="M60" s="12" t="s">
        <v>85</v>
      </c>
      <c r="N60" s="12"/>
      <c r="O60" s="12"/>
      <c r="P60" s="12"/>
      <c r="Q60" s="12"/>
      <c r="S60" s="12"/>
      <c r="T60" s="12"/>
      <c r="U60" s="12"/>
      <c r="V60" s="12"/>
      <c r="W60" s="12"/>
      <c r="Y60">
        <v>0.3</v>
      </c>
      <c r="Z60">
        <v>0.15</v>
      </c>
      <c r="AA60">
        <f t="shared" si="1"/>
        <v>14.35</v>
      </c>
      <c r="AC60" s="26">
        <v>0.3</v>
      </c>
      <c r="AD60" s="26">
        <v>0.15</v>
      </c>
      <c r="AE60" s="26">
        <f t="shared" si="2"/>
        <v>27.7</v>
      </c>
      <c r="AG60" s="26">
        <v>0.3</v>
      </c>
      <c r="AH60" s="26">
        <v>0.15</v>
      </c>
      <c r="AI60" s="27">
        <f t="shared" si="3"/>
        <v>33.793999999999997</v>
      </c>
      <c r="AK60" s="26">
        <v>0.3</v>
      </c>
      <c r="AL60" s="26">
        <v>0.15</v>
      </c>
      <c r="AM60" s="27">
        <f t="shared" si="4"/>
        <v>20.774999999999999</v>
      </c>
      <c r="AO60" s="26">
        <v>0.3</v>
      </c>
      <c r="AP60" s="26">
        <v>0.15</v>
      </c>
      <c r="AQ60" s="27">
        <f t="shared" si="5"/>
        <v>149.857</v>
      </c>
    </row>
    <row r="61" spans="1:43" x14ac:dyDescent="0.3">
      <c r="B61" t="s">
        <v>170</v>
      </c>
      <c r="C61">
        <v>0.5</v>
      </c>
      <c r="D61">
        <v>3</v>
      </c>
      <c r="E61">
        <v>2.5</v>
      </c>
      <c r="H61" t="s">
        <v>170</v>
      </c>
      <c r="I61">
        <v>0.5</v>
      </c>
      <c r="J61">
        <v>1.08</v>
      </c>
      <c r="K61">
        <v>0.25</v>
      </c>
      <c r="N61" t="s">
        <v>167</v>
      </c>
      <c r="O61">
        <v>0.125</v>
      </c>
      <c r="P61">
        <v>2.65</v>
      </c>
      <c r="T61" t="s">
        <v>167</v>
      </c>
      <c r="U61">
        <v>0.125</v>
      </c>
      <c r="V61">
        <v>2.65</v>
      </c>
      <c r="Y61">
        <v>0.25</v>
      </c>
      <c r="Z61">
        <v>0.25</v>
      </c>
      <c r="AA61">
        <f t="shared" si="1"/>
        <v>2.2799999999999998</v>
      </c>
      <c r="AC61" s="26">
        <v>0.25</v>
      </c>
      <c r="AD61" s="26">
        <v>0.25</v>
      </c>
      <c r="AE61" s="26">
        <f t="shared" si="2"/>
        <v>2.2799999999999998</v>
      </c>
      <c r="AG61" s="26">
        <v>0.25</v>
      </c>
      <c r="AH61" s="26">
        <v>0.25</v>
      </c>
      <c r="AI61" s="27">
        <f t="shared" si="3"/>
        <v>2.7815999999999996</v>
      </c>
      <c r="AK61" s="26">
        <v>0.25</v>
      </c>
      <c r="AL61" s="26">
        <v>0.25</v>
      </c>
      <c r="AM61" s="27">
        <f t="shared" si="4"/>
        <v>1.71</v>
      </c>
      <c r="AO61" s="26">
        <v>0.25</v>
      </c>
      <c r="AP61" s="26">
        <v>0.25</v>
      </c>
      <c r="AQ61" s="27">
        <f t="shared" si="5"/>
        <v>12.334799999999998</v>
      </c>
    </row>
    <row r="62" spans="1:43" x14ac:dyDescent="0.3">
      <c r="B62" t="s">
        <v>170</v>
      </c>
      <c r="C62">
        <v>0.2</v>
      </c>
      <c r="D62">
        <v>2.89</v>
      </c>
      <c r="E62">
        <v>0.2</v>
      </c>
      <c r="H62" t="s">
        <v>170</v>
      </c>
      <c r="I62">
        <v>0.2</v>
      </c>
      <c r="J62">
        <v>2.84</v>
      </c>
      <c r="K62">
        <v>0.2</v>
      </c>
      <c r="N62" t="s">
        <v>167</v>
      </c>
      <c r="O62">
        <v>0.1</v>
      </c>
      <c r="P62">
        <v>1.49</v>
      </c>
      <c r="T62" t="s">
        <v>167</v>
      </c>
      <c r="U62">
        <v>0.1</v>
      </c>
      <c r="V62">
        <v>2.82</v>
      </c>
      <c r="Y62">
        <v>0.25</v>
      </c>
      <c r="Z62">
        <v>0.15</v>
      </c>
      <c r="AA62">
        <f t="shared" si="1"/>
        <v>13.73</v>
      </c>
      <c r="AC62" s="26">
        <v>0.25</v>
      </c>
      <c r="AD62" s="26">
        <v>0.15</v>
      </c>
      <c r="AE62" s="26">
        <f t="shared" si="2"/>
        <v>25.93</v>
      </c>
      <c r="AG62" s="26">
        <v>0.25</v>
      </c>
      <c r="AH62" s="26">
        <v>0.15</v>
      </c>
      <c r="AI62" s="27">
        <f t="shared" si="3"/>
        <v>31.634599999999999</v>
      </c>
      <c r="AK62" s="26">
        <v>0.25</v>
      </c>
      <c r="AL62" s="26">
        <v>0.15</v>
      </c>
      <c r="AM62" s="27">
        <f t="shared" si="4"/>
        <v>19.447499999999998</v>
      </c>
      <c r="AO62" s="26">
        <v>0.25</v>
      </c>
      <c r="AP62" s="26">
        <v>0.15</v>
      </c>
      <c r="AQ62" s="27">
        <f t="shared" si="5"/>
        <v>140.28129999999999</v>
      </c>
    </row>
    <row r="63" spans="1:43" x14ac:dyDescent="0.3">
      <c r="B63" t="s">
        <v>167</v>
      </c>
      <c r="C63">
        <v>0.2</v>
      </c>
      <c r="D63">
        <v>2.2799999999999998</v>
      </c>
      <c r="H63" t="s">
        <v>167</v>
      </c>
      <c r="I63">
        <v>0.25</v>
      </c>
      <c r="J63">
        <v>2.23</v>
      </c>
      <c r="Y63">
        <v>0.2</v>
      </c>
      <c r="Z63">
        <v>0.2</v>
      </c>
      <c r="AA63">
        <f t="shared" si="1"/>
        <v>5.77</v>
      </c>
      <c r="AC63" s="26">
        <v>0.2</v>
      </c>
      <c r="AD63" s="26">
        <v>0.2</v>
      </c>
      <c r="AE63" s="26">
        <f t="shared" si="2"/>
        <v>13.84</v>
      </c>
      <c r="AG63" s="26">
        <v>0.2</v>
      </c>
      <c r="AH63" s="26">
        <v>0.2</v>
      </c>
      <c r="AI63" s="27">
        <f t="shared" si="3"/>
        <v>16.884799999999998</v>
      </c>
      <c r="AK63" s="26">
        <v>0.2</v>
      </c>
      <c r="AL63" s="26">
        <v>0.2</v>
      </c>
      <c r="AM63" s="27">
        <f t="shared" si="4"/>
        <v>10.379999999999999</v>
      </c>
      <c r="AO63" s="26">
        <v>0.2</v>
      </c>
      <c r="AP63" s="26">
        <v>0.2</v>
      </c>
      <c r="AQ63" s="27">
        <f t="shared" si="5"/>
        <v>74.874399999999994</v>
      </c>
    </row>
    <row r="64" spans="1:43" x14ac:dyDescent="0.3">
      <c r="B64" t="s">
        <v>167</v>
      </c>
      <c r="C64">
        <v>0.16</v>
      </c>
      <c r="D64">
        <v>15.22</v>
      </c>
      <c r="H64" t="s">
        <v>167</v>
      </c>
      <c r="I64">
        <v>0.16</v>
      </c>
      <c r="J64">
        <v>6.98</v>
      </c>
      <c r="Y64">
        <v>0.25</v>
      </c>
      <c r="AA64">
        <f>SUMPRODUCT(SUMIFS($D$49:$D$102,$C$49:$C$102,Y64))</f>
        <v>41.29</v>
      </c>
      <c r="AC64" s="26">
        <v>0.25</v>
      </c>
      <c r="AD64" s="26"/>
      <c r="AE64" s="26">
        <f>SUMPRODUCT(SUMIFS($AA$48:$AA$105,$Y$48:$Y$105,AC64))</f>
        <v>101.47</v>
      </c>
      <c r="AG64" s="26">
        <v>0.25</v>
      </c>
      <c r="AH64" s="26"/>
      <c r="AI64" s="27">
        <f t="shared" si="3"/>
        <v>123.79339999999999</v>
      </c>
      <c r="AK64" s="26">
        <v>0.25</v>
      </c>
      <c r="AL64" s="26"/>
      <c r="AM64" s="27">
        <f t="shared" si="4"/>
        <v>76.102499999999992</v>
      </c>
      <c r="AO64" s="26">
        <v>0.25</v>
      </c>
      <c r="AP64" s="26"/>
      <c r="AQ64" s="27">
        <f t="shared" si="5"/>
        <v>548.95269999999994</v>
      </c>
    </row>
    <row r="65" spans="1:43" x14ac:dyDescent="0.3">
      <c r="B65" t="s">
        <v>167</v>
      </c>
      <c r="C65">
        <v>0.125</v>
      </c>
      <c r="D65">
        <v>27.95</v>
      </c>
      <c r="H65" t="s">
        <v>167</v>
      </c>
      <c r="I65">
        <v>0.125</v>
      </c>
      <c r="J65">
        <v>16.87</v>
      </c>
      <c r="Y65">
        <v>0.2</v>
      </c>
      <c r="AA65">
        <f>SUMPRODUCT(SUMIFS($D$49:$D$102,$C$49:$C$102,Y65))</f>
        <v>30.689999999999998</v>
      </c>
      <c r="AC65" s="26">
        <v>0.2</v>
      </c>
      <c r="AD65" s="26"/>
      <c r="AE65" s="26">
        <f>SUMPRODUCT(SUMIFS($AA$48:$AA$105,$Y$48:$Y$105,AC65))</f>
        <v>75.569999999999993</v>
      </c>
      <c r="AG65" s="26">
        <v>0.2</v>
      </c>
      <c r="AH65" s="26"/>
      <c r="AI65" s="27">
        <f t="shared" si="3"/>
        <v>92.195399999999992</v>
      </c>
      <c r="AK65" s="26">
        <v>0.2</v>
      </c>
      <c r="AL65" s="26"/>
      <c r="AM65" s="27">
        <f t="shared" si="4"/>
        <v>56.677499999999995</v>
      </c>
      <c r="AO65" s="26">
        <v>0.2</v>
      </c>
      <c r="AP65" s="26"/>
      <c r="AQ65" s="27">
        <f t="shared" si="5"/>
        <v>408.83369999999996</v>
      </c>
    </row>
    <row r="66" spans="1:43" x14ac:dyDescent="0.3">
      <c r="Y66">
        <v>0.16</v>
      </c>
      <c r="AA66">
        <f>SUMPRODUCT(SUMIFS($D$49:$D$102,$C$49:$C$102,Y66))</f>
        <v>63.17</v>
      </c>
      <c r="AC66" s="26">
        <v>0.16</v>
      </c>
      <c r="AD66" s="26"/>
      <c r="AE66" s="26">
        <f>SUMPRODUCT(SUMIFS($AA$48:$AA$105,$Y$48:$Y$105,AC66))</f>
        <v>114.29</v>
      </c>
      <c r="AG66" s="26">
        <v>0.16</v>
      </c>
      <c r="AH66" s="26"/>
      <c r="AI66" s="27">
        <f t="shared" si="3"/>
        <v>139.43379999999999</v>
      </c>
      <c r="AK66" s="26">
        <v>0.16</v>
      </c>
      <c r="AL66" s="26"/>
      <c r="AM66" s="27">
        <f t="shared" si="4"/>
        <v>85.717500000000001</v>
      </c>
      <c r="AO66" s="26">
        <v>0.16</v>
      </c>
      <c r="AP66" s="26"/>
      <c r="AQ66" s="27">
        <f t="shared" si="5"/>
        <v>618.30889999999988</v>
      </c>
    </row>
    <row r="67" spans="1:43" x14ac:dyDescent="0.3">
      <c r="A67" s="12" t="s">
        <v>75</v>
      </c>
      <c r="B67" s="12"/>
      <c r="C67" s="12"/>
      <c r="D67" s="12"/>
      <c r="E67" s="12"/>
      <c r="G67" s="12" t="s">
        <v>75</v>
      </c>
      <c r="H67" s="12"/>
      <c r="I67" s="12"/>
      <c r="J67" s="12"/>
      <c r="K67" s="12"/>
      <c r="M67" s="12" t="s">
        <v>75</v>
      </c>
      <c r="N67" s="12"/>
      <c r="O67" s="12"/>
      <c r="P67" s="12"/>
      <c r="Q67" s="12"/>
      <c r="S67" s="12" t="s">
        <v>75</v>
      </c>
      <c r="T67" s="12"/>
      <c r="U67" s="12"/>
      <c r="V67" s="12"/>
      <c r="W67" s="12"/>
      <c r="Y67">
        <v>0.125</v>
      </c>
      <c r="AA67">
        <f>SUMPRODUCT(SUMIFS($D$49:$D$102,$C$49:$C$102,Y67))</f>
        <v>266.51000000000005</v>
      </c>
      <c r="AC67" s="26">
        <v>0.125</v>
      </c>
      <c r="AD67" s="26"/>
      <c r="AE67" s="26">
        <f>SUMPRODUCT(SUMIFS($AA$48:$AA$105,$Y$48:$Y$105,AC67))</f>
        <v>533.18000000000006</v>
      </c>
      <c r="AG67" s="26">
        <v>0.125</v>
      </c>
      <c r="AH67" s="26"/>
      <c r="AI67" s="27">
        <f t="shared" si="3"/>
        <v>650.47960000000012</v>
      </c>
      <c r="AK67" s="26">
        <v>0.125</v>
      </c>
      <c r="AL67" s="26"/>
      <c r="AM67" s="27">
        <f t="shared" si="4"/>
        <v>399.88500000000005</v>
      </c>
      <c r="AO67" s="26">
        <v>0.125</v>
      </c>
      <c r="AP67" s="26"/>
      <c r="AQ67" s="55">
        <f t="shared" si="5"/>
        <v>2884.5038000000004</v>
      </c>
    </row>
    <row r="68" spans="1:43" x14ac:dyDescent="0.3">
      <c r="B68" t="s">
        <v>170</v>
      </c>
      <c r="C68">
        <v>0.55000000000000004</v>
      </c>
      <c r="D68">
        <v>1.25</v>
      </c>
      <c r="E68">
        <v>0.35</v>
      </c>
      <c r="H68" t="s">
        <v>170</v>
      </c>
      <c r="I68">
        <v>0.55000000000000004</v>
      </c>
      <c r="J68">
        <v>1.25</v>
      </c>
      <c r="K68">
        <v>0.35</v>
      </c>
      <c r="N68" t="s">
        <v>167</v>
      </c>
      <c r="O68">
        <v>0.125</v>
      </c>
      <c r="P68">
        <v>6.78</v>
      </c>
      <c r="T68" t="s">
        <v>167</v>
      </c>
      <c r="U68">
        <v>0.125</v>
      </c>
      <c r="V68">
        <v>4.2699999999999996</v>
      </c>
      <c r="Y68">
        <v>0.1</v>
      </c>
      <c r="AA68">
        <f>SUMPRODUCT(SUMIFS($D$49:$D$102,$C$49:$C$102,Y68))</f>
        <v>7.48</v>
      </c>
      <c r="AC68" s="26">
        <v>0.1</v>
      </c>
      <c r="AD68" s="26"/>
      <c r="AE68" s="26">
        <f>SUMPRODUCT(SUMIFS($AA$48:$AA$105,$Y$48:$Y$105,AC68))</f>
        <v>54.61</v>
      </c>
      <c r="AG68" s="26">
        <v>0.1</v>
      </c>
      <c r="AH68" s="26"/>
      <c r="AI68" s="27">
        <f t="shared" si="3"/>
        <v>66.624200000000002</v>
      </c>
      <c r="AK68" s="26">
        <v>0.1</v>
      </c>
      <c r="AL68" s="26"/>
      <c r="AM68" s="27">
        <f t="shared" si="4"/>
        <v>40.957499999999996</v>
      </c>
      <c r="AO68" s="26">
        <v>0.1</v>
      </c>
      <c r="AP68" s="26"/>
      <c r="AQ68" s="27">
        <f t="shared" si="5"/>
        <v>295.44009999999997</v>
      </c>
    </row>
    <row r="69" spans="1:43" x14ac:dyDescent="0.3">
      <c r="B69" t="s">
        <v>170</v>
      </c>
      <c r="C69">
        <v>0.5</v>
      </c>
      <c r="D69">
        <v>4.5</v>
      </c>
      <c r="E69">
        <v>0.3</v>
      </c>
      <c r="H69" t="s">
        <v>170</v>
      </c>
      <c r="I69">
        <v>0.55000000000000004</v>
      </c>
      <c r="J69">
        <v>1.59</v>
      </c>
      <c r="K69">
        <v>0.3</v>
      </c>
    </row>
    <row r="70" spans="1:43" x14ac:dyDescent="0.3">
      <c r="B70" t="s">
        <v>170</v>
      </c>
      <c r="C70">
        <v>0.5</v>
      </c>
      <c r="D70">
        <v>5.0199999999999996</v>
      </c>
      <c r="E70">
        <v>0.15</v>
      </c>
      <c r="H70" t="s">
        <v>170</v>
      </c>
      <c r="I70">
        <v>0.55000000000000004</v>
      </c>
      <c r="J70">
        <v>0.63</v>
      </c>
      <c r="K70">
        <v>0.15</v>
      </c>
      <c r="M70" s="12" t="s">
        <v>171</v>
      </c>
      <c r="N70" s="12"/>
      <c r="O70" s="12"/>
      <c r="P70" s="12"/>
      <c r="Q70" s="12"/>
      <c r="S70" s="12" t="s">
        <v>171</v>
      </c>
      <c r="T70" s="12"/>
      <c r="U70" s="12"/>
      <c r="V70" s="12"/>
      <c r="W70" s="12"/>
    </row>
    <row r="71" spans="1:43" x14ac:dyDescent="0.3">
      <c r="B71" t="s">
        <v>170</v>
      </c>
      <c r="C71">
        <v>0.4</v>
      </c>
      <c r="D71">
        <v>8.35</v>
      </c>
      <c r="E71">
        <v>0.15</v>
      </c>
      <c r="H71" t="s">
        <v>170</v>
      </c>
      <c r="I71">
        <v>0.5</v>
      </c>
      <c r="J71">
        <v>3.46</v>
      </c>
      <c r="K71">
        <v>0.3</v>
      </c>
      <c r="N71" t="s">
        <v>167</v>
      </c>
      <c r="O71">
        <v>0.125</v>
      </c>
      <c r="P71">
        <v>6.78</v>
      </c>
      <c r="T71" t="s">
        <v>167</v>
      </c>
      <c r="U71">
        <v>0.125</v>
      </c>
      <c r="V71">
        <v>4.2699999999999996</v>
      </c>
      <c r="Y71" s="4" t="s">
        <v>173</v>
      </c>
      <c r="Z71" s="4"/>
    </row>
    <row r="72" spans="1:43" x14ac:dyDescent="0.3">
      <c r="B72" t="s">
        <v>170</v>
      </c>
      <c r="C72">
        <v>0.35</v>
      </c>
      <c r="D72">
        <v>6.67</v>
      </c>
      <c r="E72">
        <v>0.15</v>
      </c>
      <c r="H72" t="s">
        <v>170</v>
      </c>
      <c r="I72">
        <v>0.5</v>
      </c>
      <c r="J72">
        <v>3.63</v>
      </c>
      <c r="K72">
        <v>0.15</v>
      </c>
      <c r="Y72" s="2" t="s">
        <v>47</v>
      </c>
      <c r="Z72" s="2" t="s">
        <v>77</v>
      </c>
      <c r="AA72" s="2" t="s">
        <v>48</v>
      </c>
    </row>
    <row r="73" spans="1:43" x14ac:dyDescent="0.3">
      <c r="B73" t="s">
        <v>170</v>
      </c>
      <c r="C73">
        <v>0.3</v>
      </c>
      <c r="D73">
        <v>14.35</v>
      </c>
      <c r="E73">
        <v>0.15</v>
      </c>
      <c r="H73" t="s">
        <v>170</v>
      </c>
      <c r="I73">
        <v>0.4</v>
      </c>
      <c r="J73">
        <v>14.12</v>
      </c>
      <c r="K73">
        <v>0.15</v>
      </c>
      <c r="Y73">
        <v>0.55000000000000004</v>
      </c>
      <c r="Z73">
        <v>0.35</v>
      </c>
      <c r="AA73">
        <f t="shared" ref="AA73:AA88" si="6">SUMPRODUCT(SUMIFS($J$49:$J$102,$I$49:$I$102,Y73,$K$49:$K$102,Z73))</f>
        <v>1.25</v>
      </c>
    </row>
    <row r="74" spans="1:43" x14ac:dyDescent="0.3">
      <c r="B74" t="s">
        <v>170</v>
      </c>
      <c r="C74">
        <v>0.25</v>
      </c>
      <c r="D74">
        <v>13.73</v>
      </c>
      <c r="E74">
        <v>0.15</v>
      </c>
      <c r="H74" t="s">
        <v>170</v>
      </c>
      <c r="I74">
        <v>0.35</v>
      </c>
      <c r="J74">
        <v>4.18</v>
      </c>
      <c r="K74">
        <v>0.15</v>
      </c>
      <c r="Y74">
        <v>0.55000000000000004</v>
      </c>
      <c r="Z74">
        <v>0.3</v>
      </c>
      <c r="AA74">
        <f t="shared" si="6"/>
        <v>1.59</v>
      </c>
    </row>
    <row r="75" spans="1:43" x14ac:dyDescent="0.3">
      <c r="B75" t="s">
        <v>167</v>
      </c>
      <c r="C75">
        <v>0.25</v>
      </c>
      <c r="D75">
        <v>5.18</v>
      </c>
      <c r="H75" t="s">
        <v>170</v>
      </c>
      <c r="I75">
        <v>0.3</v>
      </c>
      <c r="J75">
        <v>13.35</v>
      </c>
      <c r="K75">
        <v>0.15</v>
      </c>
      <c r="Y75">
        <v>0.55000000000000004</v>
      </c>
      <c r="Z75">
        <v>0.15</v>
      </c>
      <c r="AA75">
        <f t="shared" si="6"/>
        <v>0.63</v>
      </c>
    </row>
    <row r="76" spans="1:43" x14ac:dyDescent="0.3">
      <c r="B76" t="s">
        <v>167</v>
      </c>
      <c r="C76">
        <v>0.2</v>
      </c>
      <c r="D76">
        <v>2.64</v>
      </c>
      <c r="H76" t="s">
        <v>170</v>
      </c>
      <c r="I76">
        <v>0.25</v>
      </c>
      <c r="J76">
        <v>12.2</v>
      </c>
      <c r="K76">
        <v>0.15</v>
      </c>
      <c r="Y76">
        <v>0.5</v>
      </c>
      <c r="Z76">
        <v>0.3</v>
      </c>
      <c r="AA76">
        <f t="shared" si="6"/>
        <v>3.46</v>
      </c>
    </row>
    <row r="77" spans="1:43" x14ac:dyDescent="0.3">
      <c r="B77" t="s">
        <v>167</v>
      </c>
      <c r="C77">
        <v>0.16</v>
      </c>
      <c r="D77">
        <v>8.99</v>
      </c>
      <c r="H77" t="s">
        <v>167</v>
      </c>
      <c r="I77">
        <v>0.25</v>
      </c>
      <c r="J77">
        <v>2.4</v>
      </c>
      <c r="Y77">
        <v>0.5</v>
      </c>
      <c r="Z77">
        <v>0.25</v>
      </c>
      <c r="AA77">
        <f t="shared" si="6"/>
        <v>4.84</v>
      </c>
    </row>
    <row r="78" spans="1:43" x14ac:dyDescent="0.3">
      <c r="B78" t="s">
        <v>167</v>
      </c>
      <c r="C78">
        <v>0.125</v>
      </c>
      <c r="D78">
        <v>96.04</v>
      </c>
      <c r="H78" t="s">
        <v>167</v>
      </c>
      <c r="I78">
        <v>0.2</v>
      </c>
      <c r="J78">
        <v>2.65</v>
      </c>
      <c r="Y78">
        <v>0.5</v>
      </c>
      <c r="Z78">
        <v>0.15</v>
      </c>
      <c r="AA78">
        <f t="shared" si="6"/>
        <v>3.63</v>
      </c>
    </row>
    <row r="79" spans="1:43" x14ac:dyDescent="0.3">
      <c r="H79" t="s">
        <v>167</v>
      </c>
      <c r="I79">
        <v>0.16</v>
      </c>
      <c r="J79">
        <v>1.36</v>
      </c>
      <c r="Y79">
        <v>0.4</v>
      </c>
      <c r="Z79">
        <v>0.3</v>
      </c>
      <c r="AA79">
        <f t="shared" si="6"/>
        <v>7.1</v>
      </c>
    </row>
    <row r="80" spans="1:43" x14ac:dyDescent="0.3">
      <c r="H80" t="s">
        <v>167</v>
      </c>
      <c r="I80">
        <v>0.125</v>
      </c>
      <c r="J80">
        <v>93.12</v>
      </c>
      <c r="Y80">
        <v>0.4</v>
      </c>
      <c r="Z80">
        <v>0.15</v>
      </c>
      <c r="AA80">
        <f t="shared" si="6"/>
        <v>14.12</v>
      </c>
    </row>
    <row r="81" spans="1:27" x14ac:dyDescent="0.3">
      <c r="Y81">
        <v>0.35</v>
      </c>
      <c r="Z81">
        <v>0.15</v>
      </c>
      <c r="AA81">
        <f t="shared" si="6"/>
        <v>4.18</v>
      </c>
    </row>
    <row r="82" spans="1:27" x14ac:dyDescent="0.3">
      <c r="Y82">
        <v>0.3</v>
      </c>
      <c r="Z82">
        <v>0.3</v>
      </c>
      <c r="AA82">
        <f t="shared" si="6"/>
        <v>1.25</v>
      </c>
    </row>
    <row r="83" spans="1:27" x14ac:dyDescent="0.3">
      <c r="A83" s="12" t="s">
        <v>83</v>
      </c>
      <c r="B83" s="12"/>
      <c r="C83" s="12"/>
      <c r="D83" s="12"/>
      <c r="E83" s="12"/>
      <c r="G83" s="12" t="s">
        <v>83</v>
      </c>
      <c r="H83" s="12"/>
      <c r="I83" s="12"/>
      <c r="J83" s="12"/>
      <c r="K83" s="12"/>
      <c r="M83" s="12" t="s">
        <v>83</v>
      </c>
      <c r="N83" s="12"/>
      <c r="O83" s="12"/>
      <c r="P83" s="12"/>
      <c r="Q83" s="12"/>
      <c r="S83" s="12" t="s">
        <v>83</v>
      </c>
      <c r="T83" s="12"/>
      <c r="U83" s="12"/>
      <c r="V83" s="12"/>
      <c r="W83" s="12"/>
      <c r="Y83">
        <v>0.3</v>
      </c>
      <c r="Z83">
        <v>0.25</v>
      </c>
      <c r="AA83">
        <f t="shared" si="6"/>
        <v>0</v>
      </c>
    </row>
    <row r="84" spans="1:27" x14ac:dyDescent="0.3">
      <c r="B84" t="s">
        <v>170</v>
      </c>
      <c r="C84">
        <v>0.5</v>
      </c>
      <c r="D84">
        <v>2.73</v>
      </c>
      <c r="E84">
        <v>0.25</v>
      </c>
      <c r="H84" t="s">
        <v>170</v>
      </c>
      <c r="I84">
        <v>0.5</v>
      </c>
      <c r="J84">
        <v>2.73</v>
      </c>
      <c r="K84">
        <v>0.25</v>
      </c>
      <c r="N84" t="s">
        <v>167</v>
      </c>
      <c r="O84">
        <v>0.125</v>
      </c>
      <c r="P84">
        <v>4.2</v>
      </c>
      <c r="T84" t="s">
        <v>167</v>
      </c>
      <c r="U84">
        <v>0.125</v>
      </c>
      <c r="V84">
        <v>6.27</v>
      </c>
      <c r="Y84">
        <v>0.3</v>
      </c>
      <c r="Z84">
        <v>0.2</v>
      </c>
      <c r="AA84">
        <f t="shared" si="6"/>
        <v>8.379999999999999</v>
      </c>
    </row>
    <row r="85" spans="1:27" x14ac:dyDescent="0.3">
      <c r="B85" t="s">
        <v>170</v>
      </c>
      <c r="C85">
        <v>0.4</v>
      </c>
      <c r="D85">
        <v>3.66</v>
      </c>
      <c r="E85">
        <v>0.3</v>
      </c>
      <c r="H85" t="s">
        <v>170</v>
      </c>
      <c r="I85">
        <v>0.4</v>
      </c>
      <c r="J85">
        <v>3.52</v>
      </c>
      <c r="K85">
        <v>0.3</v>
      </c>
      <c r="N85" t="s">
        <v>167</v>
      </c>
      <c r="O85">
        <v>0.1</v>
      </c>
      <c r="P85">
        <v>8.9499999999999993</v>
      </c>
      <c r="T85" t="s">
        <v>167</v>
      </c>
      <c r="U85">
        <v>0.1</v>
      </c>
      <c r="V85">
        <v>6.02</v>
      </c>
      <c r="Y85">
        <v>0.3</v>
      </c>
      <c r="Z85">
        <v>0.15</v>
      </c>
      <c r="AA85">
        <f t="shared" si="6"/>
        <v>13.35</v>
      </c>
    </row>
    <row r="86" spans="1:27" x14ac:dyDescent="0.3">
      <c r="B86" t="s">
        <v>170</v>
      </c>
      <c r="C86">
        <v>0.3</v>
      </c>
      <c r="D86">
        <v>0.51</v>
      </c>
      <c r="E86">
        <v>0.3</v>
      </c>
      <c r="H86" t="s">
        <v>170</v>
      </c>
      <c r="I86">
        <v>0.3</v>
      </c>
      <c r="J86">
        <v>0.45</v>
      </c>
      <c r="K86">
        <v>0.3</v>
      </c>
      <c r="Y86">
        <v>0.25</v>
      </c>
      <c r="Z86">
        <v>0.25</v>
      </c>
      <c r="AA86">
        <f t="shared" si="6"/>
        <v>0</v>
      </c>
    </row>
    <row r="87" spans="1:27" x14ac:dyDescent="0.3">
      <c r="B87" t="s">
        <v>170</v>
      </c>
      <c r="C87">
        <v>0.3</v>
      </c>
      <c r="D87">
        <v>2.74</v>
      </c>
      <c r="E87">
        <v>0.25</v>
      </c>
      <c r="H87" t="s">
        <v>170</v>
      </c>
      <c r="I87">
        <v>0.3</v>
      </c>
      <c r="J87">
        <v>4.38</v>
      </c>
      <c r="K87">
        <v>0.2</v>
      </c>
      <c r="Y87">
        <v>0.25</v>
      </c>
      <c r="Z87">
        <v>0.15</v>
      </c>
      <c r="AA87">
        <f t="shared" si="6"/>
        <v>12.2</v>
      </c>
    </row>
    <row r="88" spans="1:27" x14ac:dyDescent="0.3">
      <c r="B88" t="s">
        <v>170</v>
      </c>
      <c r="C88">
        <v>0.25</v>
      </c>
      <c r="D88">
        <v>1.1399999999999999</v>
      </c>
      <c r="E88">
        <v>0.25</v>
      </c>
      <c r="H88" t="s">
        <v>170</v>
      </c>
      <c r="I88">
        <v>0.2</v>
      </c>
      <c r="J88">
        <v>1.23</v>
      </c>
      <c r="K88">
        <v>0.2</v>
      </c>
      <c r="Y88">
        <v>0.2</v>
      </c>
      <c r="Z88">
        <v>0.2</v>
      </c>
      <c r="AA88">
        <f t="shared" si="6"/>
        <v>8.07</v>
      </c>
    </row>
    <row r="89" spans="1:27" x14ac:dyDescent="0.3">
      <c r="B89" t="s">
        <v>167</v>
      </c>
      <c r="C89">
        <v>0.25</v>
      </c>
      <c r="D89">
        <v>12.96</v>
      </c>
      <c r="H89" t="s">
        <v>167</v>
      </c>
      <c r="I89">
        <v>0.25</v>
      </c>
      <c r="J89">
        <v>6.54</v>
      </c>
      <c r="Y89">
        <v>0.25</v>
      </c>
      <c r="AA89">
        <f>SUMPRODUCT(SUMIFS($J$49:$J$102,$I$49:$I$102,Y89))</f>
        <v>31.97</v>
      </c>
    </row>
    <row r="90" spans="1:27" x14ac:dyDescent="0.3">
      <c r="B90" t="s">
        <v>167</v>
      </c>
      <c r="C90">
        <v>0.2</v>
      </c>
      <c r="D90">
        <v>7.31</v>
      </c>
      <c r="H90" t="s">
        <v>167</v>
      </c>
      <c r="I90">
        <v>0.2</v>
      </c>
      <c r="J90">
        <v>6.83</v>
      </c>
      <c r="Y90">
        <v>0.2</v>
      </c>
      <c r="AA90">
        <f>SUMPRODUCT(SUMIFS($J$49:$J$102,$I$49:$I$102,Y90))</f>
        <v>31.040000000000003</v>
      </c>
    </row>
    <row r="91" spans="1:27" x14ac:dyDescent="0.3">
      <c r="B91" t="s">
        <v>167</v>
      </c>
      <c r="C91">
        <v>0.16</v>
      </c>
      <c r="D91">
        <v>9.3699999999999992</v>
      </c>
      <c r="H91" t="s">
        <v>167</v>
      </c>
      <c r="I91">
        <v>0.16</v>
      </c>
      <c r="J91">
        <v>15.21</v>
      </c>
      <c r="Y91">
        <v>0.16</v>
      </c>
      <c r="AA91">
        <f>SUMPRODUCT(SUMIFS($J$49:$J$102,$I$49:$I$102,Y91))</f>
        <v>51.120000000000005</v>
      </c>
    </row>
    <row r="92" spans="1:27" x14ac:dyDescent="0.3">
      <c r="B92" t="s">
        <v>167</v>
      </c>
      <c r="C92">
        <v>0.125</v>
      </c>
      <c r="D92">
        <v>53.56</v>
      </c>
      <c r="H92" t="s">
        <v>167</v>
      </c>
      <c r="I92">
        <v>0.125</v>
      </c>
      <c r="J92">
        <v>37.74</v>
      </c>
      <c r="Y92">
        <v>0.125</v>
      </c>
      <c r="AA92">
        <f>SUMPRODUCT(SUMIFS($J$49:$J$102,$I$49:$I$102,Y92))</f>
        <v>212.47000000000003</v>
      </c>
    </row>
    <row r="93" spans="1:27" x14ac:dyDescent="0.3">
      <c r="B93" t="s">
        <v>167</v>
      </c>
      <c r="C93">
        <v>0.1</v>
      </c>
      <c r="D93">
        <v>3.93</v>
      </c>
      <c r="H93" t="s">
        <v>167</v>
      </c>
      <c r="I93">
        <v>0.1</v>
      </c>
      <c r="J93">
        <v>2.31</v>
      </c>
      <c r="Y93">
        <v>0.1</v>
      </c>
      <c r="AA93">
        <f>SUMPRODUCT(SUMIFS($J$49:$J$102,$I$49:$I$102,Y93))</f>
        <v>4.7</v>
      </c>
    </row>
    <row r="96" spans="1:27" x14ac:dyDescent="0.3">
      <c r="A96" s="12" t="s">
        <v>86</v>
      </c>
      <c r="B96" s="12"/>
      <c r="C96" s="12"/>
      <c r="D96" s="12"/>
      <c r="E96" s="12"/>
      <c r="G96" s="12" t="s">
        <v>86</v>
      </c>
      <c r="H96" s="12"/>
      <c r="I96" s="12"/>
      <c r="J96" s="12"/>
      <c r="K96" s="12"/>
      <c r="M96" s="12" t="s">
        <v>86</v>
      </c>
      <c r="N96" s="12"/>
      <c r="O96" s="12"/>
      <c r="P96" s="12"/>
      <c r="Q96" s="12"/>
      <c r="S96" s="12" t="s">
        <v>86</v>
      </c>
      <c r="T96" s="12"/>
      <c r="U96" s="12"/>
      <c r="V96" s="12"/>
      <c r="W96" s="12"/>
      <c r="Y96" s="4" t="s">
        <v>174</v>
      </c>
      <c r="Z96" s="4"/>
    </row>
    <row r="97" spans="2:27" x14ac:dyDescent="0.3">
      <c r="B97" t="s">
        <v>170</v>
      </c>
      <c r="C97">
        <v>0.5</v>
      </c>
      <c r="D97">
        <v>2.91</v>
      </c>
      <c r="E97">
        <v>0.25</v>
      </c>
      <c r="H97" t="s">
        <v>170</v>
      </c>
      <c r="I97">
        <v>0.5</v>
      </c>
      <c r="J97">
        <v>1.03</v>
      </c>
      <c r="K97">
        <v>0.25</v>
      </c>
      <c r="N97" t="s">
        <v>167</v>
      </c>
      <c r="O97">
        <v>0.125</v>
      </c>
      <c r="P97">
        <v>2.7</v>
      </c>
      <c r="T97" t="s">
        <v>167</v>
      </c>
      <c r="U97">
        <v>0.125</v>
      </c>
      <c r="V97">
        <v>2.7</v>
      </c>
      <c r="Y97" s="2" t="s">
        <v>47</v>
      </c>
      <c r="Z97" s="2" t="s">
        <v>77</v>
      </c>
      <c r="AA97" s="2" t="s">
        <v>48</v>
      </c>
    </row>
    <row r="98" spans="2:27" x14ac:dyDescent="0.3">
      <c r="B98" t="s">
        <v>170</v>
      </c>
      <c r="C98">
        <v>0.2</v>
      </c>
      <c r="D98">
        <v>2.88</v>
      </c>
      <c r="E98">
        <v>0.2</v>
      </c>
      <c r="H98" t="s">
        <v>170</v>
      </c>
      <c r="I98">
        <v>0.2</v>
      </c>
      <c r="J98">
        <v>2.94</v>
      </c>
      <c r="K98">
        <v>0.2</v>
      </c>
      <c r="N98" t="s">
        <v>167</v>
      </c>
      <c r="O98">
        <v>0.1</v>
      </c>
      <c r="P98">
        <v>2.85</v>
      </c>
      <c r="T98" t="s">
        <v>167</v>
      </c>
      <c r="U98">
        <v>0.1</v>
      </c>
      <c r="V98">
        <v>1.52</v>
      </c>
      <c r="Y98">
        <v>0.125</v>
      </c>
      <c r="AA98">
        <f>SUMPRODUCT(SUMIFS($P$49:$P$102,$O$49:$O$102,Y98))</f>
        <v>28.09</v>
      </c>
    </row>
    <row r="99" spans="2:27" x14ac:dyDescent="0.3">
      <c r="B99" t="s">
        <v>167</v>
      </c>
      <c r="C99">
        <v>0.25</v>
      </c>
      <c r="D99">
        <v>2.36</v>
      </c>
      <c r="H99" t="s">
        <v>167</v>
      </c>
      <c r="I99">
        <v>0.25</v>
      </c>
      <c r="J99">
        <v>1.44</v>
      </c>
      <c r="Y99">
        <v>0.1</v>
      </c>
      <c r="AA99">
        <f>SUMPRODUCT(SUMIFS($P$49:$P$102,$O$49:$O$102,Y99))</f>
        <v>25.61</v>
      </c>
    </row>
    <row r="100" spans="2:27" x14ac:dyDescent="0.3">
      <c r="B100" t="s">
        <v>167</v>
      </c>
      <c r="C100">
        <v>0.2</v>
      </c>
      <c r="D100">
        <v>5.35</v>
      </c>
      <c r="H100" t="s">
        <v>167</v>
      </c>
      <c r="I100">
        <v>0.2</v>
      </c>
      <c r="J100">
        <v>5.87</v>
      </c>
    </row>
    <row r="101" spans="2:27" x14ac:dyDescent="0.3">
      <c r="B101" t="s">
        <v>167</v>
      </c>
      <c r="C101">
        <v>0.16</v>
      </c>
      <c r="D101">
        <v>9.7899999999999991</v>
      </c>
      <c r="H101" t="s">
        <v>167</v>
      </c>
      <c r="I101">
        <v>0.16</v>
      </c>
      <c r="J101">
        <v>2.7</v>
      </c>
    </row>
    <row r="102" spans="2:27" x14ac:dyDescent="0.3">
      <c r="B102" t="s">
        <v>167</v>
      </c>
      <c r="C102">
        <v>0.125</v>
      </c>
      <c r="D102">
        <v>36.79</v>
      </c>
      <c r="H102" t="s">
        <v>167</v>
      </c>
      <c r="I102">
        <v>0.125</v>
      </c>
      <c r="J102">
        <v>30.12</v>
      </c>
      <c r="Y102" s="4" t="s">
        <v>175</v>
      </c>
      <c r="Z102" s="4"/>
    </row>
    <row r="103" spans="2:27" x14ac:dyDescent="0.3">
      <c r="Y103" s="2" t="s">
        <v>47</v>
      </c>
      <c r="Z103" s="2" t="s">
        <v>77</v>
      </c>
      <c r="AA103" s="2" t="s">
        <v>48</v>
      </c>
    </row>
    <row r="104" spans="2:27" x14ac:dyDescent="0.3">
      <c r="Y104">
        <v>0.125</v>
      </c>
      <c r="AA104">
        <f>SUMPRODUCT(SUMIFS($V$49:$V$102,$U$49:$U$102,Y104))</f>
        <v>26.11</v>
      </c>
    </row>
    <row r="105" spans="2:27" x14ac:dyDescent="0.3">
      <c r="Y105">
        <v>0.1</v>
      </c>
      <c r="AA105">
        <f>SUMPRODUCT(SUMIFS($V$49:$V$102,$U$49:$U$102,Y105))</f>
        <v>16.82</v>
      </c>
    </row>
    <row r="123" spans="1:27" x14ac:dyDescent="0.3">
      <c r="A123" s="12" t="s">
        <v>73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Y123" s="4" t="s">
        <v>176</v>
      </c>
      <c r="Z123" s="4"/>
    </row>
    <row r="124" spans="1:27" x14ac:dyDescent="0.3">
      <c r="A124" s="2" t="s">
        <v>67</v>
      </c>
      <c r="B124" s="2" t="s">
        <v>76</v>
      </c>
      <c r="C124" s="2" t="s">
        <v>74</v>
      </c>
      <c r="D124" s="2" t="s">
        <v>47</v>
      </c>
      <c r="E124" s="2" t="s">
        <v>48</v>
      </c>
      <c r="F124" s="2" t="s">
        <v>77</v>
      </c>
      <c r="G124" s="2" t="s">
        <v>82</v>
      </c>
      <c r="Y124" s="25" t="s">
        <v>47</v>
      </c>
      <c r="Z124" s="25" t="s">
        <v>77</v>
      </c>
      <c r="AA124" s="25" t="s">
        <v>48</v>
      </c>
    </row>
    <row r="125" spans="1:27" x14ac:dyDescent="0.3">
      <c r="B125" t="s">
        <v>75</v>
      </c>
      <c r="C125" t="s">
        <v>68</v>
      </c>
      <c r="D125">
        <v>1.1000000000000001</v>
      </c>
      <c r="E125">
        <v>5.78</v>
      </c>
      <c r="F125">
        <v>0.55000000000000004</v>
      </c>
      <c r="Y125" s="26">
        <v>1.1000000000000001</v>
      </c>
      <c r="Z125" s="26">
        <v>0.55000000000000004</v>
      </c>
      <c r="AA125" s="26">
        <f t="shared" ref="AA125:AA138" si="7">SUMPRODUCT(SUMIFS($E$125:$E$197,$D$125:$D$197,Y125,$F$125:$F$197,Z125))</f>
        <v>12.010000000000002</v>
      </c>
    </row>
    <row r="126" spans="1:27" x14ac:dyDescent="0.3">
      <c r="D126">
        <v>0.9</v>
      </c>
      <c r="E126">
        <v>3.6</v>
      </c>
      <c r="F126">
        <v>0.55000000000000004</v>
      </c>
      <c r="Y126" s="26">
        <v>1</v>
      </c>
      <c r="Z126" s="26">
        <v>0.5</v>
      </c>
      <c r="AA126" s="26">
        <f t="shared" si="7"/>
        <v>42.4</v>
      </c>
    </row>
    <row r="127" spans="1:27" x14ac:dyDescent="0.3">
      <c r="D127">
        <v>0.6</v>
      </c>
      <c r="E127">
        <v>3.6</v>
      </c>
      <c r="F127">
        <v>0.55000000000000004</v>
      </c>
      <c r="Y127" s="26">
        <v>0.9</v>
      </c>
      <c r="Z127" s="26">
        <v>0.55000000000000004</v>
      </c>
      <c r="AA127" s="26">
        <f t="shared" si="7"/>
        <v>7.2</v>
      </c>
    </row>
    <row r="128" spans="1:27" x14ac:dyDescent="0.3">
      <c r="D128">
        <v>0.4</v>
      </c>
      <c r="E128">
        <v>3.38</v>
      </c>
      <c r="F128">
        <v>0.4</v>
      </c>
      <c r="Y128" s="26">
        <v>0.8</v>
      </c>
      <c r="Z128" s="26">
        <v>0.5</v>
      </c>
      <c r="AA128" s="26">
        <f t="shared" si="7"/>
        <v>9.7399999999999984</v>
      </c>
    </row>
    <row r="129" spans="2:27" x14ac:dyDescent="0.3">
      <c r="C129" t="s">
        <v>69</v>
      </c>
      <c r="D129">
        <v>1.1000000000000001</v>
      </c>
      <c r="E129">
        <v>6.23</v>
      </c>
      <c r="F129">
        <v>0.55000000000000004</v>
      </c>
      <c r="Y129" s="26">
        <v>0.7</v>
      </c>
      <c r="Z129" s="26">
        <v>0.5</v>
      </c>
      <c r="AA129" s="26">
        <f t="shared" si="7"/>
        <v>32.239999999999995</v>
      </c>
    </row>
    <row r="130" spans="2:27" x14ac:dyDescent="0.3">
      <c r="D130">
        <v>0.9</v>
      </c>
      <c r="E130">
        <v>3.6</v>
      </c>
      <c r="F130">
        <v>0.55000000000000004</v>
      </c>
      <c r="Y130" s="26">
        <v>0.6</v>
      </c>
      <c r="Z130" s="26">
        <v>0.55000000000000004</v>
      </c>
      <c r="AA130" s="26">
        <f t="shared" si="7"/>
        <v>7.2</v>
      </c>
    </row>
    <row r="131" spans="2:27" x14ac:dyDescent="0.3">
      <c r="D131">
        <v>0.6</v>
      </c>
      <c r="E131">
        <v>3.6</v>
      </c>
      <c r="F131">
        <v>0.55000000000000004</v>
      </c>
      <c r="Y131" s="26">
        <v>0.6</v>
      </c>
      <c r="Z131" s="26">
        <v>0.5</v>
      </c>
      <c r="AA131" s="26">
        <f t="shared" si="7"/>
        <v>15.1</v>
      </c>
    </row>
    <row r="132" spans="2:27" x14ac:dyDescent="0.3">
      <c r="D132">
        <v>0.4</v>
      </c>
      <c r="E132">
        <v>3.38</v>
      </c>
      <c r="F132">
        <v>0.4</v>
      </c>
      <c r="Y132" s="26">
        <v>0.5</v>
      </c>
      <c r="Z132" s="26">
        <v>0.5</v>
      </c>
      <c r="AA132" s="26">
        <f t="shared" si="7"/>
        <v>16.28</v>
      </c>
    </row>
    <row r="133" spans="2:27" x14ac:dyDescent="0.3">
      <c r="C133" t="s">
        <v>70</v>
      </c>
      <c r="D133">
        <v>0.4</v>
      </c>
      <c r="E133">
        <v>13.33</v>
      </c>
      <c r="F133">
        <v>0.2</v>
      </c>
      <c r="Y133" s="26">
        <v>0.5</v>
      </c>
      <c r="Z133" s="26">
        <v>0.2</v>
      </c>
      <c r="AA133" s="26">
        <f t="shared" si="7"/>
        <v>61.76</v>
      </c>
    </row>
    <row r="134" spans="2:27" x14ac:dyDescent="0.3">
      <c r="C134" t="s">
        <v>78</v>
      </c>
      <c r="D134">
        <v>0.125</v>
      </c>
      <c r="E134">
        <v>2.76</v>
      </c>
      <c r="G134">
        <v>7.0000000000000001E-3</v>
      </c>
      <c r="Y134" s="26">
        <v>0.4</v>
      </c>
      <c r="Z134" s="26">
        <v>0.5</v>
      </c>
      <c r="AA134" s="26">
        <f t="shared" si="7"/>
        <v>16.8</v>
      </c>
    </row>
    <row r="135" spans="2:27" x14ac:dyDescent="0.3">
      <c r="C135" t="s">
        <v>71</v>
      </c>
      <c r="D135">
        <v>0.4</v>
      </c>
      <c r="E135">
        <v>13.9</v>
      </c>
      <c r="F135">
        <v>0.2</v>
      </c>
      <c r="Y135" s="26">
        <v>0.4</v>
      </c>
      <c r="Z135" s="26">
        <v>0.4</v>
      </c>
      <c r="AA135" s="26">
        <f t="shared" si="7"/>
        <v>6.76</v>
      </c>
    </row>
    <row r="136" spans="2:27" x14ac:dyDescent="0.3">
      <c r="D136">
        <v>0.125</v>
      </c>
      <c r="E136">
        <v>2.76</v>
      </c>
      <c r="G136">
        <v>7.0000000000000001E-3</v>
      </c>
      <c r="Y136" s="26">
        <v>0.4</v>
      </c>
      <c r="Z136" s="26">
        <v>0.2</v>
      </c>
      <c r="AA136" s="26">
        <f t="shared" si="7"/>
        <v>42.93</v>
      </c>
    </row>
    <row r="137" spans="2:27" x14ac:dyDescent="0.3">
      <c r="Y137" s="26">
        <v>0.15</v>
      </c>
      <c r="Z137" s="26">
        <v>0.25</v>
      </c>
      <c r="AA137" s="26">
        <f t="shared" si="7"/>
        <v>10.6</v>
      </c>
    </row>
    <row r="138" spans="2:27" x14ac:dyDescent="0.3">
      <c r="B138" t="s">
        <v>79</v>
      </c>
      <c r="C138" t="s">
        <v>70</v>
      </c>
      <c r="D138">
        <v>0.15</v>
      </c>
      <c r="E138">
        <v>5.3</v>
      </c>
      <c r="F138">
        <v>0.25</v>
      </c>
      <c r="Y138" s="26">
        <v>0.2</v>
      </c>
      <c r="Z138" s="26">
        <v>0.2</v>
      </c>
      <c r="AA138" s="26">
        <f t="shared" si="7"/>
        <v>20.8</v>
      </c>
    </row>
    <row r="139" spans="2:27" x14ac:dyDescent="0.3">
      <c r="C139" t="s">
        <v>80</v>
      </c>
      <c r="D139">
        <v>0.2</v>
      </c>
      <c r="E139">
        <v>3.55</v>
      </c>
      <c r="G139">
        <v>0.1</v>
      </c>
      <c r="Y139" s="26">
        <v>0.2</v>
      </c>
      <c r="Z139" s="26"/>
      <c r="AA139" s="26">
        <f>SUMPRODUCT(SUMIFS($E$125:$E$197,$D$125:$D$197,Y139))</f>
        <v>35.46</v>
      </c>
    </row>
    <row r="140" spans="2:27" x14ac:dyDescent="0.3">
      <c r="C140" t="s">
        <v>81</v>
      </c>
      <c r="D140">
        <v>0.16</v>
      </c>
      <c r="E140">
        <v>3.6</v>
      </c>
      <c r="G140">
        <v>0.01</v>
      </c>
      <c r="Y140" s="26">
        <v>0.16</v>
      </c>
      <c r="Z140" s="26"/>
      <c r="AA140" s="26">
        <f>SUMPRODUCT(SUMIFS($E$125:$E$197,$D$125:$D$197,Y140))</f>
        <v>7.2</v>
      </c>
    </row>
    <row r="141" spans="2:27" x14ac:dyDescent="0.3">
      <c r="C141" t="s">
        <v>78</v>
      </c>
      <c r="D141">
        <v>0.125</v>
      </c>
      <c r="E141">
        <v>3.48</v>
      </c>
      <c r="G141">
        <v>7.0000000000000001E-3</v>
      </c>
      <c r="Y141" s="26">
        <v>0.125</v>
      </c>
      <c r="Z141" s="26"/>
      <c r="AA141" s="26">
        <f>SUMPRODUCT(SUMIFS($E$125:$E$197,$D$125:$D$197,Y141))</f>
        <v>45.519999999999996</v>
      </c>
    </row>
    <row r="142" spans="2:27" x14ac:dyDescent="0.3">
      <c r="C142" t="s">
        <v>71</v>
      </c>
      <c r="D142">
        <v>0.15</v>
      </c>
      <c r="E142">
        <v>5.3</v>
      </c>
      <c r="F142">
        <v>0.25</v>
      </c>
    </row>
    <row r="143" spans="2:27" x14ac:dyDescent="0.3">
      <c r="D143">
        <v>0.2</v>
      </c>
      <c r="E143">
        <v>3.55</v>
      </c>
      <c r="G143">
        <v>0.1</v>
      </c>
    </row>
    <row r="144" spans="2:27" x14ac:dyDescent="0.3">
      <c r="D144">
        <v>0.16</v>
      </c>
      <c r="E144">
        <v>3.6</v>
      </c>
      <c r="G144">
        <v>0.01</v>
      </c>
    </row>
    <row r="145" spans="2:7" x14ac:dyDescent="0.3">
      <c r="D145">
        <v>0.125</v>
      </c>
      <c r="E145">
        <v>3.48</v>
      </c>
      <c r="G145">
        <v>7.0000000000000001E-3</v>
      </c>
    </row>
    <row r="147" spans="2:7" x14ac:dyDescent="0.3">
      <c r="B147" t="s">
        <v>83</v>
      </c>
      <c r="C147" t="s">
        <v>68</v>
      </c>
      <c r="D147">
        <v>1</v>
      </c>
      <c r="E147">
        <v>10.6</v>
      </c>
      <c r="F147">
        <v>0.5</v>
      </c>
    </row>
    <row r="148" spans="2:7" x14ac:dyDescent="0.3">
      <c r="D148">
        <v>0.7</v>
      </c>
      <c r="E148">
        <v>3.95</v>
      </c>
      <c r="F148">
        <v>0.5</v>
      </c>
    </row>
    <row r="149" spans="2:7" x14ac:dyDescent="0.3">
      <c r="D149">
        <v>0.4</v>
      </c>
      <c r="E149">
        <v>4.2</v>
      </c>
      <c r="F149">
        <v>0.5</v>
      </c>
    </row>
    <row r="150" spans="2:7" x14ac:dyDescent="0.3">
      <c r="C150" t="s">
        <v>69</v>
      </c>
      <c r="D150">
        <v>1</v>
      </c>
      <c r="E150">
        <v>10.6</v>
      </c>
      <c r="F150">
        <v>0.5</v>
      </c>
    </row>
    <row r="151" spans="2:7" x14ac:dyDescent="0.3">
      <c r="D151">
        <v>0.7</v>
      </c>
      <c r="E151">
        <v>3.95</v>
      </c>
      <c r="F151">
        <v>0.5</v>
      </c>
    </row>
    <row r="152" spans="2:7" x14ac:dyDescent="0.3">
      <c r="D152">
        <v>0.4</v>
      </c>
      <c r="E152">
        <v>4.2</v>
      </c>
      <c r="F152">
        <v>0.5</v>
      </c>
    </row>
    <row r="153" spans="2:7" x14ac:dyDescent="0.3">
      <c r="C153" t="s">
        <v>70</v>
      </c>
      <c r="D153">
        <v>0.5</v>
      </c>
      <c r="E153">
        <v>15.44</v>
      </c>
      <c r="F153">
        <v>0.2</v>
      </c>
    </row>
    <row r="154" spans="2:7" x14ac:dyDescent="0.3">
      <c r="C154" t="s">
        <v>78</v>
      </c>
      <c r="D154">
        <v>0.125</v>
      </c>
      <c r="E154">
        <v>4.5599999999999996</v>
      </c>
      <c r="G154">
        <v>7.0000000000000001E-3</v>
      </c>
    </row>
    <row r="155" spans="2:7" x14ac:dyDescent="0.3">
      <c r="C155" t="s">
        <v>71</v>
      </c>
      <c r="D155">
        <v>0.5</v>
      </c>
      <c r="E155">
        <v>15.44</v>
      </c>
      <c r="F155">
        <v>0.2</v>
      </c>
    </row>
    <row r="156" spans="2:7" x14ac:dyDescent="0.3">
      <c r="D156">
        <v>0.125</v>
      </c>
      <c r="E156">
        <v>4.6100000000000003</v>
      </c>
      <c r="G156">
        <v>7.0000000000000001E-3</v>
      </c>
    </row>
    <row r="160" spans="2:7" x14ac:dyDescent="0.3">
      <c r="B160" t="s">
        <v>84</v>
      </c>
      <c r="C160" t="s">
        <v>68</v>
      </c>
      <c r="D160">
        <v>1</v>
      </c>
      <c r="E160">
        <v>10.6</v>
      </c>
      <c r="F160">
        <v>0.5</v>
      </c>
    </row>
    <row r="161" spans="2:7" x14ac:dyDescent="0.3">
      <c r="D161">
        <v>0.7</v>
      </c>
      <c r="E161">
        <v>3.95</v>
      </c>
      <c r="F161">
        <v>0.5</v>
      </c>
    </row>
    <row r="162" spans="2:7" x14ac:dyDescent="0.3">
      <c r="D162">
        <v>0.4</v>
      </c>
      <c r="E162">
        <v>4.2</v>
      </c>
      <c r="F162">
        <v>0.5</v>
      </c>
    </row>
    <row r="163" spans="2:7" x14ac:dyDescent="0.3">
      <c r="C163" t="s">
        <v>69</v>
      </c>
      <c r="D163">
        <v>1</v>
      </c>
      <c r="E163">
        <v>10.6</v>
      </c>
      <c r="F163">
        <v>0.5</v>
      </c>
    </row>
    <row r="164" spans="2:7" x14ac:dyDescent="0.3">
      <c r="D164">
        <v>0.7</v>
      </c>
      <c r="E164">
        <v>3.95</v>
      </c>
      <c r="F164">
        <v>0.5</v>
      </c>
    </row>
    <row r="165" spans="2:7" x14ac:dyDescent="0.3">
      <c r="D165">
        <v>0.4</v>
      </c>
      <c r="E165">
        <v>4.2</v>
      </c>
      <c r="F165">
        <v>0.5</v>
      </c>
    </row>
    <row r="166" spans="2:7" x14ac:dyDescent="0.3">
      <c r="C166" t="s">
        <v>70</v>
      </c>
      <c r="D166">
        <v>0.5</v>
      </c>
      <c r="E166">
        <v>15.44</v>
      </c>
      <c r="F166">
        <v>0.2</v>
      </c>
    </row>
    <row r="167" spans="2:7" x14ac:dyDescent="0.3">
      <c r="C167" t="s">
        <v>78</v>
      </c>
      <c r="D167">
        <v>0.125</v>
      </c>
      <c r="E167">
        <v>4.5599999999999996</v>
      </c>
      <c r="G167">
        <v>7.0000000000000001E-3</v>
      </c>
    </row>
    <row r="168" spans="2:7" x14ac:dyDescent="0.3">
      <c r="C168" t="s">
        <v>71</v>
      </c>
      <c r="D168">
        <v>0.5</v>
      </c>
      <c r="E168">
        <v>15.44</v>
      </c>
      <c r="F168">
        <v>0.2</v>
      </c>
    </row>
    <row r="169" spans="2:7" x14ac:dyDescent="0.3">
      <c r="D169">
        <v>0.125</v>
      </c>
      <c r="E169">
        <v>4.6100000000000003</v>
      </c>
      <c r="G169">
        <v>7.0000000000000001E-3</v>
      </c>
    </row>
    <row r="171" spans="2:7" x14ac:dyDescent="0.3">
      <c r="B171" t="s">
        <v>85</v>
      </c>
      <c r="C171" t="s">
        <v>68</v>
      </c>
      <c r="D171">
        <v>0.8</v>
      </c>
      <c r="E171">
        <v>2.82</v>
      </c>
      <c r="F171">
        <v>0.5</v>
      </c>
    </row>
    <row r="172" spans="2:7" x14ac:dyDescent="0.3">
      <c r="D172">
        <v>0.7</v>
      </c>
      <c r="E172">
        <v>3.95</v>
      </c>
      <c r="F172">
        <v>0.5</v>
      </c>
    </row>
    <row r="173" spans="2:7" x14ac:dyDescent="0.3">
      <c r="D173">
        <v>0.6</v>
      </c>
      <c r="E173">
        <v>3.95</v>
      </c>
      <c r="F173">
        <v>0.5</v>
      </c>
    </row>
    <row r="174" spans="2:7" x14ac:dyDescent="0.3">
      <c r="D174">
        <v>0.5</v>
      </c>
      <c r="E174">
        <v>4.6399999999999997</v>
      </c>
      <c r="F174">
        <v>0.5</v>
      </c>
    </row>
    <row r="175" spans="2:7" x14ac:dyDescent="0.3">
      <c r="C175" t="s">
        <v>69</v>
      </c>
      <c r="D175">
        <v>0.8</v>
      </c>
      <c r="E175">
        <v>2.82</v>
      </c>
      <c r="F175">
        <v>0.5</v>
      </c>
    </row>
    <row r="176" spans="2:7" x14ac:dyDescent="0.3">
      <c r="D176">
        <v>0.7</v>
      </c>
      <c r="E176">
        <v>3.95</v>
      </c>
      <c r="F176">
        <v>0.5</v>
      </c>
    </row>
    <row r="177" spans="2:7" x14ac:dyDescent="0.3">
      <c r="D177">
        <v>0.6</v>
      </c>
      <c r="E177">
        <v>3.95</v>
      </c>
      <c r="F177">
        <v>0.5</v>
      </c>
    </row>
    <row r="178" spans="2:7" x14ac:dyDescent="0.3">
      <c r="D178">
        <v>0.5</v>
      </c>
      <c r="E178">
        <v>4.6399999999999997</v>
      </c>
      <c r="F178">
        <v>0.5</v>
      </c>
    </row>
    <row r="179" spans="2:7" x14ac:dyDescent="0.3">
      <c r="C179" t="s">
        <v>70</v>
      </c>
      <c r="D179">
        <v>0.4</v>
      </c>
      <c r="E179">
        <v>7.85</v>
      </c>
      <c r="F179">
        <v>0.2</v>
      </c>
    </row>
    <row r="180" spans="2:7" x14ac:dyDescent="0.3">
      <c r="C180" t="s">
        <v>80</v>
      </c>
      <c r="D180">
        <v>0.2</v>
      </c>
      <c r="E180">
        <v>3.78</v>
      </c>
      <c r="G180">
        <v>0.1</v>
      </c>
    </row>
    <row r="181" spans="2:7" x14ac:dyDescent="0.3">
      <c r="C181" t="s">
        <v>78</v>
      </c>
      <c r="D181">
        <v>0.125</v>
      </c>
      <c r="E181">
        <v>4.0199999999999996</v>
      </c>
      <c r="G181">
        <v>7.0000000000000001E-3</v>
      </c>
    </row>
    <row r="182" spans="2:7" x14ac:dyDescent="0.3">
      <c r="C182" t="s">
        <v>71</v>
      </c>
      <c r="D182">
        <v>0.4</v>
      </c>
      <c r="E182">
        <v>7.85</v>
      </c>
      <c r="F182">
        <v>0.2</v>
      </c>
    </row>
    <row r="183" spans="2:7" x14ac:dyDescent="0.3">
      <c r="D183">
        <v>0.2</v>
      </c>
      <c r="E183">
        <v>3.78</v>
      </c>
      <c r="G183">
        <v>0.1</v>
      </c>
    </row>
    <row r="184" spans="2:7" x14ac:dyDescent="0.3">
      <c r="D184">
        <v>0.125</v>
      </c>
      <c r="E184">
        <v>4.0199999999999996</v>
      </c>
      <c r="G184">
        <v>7.0000000000000001E-3</v>
      </c>
    </row>
    <row r="186" spans="2:7" x14ac:dyDescent="0.3">
      <c r="B186" t="s">
        <v>86</v>
      </c>
      <c r="C186" t="s">
        <v>68</v>
      </c>
      <c r="D186">
        <v>0.8</v>
      </c>
      <c r="E186">
        <v>2.0499999999999998</v>
      </c>
      <c r="F186">
        <v>0.5</v>
      </c>
    </row>
    <row r="187" spans="2:7" x14ac:dyDescent="0.3">
      <c r="D187">
        <v>0.7</v>
      </c>
      <c r="E187">
        <v>4.2699999999999996</v>
      </c>
      <c r="F187">
        <v>0.5</v>
      </c>
    </row>
    <row r="188" spans="2:7" x14ac:dyDescent="0.3">
      <c r="D188">
        <v>0.6</v>
      </c>
      <c r="E188">
        <v>3.6</v>
      </c>
      <c r="F188">
        <v>0.5</v>
      </c>
    </row>
    <row r="189" spans="2:7" x14ac:dyDescent="0.3">
      <c r="D189">
        <v>0.5</v>
      </c>
      <c r="E189">
        <v>3.5</v>
      </c>
      <c r="F189">
        <v>0.5</v>
      </c>
    </row>
    <row r="190" spans="2:7" x14ac:dyDescent="0.3">
      <c r="C190" t="s">
        <v>69</v>
      </c>
      <c r="D190">
        <v>0.8</v>
      </c>
      <c r="E190">
        <v>2.0499999999999998</v>
      </c>
      <c r="F190">
        <v>0.5</v>
      </c>
    </row>
    <row r="191" spans="2:7" x14ac:dyDescent="0.3">
      <c r="D191">
        <v>0.7</v>
      </c>
      <c r="E191">
        <v>4.2699999999999996</v>
      </c>
      <c r="F191">
        <v>0.5</v>
      </c>
    </row>
    <row r="192" spans="2:7" x14ac:dyDescent="0.3">
      <c r="D192">
        <v>0.6</v>
      </c>
      <c r="E192">
        <v>3.6</v>
      </c>
      <c r="F192">
        <v>0.5</v>
      </c>
    </row>
    <row r="193" spans="1:19" x14ac:dyDescent="0.3">
      <c r="D193">
        <v>0.5</v>
      </c>
      <c r="E193">
        <v>3.5</v>
      </c>
      <c r="F193">
        <v>0.5</v>
      </c>
    </row>
    <row r="194" spans="1:19" x14ac:dyDescent="0.3">
      <c r="C194" t="s">
        <v>70</v>
      </c>
      <c r="D194">
        <v>0.2</v>
      </c>
      <c r="E194">
        <v>10.4</v>
      </c>
      <c r="F194">
        <v>0.2</v>
      </c>
    </row>
    <row r="195" spans="1:19" x14ac:dyDescent="0.3">
      <c r="C195" t="s">
        <v>78</v>
      </c>
      <c r="D195">
        <v>0.125</v>
      </c>
      <c r="E195">
        <v>3.33</v>
      </c>
      <c r="G195">
        <v>7.0000000000000001E-3</v>
      </c>
    </row>
    <row r="196" spans="1:19" x14ac:dyDescent="0.3">
      <c r="C196" t="s">
        <v>71</v>
      </c>
      <c r="D196">
        <v>0.2</v>
      </c>
      <c r="E196">
        <v>10.4</v>
      </c>
      <c r="F196">
        <v>0.2</v>
      </c>
    </row>
    <row r="197" spans="1:19" x14ac:dyDescent="0.3">
      <c r="D197">
        <v>0.125</v>
      </c>
      <c r="E197">
        <v>3.33</v>
      </c>
      <c r="G197">
        <v>7.0000000000000001E-3</v>
      </c>
    </row>
    <row r="201" spans="1:19" x14ac:dyDescent="0.3">
      <c r="A201" s="12" t="s">
        <v>177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</row>
    <row r="202" spans="1:19" x14ac:dyDescent="0.3">
      <c r="A202" t="s">
        <v>178</v>
      </c>
      <c r="I202">
        <v>1.22</v>
      </c>
    </row>
    <row r="203" spans="1:19" x14ac:dyDescent="0.3">
      <c r="A203" s="2" t="s">
        <v>14</v>
      </c>
      <c r="B203" s="2" t="s">
        <v>11</v>
      </c>
      <c r="C203" s="2" t="s">
        <v>167</v>
      </c>
      <c r="D203" s="2"/>
      <c r="E203" s="2" t="s">
        <v>50</v>
      </c>
      <c r="I203">
        <v>0.75</v>
      </c>
    </row>
    <row r="204" spans="1:19" x14ac:dyDescent="0.3">
      <c r="A204" t="s">
        <v>72</v>
      </c>
      <c r="B204" t="s">
        <v>179</v>
      </c>
      <c r="C204">
        <v>0.3</v>
      </c>
      <c r="E204">
        <v>65</v>
      </c>
      <c r="F204">
        <f>SUM(E204:E205)+SUM(E204:E205)*1.22*3+SUM(E204:E205)*0.75</f>
        <v>692.48</v>
      </c>
    </row>
    <row r="205" spans="1:19" x14ac:dyDescent="0.3">
      <c r="A205" t="s">
        <v>72</v>
      </c>
      <c r="B205" t="s">
        <v>180</v>
      </c>
      <c r="C205">
        <v>0.3</v>
      </c>
      <c r="E205">
        <v>63</v>
      </c>
    </row>
    <row r="206" spans="1:19" x14ac:dyDescent="0.3">
      <c r="A206" t="s">
        <v>1</v>
      </c>
      <c r="C206">
        <v>0.1</v>
      </c>
      <c r="E206">
        <v>20</v>
      </c>
      <c r="F206">
        <f>SUM(E206:E207)+SUM(E206:E207)*1.22*3+SUM(E206:E207)*0.75</f>
        <v>183.94</v>
      </c>
    </row>
    <row r="207" spans="1:19" x14ac:dyDescent="0.3">
      <c r="A207" t="s">
        <v>1</v>
      </c>
      <c r="E207">
        <v>14</v>
      </c>
    </row>
  </sheetData>
  <pageMargins left="0.7" right="0.7" top="0.78740157499999996" bottom="0.78740157499999996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3362E-431B-1440-851C-F23CCA9E0F89}">
  <dimension ref="A1:Z384"/>
  <sheetViews>
    <sheetView topLeftCell="C1" zoomScale="75" workbookViewId="0">
      <selection activeCell="S16" sqref="S16"/>
    </sheetView>
  </sheetViews>
  <sheetFormatPr defaultColWidth="10.69921875" defaultRowHeight="15.6" x14ac:dyDescent="0.3"/>
  <cols>
    <col min="2" max="18" width="10.796875" customWidth="1"/>
  </cols>
  <sheetData>
    <row r="1" spans="1:26" x14ac:dyDescent="0.3">
      <c r="A1" t="s">
        <v>299</v>
      </c>
      <c r="B1" s="51"/>
      <c r="C1" s="51"/>
      <c r="D1" s="51"/>
      <c r="E1" s="51"/>
      <c r="F1" s="51"/>
      <c r="K1" s="12"/>
      <c r="L1" s="12"/>
      <c r="P1" s="12"/>
      <c r="V1" t="s">
        <v>307</v>
      </c>
      <c r="W1" t="s">
        <v>308</v>
      </c>
    </row>
    <row r="2" spans="1:26" x14ac:dyDescent="0.3">
      <c r="A2" t="s">
        <v>260</v>
      </c>
      <c r="B2" s="51" t="s">
        <v>268</v>
      </c>
      <c r="C2" s="51" t="s">
        <v>269</v>
      </c>
      <c r="D2" s="51" t="s">
        <v>300</v>
      </c>
      <c r="E2" s="51" t="s">
        <v>270</v>
      </c>
      <c r="F2" s="51" t="s">
        <v>271</v>
      </c>
      <c r="I2" t="s">
        <v>260</v>
      </c>
      <c r="J2" t="s">
        <v>301</v>
      </c>
      <c r="K2" s="12" t="s">
        <v>302</v>
      </c>
      <c r="L2" s="12" t="s">
        <v>303</v>
      </c>
      <c r="M2" t="s">
        <v>261</v>
      </c>
      <c r="N2" t="s">
        <v>262</v>
      </c>
      <c r="O2" t="s">
        <v>263</v>
      </c>
      <c r="P2" s="12" t="s">
        <v>304</v>
      </c>
      <c r="Q2" t="s">
        <v>264</v>
      </c>
      <c r="T2" s="4"/>
      <c r="U2" s="4" t="s">
        <v>242</v>
      </c>
      <c r="V2" s="4" t="s">
        <v>240</v>
      </c>
      <c r="W2" s="4" t="s">
        <v>240</v>
      </c>
    </row>
    <row r="3" spans="1:26" x14ac:dyDescent="0.3">
      <c r="B3" s="51" t="s">
        <v>242</v>
      </c>
      <c r="C3" s="51" t="s">
        <v>242</v>
      </c>
      <c r="D3" s="51" t="s">
        <v>242</v>
      </c>
      <c r="E3" s="51" t="s">
        <v>242</v>
      </c>
      <c r="F3" s="51" t="s">
        <v>242</v>
      </c>
      <c r="J3" t="s">
        <v>305</v>
      </c>
      <c r="K3" s="12"/>
      <c r="L3" s="12" t="s">
        <v>305</v>
      </c>
      <c r="M3" t="s">
        <v>265</v>
      </c>
      <c r="N3" t="s">
        <v>265</v>
      </c>
      <c r="O3" t="s">
        <v>265</v>
      </c>
      <c r="P3" s="12" t="s">
        <v>306</v>
      </c>
      <c r="Q3" t="s">
        <v>265</v>
      </c>
      <c r="T3" s="4" t="s">
        <v>270</v>
      </c>
      <c r="U3" s="15">
        <f>SUM(C16:E16)</f>
        <v>687360.95172799996</v>
      </c>
      <c r="V3" s="15">
        <f>U3*'GWP2013'!C12</f>
        <v>6667.4012317615998</v>
      </c>
      <c r="W3">
        <f>U3*'GWP2013'!C12</f>
        <v>6667.4012317615998</v>
      </c>
    </row>
    <row r="4" spans="1:26" x14ac:dyDescent="0.3">
      <c r="A4" s="46">
        <v>37257</v>
      </c>
      <c r="B4" s="51">
        <v>75063.990000000005</v>
      </c>
      <c r="C4" s="51">
        <v>74.514700000000005</v>
      </c>
      <c r="D4" s="51">
        <v>0</v>
      </c>
      <c r="E4" s="51">
        <v>117338.3</v>
      </c>
      <c r="F4" s="51">
        <v>15903.52</v>
      </c>
      <c r="I4" s="46">
        <v>37257</v>
      </c>
      <c r="J4">
        <v>31.598020000000002</v>
      </c>
      <c r="K4" s="12">
        <v>-1.9901120000000001</v>
      </c>
      <c r="L4" s="12">
        <v>71.821770000000001</v>
      </c>
      <c r="M4">
        <v>15.44572</v>
      </c>
      <c r="N4">
        <v>15.5595</v>
      </c>
      <c r="O4">
        <v>15.502610000000001</v>
      </c>
      <c r="P4" s="12">
        <v>266.84050000000002</v>
      </c>
      <c r="Q4">
        <v>1.854738</v>
      </c>
      <c r="T4" s="4" t="s">
        <v>271</v>
      </c>
      <c r="U4" s="15">
        <f>F16</f>
        <v>565204.04</v>
      </c>
      <c r="V4" s="15">
        <f>U4*'GWP2013'!C11</f>
        <v>54380.353845959289</v>
      </c>
      <c r="W4">
        <f>U4*'GWP2013'!C10</f>
        <v>5975.8157117490837</v>
      </c>
    </row>
    <row r="5" spans="1:26" x14ac:dyDescent="0.3">
      <c r="A5" s="46">
        <v>37288</v>
      </c>
      <c r="B5" s="51">
        <v>67799.73</v>
      </c>
      <c r="C5" s="51">
        <v>60.63109</v>
      </c>
      <c r="D5" s="51">
        <v>0</v>
      </c>
      <c r="E5" s="51">
        <v>98294.83</v>
      </c>
      <c r="F5" s="51">
        <v>15668.62</v>
      </c>
      <c r="I5" s="46">
        <v>37288</v>
      </c>
      <c r="J5">
        <v>30.311620000000001</v>
      </c>
      <c r="K5" s="12">
        <v>-1.8569910000000001</v>
      </c>
      <c r="L5" s="12">
        <v>66.468059999999994</v>
      </c>
      <c r="M5">
        <v>15.78233</v>
      </c>
      <c r="N5">
        <v>16.421970000000002</v>
      </c>
      <c r="O5">
        <v>16.102150000000002</v>
      </c>
      <c r="P5" s="12">
        <v>223.4828</v>
      </c>
      <c r="Q5">
        <v>2.2774930000000002</v>
      </c>
      <c r="T5" s="4" t="s">
        <v>293</v>
      </c>
      <c r="U5" s="15">
        <f>B16</f>
        <v>883817.98</v>
      </c>
      <c r="V5" s="15">
        <f>U5*'GWP2013'!C11</f>
        <v>85035.369683169585</v>
      </c>
      <c r="W5">
        <f>U5*'GWP2013'!C10</f>
        <v>9344.4720798710787</v>
      </c>
    </row>
    <row r="6" spans="1:26" x14ac:dyDescent="0.3">
      <c r="A6" s="46">
        <v>37316</v>
      </c>
      <c r="B6" s="51">
        <v>75063.990000000005</v>
      </c>
      <c r="C6" s="51">
        <v>54.179879999999997</v>
      </c>
      <c r="D6" s="51">
        <v>0</v>
      </c>
      <c r="E6" s="51">
        <v>93196.01</v>
      </c>
      <c r="F6" s="51">
        <v>17868.68</v>
      </c>
      <c r="I6" s="46">
        <v>37316</v>
      </c>
      <c r="J6">
        <v>33.051400000000001</v>
      </c>
      <c r="K6" s="12">
        <v>-1.57131</v>
      </c>
      <c r="L6" s="12">
        <v>54.998399999999997</v>
      </c>
      <c r="M6">
        <v>16.562580000000001</v>
      </c>
      <c r="N6">
        <v>17.955220000000001</v>
      </c>
      <c r="O6">
        <v>17.258900000000001</v>
      </c>
      <c r="P6" s="12">
        <v>211.34309999999999</v>
      </c>
      <c r="Q6">
        <v>5.5276209999999999</v>
      </c>
    </row>
    <row r="7" spans="1:26" x14ac:dyDescent="0.3">
      <c r="A7" s="46">
        <v>37347</v>
      </c>
      <c r="B7" s="51">
        <v>72642.58</v>
      </c>
      <c r="C7" s="51">
        <v>0</v>
      </c>
      <c r="D7" s="51">
        <v>0</v>
      </c>
      <c r="E7" s="51">
        <v>65174.11</v>
      </c>
      <c r="F7" s="51">
        <v>18246.95</v>
      </c>
      <c r="I7" s="46">
        <v>37347</v>
      </c>
      <c r="J7">
        <v>39.940480000000001</v>
      </c>
      <c r="K7" s="12">
        <v>-2.8069579999999998</v>
      </c>
      <c r="L7" s="12">
        <v>69.897319999999993</v>
      </c>
      <c r="M7">
        <v>16.86054</v>
      </c>
      <c r="N7">
        <v>19.30097</v>
      </c>
      <c r="O7">
        <v>18.080749999999998</v>
      </c>
      <c r="P7" s="12">
        <v>179.6748</v>
      </c>
      <c r="Q7">
        <v>10.84507</v>
      </c>
    </row>
    <row r="8" spans="1:26" x14ac:dyDescent="0.3">
      <c r="A8" s="46">
        <v>37377</v>
      </c>
      <c r="B8" s="51">
        <v>75063.990000000005</v>
      </c>
      <c r="C8" s="51">
        <v>0</v>
      </c>
      <c r="D8" s="51">
        <v>0</v>
      </c>
      <c r="E8" s="51">
        <v>0</v>
      </c>
      <c r="F8" s="51">
        <v>84448.7</v>
      </c>
      <c r="I8" s="46">
        <v>37377</v>
      </c>
      <c r="J8">
        <v>46.193460000000002</v>
      </c>
      <c r="K8" s="12">
        <v>-2.552902</v>
      </c>
      <c r="L8" s="12">
        <v>86.046760000000006</v>
      </c>
      <c r="M8">
        <v>17.55857</v>
      </c>
      <c r="N8">
        <v>20.210360000000001</v>
      </c>
      <c r="O8">
        <v>18.884460000000001</v>
      </c>
      <c r="P8" s="12">
        <v>162.24189999999999</v>
      </c>
      <c r="Q8">
        <v>14.95373</v>
      </c>
    </row>
    <row r="9" spans="1:26" x14ac:dyDescent="0.3">
      <c r="A9" s="46">
        <v>37408</v>
      </c>
      <c r="B9" s="51">
        <v>72642.58</v>
      </c>
      <c r="C9" s="51">
        <v>0</v>
      </c>
      <c r="D9" s="51">
        <v>0</v>
      </c>
      <c r="E9" s="51">
        <v>0</v>
      </c>
      <c r="F9" s="51">
        <v>99270.48</v>
      </c>
      <c r="I9" s="46">
        <v>37408</v>
      </c>
      <c r="J9">
        <v>50.655029999999996</v>
      </c>
      <c r="K9" s="12">
        <v>-2.2687949999999999</v>
      </c>
      <c r="L9" s="12">
        <v>79.656670000000005</v>
      </c>
      <c r="M9">
        <v>18.154389999999999</v>
      </c>
      <c r="N9">
        <v>21.1615</v>
      </c>
      <c r="O9">
        <v>19.65795</v>
      </c>
      <c r="P9" s="12">
        <v>74.092979999999997</v>
      </c>
      <c r="Q9">
        <v>18.090489999999999</v>
      </c>
    </row>
    <row r="10" spans="1:26" x14ac:dyDescent="0.3">
      <c r="A10" s="46">
        <v>37438</v>
      </c>
      <c r="B10" s="51">
        <v>75063.990000000005</v>
      </c>
      <c r="C10" s="51">
        <v>0</v>
      </c>
      <c r="D10" s="51">
        <v>0</v>
      </c>
      <c r="E10" s="51">
        <v>0</v>
      </c>
      <c r="F10" s="51">
        <v>117580.8</v>
      </c>
      <c r="I10" s="46">
        <v>37438</v>
      </c>
      <c r="J10">
        <v>48.714489999999998</v>
      </c>
      <c r="K10" s="12">
        <v>-1.912666</v>
      </c>
      <c r="L10" s="12">
        <v>69.198359999999994</v>
      </c>
      <c r="M10">
        <v>18.985489999999999</v>
      </c>
      <c r="N10">
        <v>22.47653</v>
      </c>
      <c r="O10">
        <v>20.731010000000001</v>
      </c>
      <c r="P10" s="12">
        <v>47.45926</v>
      </c>
      <c r="Q10">
        <v>19.744759999999999</v>
      </c>
    </row>
    <row r="11" spans="1:26" x14ac:dyDescent="0.3">
      <c r="A11" s="46">
        <v>37469</v>
      </c>
      <c r="B11" s="51">
        <v>75063.990000000005</v>
      </c>
      <c r="C11" s="51">
        <v>5.1729999999999996E-3</v>
      </c>
      <c r="D11" s="51">
        <v>0</v>
      </c>
      <c r="E11" s="51">
        <v>0</v>
      </c>
      <c r="F11" s="51">
        <v>112773.2</v>
      </c>
      <c r="I11" s="46">
        <v>37469</v>
      </c>
      <c r="J11">
        <v>50.557229999999997</v>
      </c>
      <c r="K11" s="12">
        <v>-2.0526170000000001</v>
      </c>
      <c r="L11" s="12">
        <v>73.505380000000002</v>
      </c>
      <c r="M11">
        <v>18.637370000000001</v>
      </c>
      <c r="N11">
        <v>21.944739999999999</v>
      </c>
      <c r="O11">
        <v>20.291060000000002</v>
      </c>
      <c r="P11" s="12">
        <v>65.245570000000001</v>
      </c>
      <c r="Q11">
        <v>18.84516</v>
      </c>
      <c r="T11" t="s">
        <v>260</v>
      </c>
      <c r="U11" t="s">
        <v>266</v>
      </c>
      <c r="V11" t="s">
        <v>267</v>
      </c>
      <c r="W11" t="s">
        <v>268</v>
      </c>
      <c r="X11" t="s">
        <v>269</v>
      </c>
      <c r="Y11" t="s">
        <v>270</v>
      </c>
      <c r="Z11" t="s">
        <v>271</v>
      </c>
    </row>
    <row r="12" spans="1:26" x14ac:dyDescent="0.3">
      <c r="A12" s="46">
        <v>37500</v>
      </c>
      <c r="B12" s="51">
        <v>72642.58</v>
      </c>
      <c r="C12" s="51">
        <v>0.11858100000000001</v>
      </c>
      <c r="D12" s="51">
        <v>0</v>
      </c>
      <c r="E12" s="51">
        <v>170.44040000000001</v>
      </c>
      <c r="F12" s="51">
        <v>44191.07</v>
      </c>
      <c r="I12" s="46">
        <v>37500</v>
      </c>
      <c r="J12">
        <v>49.99456</v>
      </c>
      <c r="K12" s="12">
        <v>-2.5361479999999998</v>
      </c>
      <c r="L12" s="12">
        <v>86.098789999999994</v>
      </c>
      <c r="M12">
        <v>17.536090000000002</v>
      </c>
      <c r="N12">
        <v>20.215199999999999</v>
      </c>
      <c r="O12">
        <v>18.875640000000001</v>
      </c>
      <c r="P12" s="12">
        <v>140.39279999999999</v>
      </c>
      <c r="Q12">
        <v>15.11809</v>
      </c>
      <c r="U12" t="s">
        <v>242</v>
      </c>
      <c r="V12" t="s">
        <v>242</v>
      </c>
      <c r="W12" t="s">
        <v>242</v>
      </c>
      <c r="X12" t="s">
        <v>242</v>
      </c>
      <c r="Y12" t="s">
        <v>242</v>
      </c>
      <c r="Z12" t="s">
        <v>242</v>
      </c>
    </row>
    <row r="13" spans="1:26" x14ac:dyDescent="0.3">
      <c r="A13" s="46">
        <v>37530</v>
      </c>
      <c r="B13" s="51">
        <v>75063.990000000005</v>
      </c>
      <c r="C13" s="51">
        <v>46.876109999999997</v>
      </c>
      <c r="D13" s="51">
        <v>0</v>
      </c>
      <c r="E13" s="51">
        <v>88166.88</v>
      </c>
      <c r="F13" s="51">
        <v>17936.259999999998</v>
      </c>
      <c r="I13" s="46">
        <v>37530</v>
      </c>
      <c r="J13">
        <v>43.80106</v>
      </c>
      <c r="K13" s="12">
        <v>-1.339526</v>
      </c>
      <c r="L13" s="12">
        <v>44.843699999999998</v>
      </c>
      <c r="M13">
        <v>17.231490000000001</v>
      </c>
      <c r="N13">
        <v>18.742159999999998</v>
      </c>
      <c r="O13">
        <v>17.986830000000001</v>
      </c>
      <c r="P13" s="12">
        <v>204.8723</v>
      </c>
      <c r="Q13">
        <v>10.205069999999999</v>
      </c>
      <c r="T13" s="50">
        <v>0</v>
      </c>
      <c r="U13" t="s">
        <v>291</v>
      </c>
      <c r="V13" t="s">
        <v>292</v>
      </c>
      <c r="W13">
        <v>1322626</v>
      </c>
      <c r="X13" t="s">
        <v>294</v>
      </c>
      <c r="Y13">
        <v>921709</v>
      </c>
      <c r="Z13">
        <v>1135550</v>
      </c>
    </row>
    <row r="14" spans="1:26" x14ac:dyDescent="0.3">
      <c r="A14" s="46">
        <v>37561</v>
      </c>
      <c r="B14" s="51">
        <v>72642.58</v>
      </c>
      <c r="C14" s="51">
        <v>64.63991</v>
      </c>
      <c r="D14" s="51">
        <v>0</v>
      </c>
      <c r="E14" s="51">
        <v>106214.7</v>
      </c>
      <c r="F14" s="51">
        <v>11176.12</v>
      </c>
      <c r="I14" s="46">
        <v>37561</v>
      </c>
      <c r="J14">
        <v>36.989890000000003</v>
      </c>
      <c r="K14" s="12">
        <v>-1.782141</v>
      </c>
      <c r="L14" s="12">
        <v>64.097470000000001</v>
      </c>
      <c r="M14">
        <v>16.015840000000001</v>
      </c>
      <c r="N14">
        <v>16.542079999999999</v>
      </c>
      <c r="O14">
        <v>16.278960000000001</v>
      </c>
      <c r="P14" s="12">
        <v>222.32419999999999</v>
      </c>
      <c r="Q14">
        <v>5.0231940000000002</v>
      </c>
    </row>
    <row r="15" spans="1:26" x14ac:dyDescent="0.3">
      <c r="A15" s="46">
        <v>37591</v>
      </c>
      <c r="B15" s="51">
        <v>75063.990000000005</v>
      </c>
      <c r="C15" s="51">
        <v>74.919820000000001</v>
      </c>
      <c r="D15" s="51">
        <v>214.40539999999999</v>
      </c>
      <c r="E15" s="51">
        <v>117625.1</v>
      </c>
      <c r="F15" s="51">
        <v>10139.64</v>
      </c>
      <c r="I15" s="46">
        <v>37591</v>
      </c>
      <c r="J15">
        <v>32.005090000000003</v>
      </c>
      <c r="K15" s="12">
        <v>-2.024098</v>
      </c>
      <c r="L15" s="12">
        <v>72.765119999999996</v>
      </c>
      <c r="M15">
        <v>15.3454</v>
      </c>
      <c r="N15">
        <v>15.34857</v>
      </c>
      <c r="O15">
        <v>15.34698</v>
      </c>
      <c r="P15" s="12">
        <v>249.51169999999999</v>
      </c>
      <c r="Q15">
        <v>2.065928</v>
      </c>
      <c r="Y15">
        <f>Y13/10135</f>
        <v>90.94316724222989</v>
      </c>
      <c r="Z15">
        <f>Z13/10135</f>
        <v>112.0424272323631</v>
      </c>
    </row>
    <row r="16" spans="1:26" x14ac:dyDescent="0.3">
      <c r="A16" s="52" t="s">
        <v>115</v>
      </c>
      <c r="B16" s="53">
        <f>SUM(B4:B15)</f>
        <v>883817.98</v>
      </c>
      <c r="C16" s="53">
        <f t="shared" ref="C16" si="0">SUM(C4:C15)</f>
        <v>375.88526400000001</v>
      </c>
      <c r="D16" s="53">
        <f>SUM(D4:D15)</f>
        <v>214.40539999999999</v>
      </c>
      <c r="E16" s="53">
        <f>SUM(C4:E15)</f>
        <v>686770.66106399999</v>
      </c>
      <c r="F16" s="53">
        <f>SUM(F4:F15)</f>
        <v>565204.04</v>
      </c>
      <c r="G16" s="53"/>
      <c r="H16" s="53"/>
      <c r="I16" s="52">
        <v>37257</v>
      </c>
      <c r="J16" s="53">
        <v>41.204569999999997</v>
      </c>
      <c r="K16" s="53">
        <f>AVERAGE(K4:K15)</f>
        <v>-2.0578553333333329</v>
      </c>
      <c r="L16" s="53">
        <f>AVERAGE(L4:L15)</f>
        <v>69.949816666666678</v>
      </c>
      <c r="M16" s="53">
        <f t="shared" ref="M16:O16" si="1">AVERAGE(M4:M15)</f>
        <v>17.009650833333335</v>
      </c>
      <c r="N16" s="53">
        <f t="shared" si="1"/>
        <v>18.823233333333334</v>
      </c>
      <c r="O16" s="53">
        <f t="shared" si="1"/>
        <v>17.916441666666667</v>
      </c>
      <c r="P16" s="53">
        <f>SUM(P4:P15)</f>
        <v>2047.4819100000002</v>
      </c>
      <c r="Q16" s="53">
        <v>10.42516</v>
      </c>
    </row>
    <row r="17" spans="1:21" x14ac:dyDescent="0.3">
      <c r="S17" s="4"/>
      <c r="T17" s="4"/>
      <c r="U17" s="4"/>
    </row>
    <row r="20" spans="1:21" x14ac:dyDescent="0.3">
      <c r="A20" s="46"/>
    </row>
    <row r="21" spans="1:21" x14ac:dyDescent="0.3">
      <c r="A21" s="46"/>
    </row>
    <row r="22" spans="1:21" x14ac:dyDescent="0.3">
      <c r="A22" s="46"/>
    </row>
    <row r="23" spans="1:21" x14ac:dyDescent="0.3">
      <c r="A23" s="46"/>
    </row>
    <row r="24" spans="1:21" x14ac:dyDescent="0.3">
      <c r="A24" s="46"/>
    </row>
    <row r="25" spans="1:21" x14ac:dyDescent="0.3">
      <c r="A25" s="46"/>
    </row>
    <row r="26" spans="1:21" x14ac:dyDescent="0.3">
      <c r="A26" s="46"/>
    </row>
    <row r="27" spans="1:21" x14ac:dyDescent="0.3">
      <c r="A27" s="46"/>
    </row>
    <row r="28" spans="1:21" x14ac:dyDescent="0.3">
      <c r="A28" s="46"/>
    </row>
    <row r="29" spans="1:21" x14ac:dyDescent="0.3">
      <c r="A29" s="46"/>
    </row>
    <row r="30" spans="1:21" x14ac:dyDescent="0.3">
      <c r="A30" s="46"/>
    </row>
    <row r="31" spans="1:21" x14ac:dyDescent="0.3">
      <c r="A31" s="46"/>
    </row>
    <row r="32" spans="1:21" x14ac:dyDescent="0.3">
      <c r="A32" s="46"/>
    </row>
    <row r="33" spans="1:1" x14ac:dyDescent="0.3">
      <c r="A33" s="46"/>
    </row>
    <row r="34" spans="1:1" x14ac:dyDescent="0.3">
      <c r="A34" s="46"/>
    </row>
    <row r="35" spans="1:1" x14ac:dyDescent="0.3">
      <c r="A35" s="46"/>
    </row>
    <row r="36" spans="1:1" x14ac:dyDescent="0.3">
      <c r="A36" s="46"/>
    </row>
    <row r="37" spans="1:1" x14ac:dyDescent="0.3">
      <c r="A37" s="46"/>
    </row>
    <row r="38" spans="1:1" x14ac:dyDescent="0.3">
      <c r="A38" s="46"/>
    </row>
    <row r="39" spans="1:1" x14ac:dyDescent="0.3">
      <c r="A39" s="46"/>
    </row>
    <row r="40" spans="1:1" x14ac:dyDescent="0.3">
      <c r="A40" s="46"/>
    </row>
    <row r="41" spans="1:1" x14ac:dyDescent="0.3">
      <c r="A41" s="46"/>
    </row>
    <row r="42" spans="1:1" x14ac:dyDescent="0.3">
      <c r="A42" s="46"/>
    </row>
    <row r="43" spans="1:1" x14ac:dyDescent="0.3">
      <c r="A43" s="46"/>
    </row>
    <row r="44" spans="1:1" x14ac:dyDescent="0.3">
      <c r="A44" s="46"/>
    </row>
    <row r="45" spans="1:1" x14ac:dyDescent="0.3">
      <c r="A45" s="46"/>
    </row>
    <row r="46" spans="1:1" x14ac:dyDescent="0.3">
      <c r="A46" s="46"/>
    </row>
    <row r="47" spans="1:1" x14ac:dyDescent="0.3">
      <c r="A47" s="46"/>
    </row>
    <row r="48" spans="1:1" x14ac:dyDescent="0.3">
      <c r="A48" s="46"/>
    </row>
    <row r="49" spans="1:1" x14ac:dyDescent="0.3">
      <c r="A49" s="46"/>
    </row>
    <row r="50" spans="1:1" x14ac:dyDescent="0.3">
      <c r="A50" s="46"/>
    </row>
    <row r="51" spans="1:1" x14ac:dyDescent="0.3">
      <c r="A51" s="46"/>
    </row>
    <row r="52" spans="1:1" x14ac:dyDescent="0.3">
      <c r="A52" s="46"/>
    </row>
    <row r="53" spans="1:1" x14ac:dyDescent="0.3">
      <c r="A53" s="46"/>
    </row>
    <row r="54" spans="1:1" x14ac:dyDescent="0.3">
      <c r="A54" s="46"/>
    </row>
    <row r="55" spans="1:1" x14ac:dyDescent="0.3">
      <c r="A55" s="46"/>
    </row>
    <row r="56" spans="1:1" x14ac:dyDescent="0.3">
      <c r="A56" s="46"/>
    </row>
    <row r="57" spans="1:1" x14ac:dyDescent="0.3">
      <c r="A57" s="46"/>
    </row>
    <row r="58" spans="1:1" x14ac:dyDescent="0.3">
      <c r="A58" s="46"/>
    </row>
    <row r="59" spans="1:1" x14ac:dyDescent="0.3">
      <c r="A59" s="46"/>
    </row>
    <row r="60" spans="1:1" x14ac:dyDescent="0.3">
      <c r="A60" s="46"/>
    </row>
    <row r="61" spans="1:1" x14ac:dyDescent="0.3">
      <c r="A61" s="46"/>
    </row>
    <row r="62" spans="1:1" x14ac:dyDescent="0.3">
      <c r="A62" s="46"/>
    </row>
    <row r="63" spans="1:1" x14ac:dyDescent="0.3">
      <c r="A63" s="46"/>
    </row>
    <row r="64" spans="1:1" x14ac:dyDescent="0.3">
      <c r="A64" s="46"/>
    </row>
    <row r="65" spans="1:1" x14ac:dyDescent="0.3">
      <c r="A65" s="46"/>
    </row>
    <row r="66" spans="1:1" x14ac:dyDescent="0.3">
      <c r="A66" s="46"/>
    </row>
    <row r="67" spans="1:1" x14ac:dyDescent="0.3">
      <c r="A67" s="46"/>
    </row>
    <row r="68" spans="1:1" x14ac:dyDescent="0.3">
      <c r="A68" s="46"/>
    </row>
    <row r="69" spans="1:1" x14ac:dyDescent="0.3">
      <c r="A69" s="46"/>
    </row>
    <row r="70" spans="1:1" x14ac:dyDescent="0.3">
      <c r="A70" s="46"/>
    </row>
    <row r="71" spans="1:1" x14ac:dyDescent="0.3">
      <c r="A71" s="46"/>
    </row>
    <row r="72" spans="1:1" x14ac:dyDescent="0.3">
      <c r="A72" s="46"/>
    </row>
    <row r="73" spans="1:1" x14ac:dyDescent="0.3">
      <c r="A73" s="46"/>
    </row>
    <row r="74" spans="1:1" x14ac:dyDescent="0.3">
      <c r="A74" s="46"/>
    </row>
    <row r="75" spans="1:1" x14ac:dyDescent="0.3">
      <c r="A75" s="46"/>
    </row>
    <row r="76" spans="1:1" x14ac:dyDescent="0.3">
      <c r="A76" s="46"/>
    </row>
    <row r="77" spans="1:1" x14ac:dyDescent="0.3">
      <c r="A77" s="46"/>
    </row>
    <row r="78" spans="1:1" x14ac:dyDescent="0.3">
      <c r="A78" s="46"/>
    </row>
    <row r="79" spans="1:1" x14ac:dyDescent="0.3">
      <c r="A79" s="46"/>
    </row>
    <row r="80" spans="1:1" x14ac:dyDescent="0.3">
      <c r="A80" s="46"/>
    </row>
    <row r="81" spans="1:1" x14ac:dyDescent="0.3">
      <c r="A81" s="46"/>
    </row>
    <row r="82" spans="1:1" x14ac:dyDescent="0.3">
      <c r="A82" s="46"/>
    </row>
    <row r="83" spans="1:1" x14ac:dyDescent="0.3">
      <c r="A83" s="46"/>
    </row>
    <row r="84" spans="1:1" x14ac:dyDescent="0.3">
      <c r="A84" s="46"/>
    </row>
    <row r="85" spans="1:1" x14ac:dyDescent="0.3">
      <c r="A85" s="46"/>
    </row>
    <row r="86" spans="1:1" x14ac:dyDescent="0.3">
      <c r="A86" s="46"/>
    </row>
    <row r="87" spans="1:1" x14ac:dyDescent="0.3">
      <c r="A87" s="46"/>
    </row>
    <row r="88" spans="1:1" x14ac:dyDescent="0.3">
      <c r="A88" s="46"/>
    </row>
    <row r="89" spans="1:1" x14ac:dyDescent="0.3">
      <c r="A89" s="46"/>
    </row>
    <row r="90" spans="1:1" x14ac:dyDescent="0.3">
      <c r="A90" s="46"/>
    </row>
    <row r="91" spans="1:1" x14ac:dyDescent="0.3">
      <c r="A91" s="46"/>
    </row>
    <row r="92" spans="1:1" x14ac:dyDescent="0.3">
      <c r="A92" s="46"/>
    </row>
    <row r="93" spans="1:1" x14ac:dyDescent="0.3">
      <c r="A93" s="46"/>
    </row>
    <row r="94" spans="1:1" x14ac:dyDescent="0.3">
      <c r="A94" s="46"/>
    </row>
    <row r="95" spans="1:1" x14ac:dyDescent="0.3">
      <c r="A95" s="46"/>
    </row>
    <row r="96" spans="1:1" x14ac:dyDescent="0.3">
      <c r="A96" s="46"/>
    </row>
    <row r="97" spans="1:1" x14ac:dyDescent="0.3">
      <c r="A97" s="46"/>
    </row>
    <row r="98" spans="1:1" x14ac:dyDescent="0.3">
      <c r="A98" s="46"/>
    </row>
    <row r="99" spans="1:1" x14ac:dyDescent="0.3">
      <c r="A99" s="46"/>
    </row>
    <row r="100" spans="1:1" x14ac:dyDescent="0.3">
      <c r="A100" s="46"/>
    </row>
    <row r="101" spans="1:1" x14ac:dyDescent="0.3">
      <c r="A101" s="46"/>
    </row>
    <row r="102" spans="1:1" x14ac:dyDescent="0.3">
      <c r="A102" s="46"/>
    </row>
    <row r="103" spans="1:1" x14ac:dyDescent="0.3">
      <c r="A103" s="46"/>
    </row>
    <row r="104" spans="1:1" x14ac:dyDescent="0.3">
      <c r="A104" s="46"/>
    </row>
    <row r="105" spans="1:1" x14ac:dyDescent="0.3">
      <c r="A105" s="46"/>
    </row>
    <row r="106" spans="1:1" x14ac:dyDescent="0.3">
      <c r="A106" s="46"/>
    </row>
    <row r="107" spans="1:1" x14ac:dyDescent="0.3">
      <c r="A107" s="46"/>
    </row>
    <row r="108" spans="1:1" x14ac:dyDescent="0.3">
      <c r="A108" s="46"/>
    </row>
    <row r="109" spans="1:1" x14ac:dyDescent="0.3">
      <c r="A109" s="46"/>
    </row>
    <row r="110" spans="1:1" x14ac:dyDescent="0.3">
      <c r="A110" s="46"/>
    </row>
    <row r="111" spans="1:1" x14ac:dyDescent="0.3">
      <c r="A111" s="46"/>
    </row>
    <row r="112" spans="1:1" x14ac:dyDescent="0.3">
      <c r="A112" s="46"/>
    </row>
    <row r="113" spans="1:1" x14ac:dyDescent="0.3">
      <c r="A113" s="46"/>
    </row>
    <row r="114" spans="1:1" x14ac:dyDescent="0.3">
      <c r="A114" s="46"/>
    </row>
    <row r="115" spans="1:1" x14ac:dyDescent="0.3">
      <c r="A115" s="46"/>
    </row>
    <row r="116" spans="1:1" x14ac:dyDescent="0.3">
      <c r="A116" s="46"/>
    </row>
    <row r="117" spans="1:1" x14ac:dyDescent="0.3">
      <c r="A117" s="46"/>
    </row>
    <row r="118" spans="1:1" x14ac:dyDescent="0.3">
      <c r="A118" s="46"/>
    </row>
    <row r="119" spans="1:1" x14ac:dyDescent="0.3">
      <c r="A119" s="46"/>
    </row>
    <row r="120" spans="1:1" x14ac:dyDescent="0.3">
      <c r="A120" s="46"/>
    </row>
    <row r="121" spans="1:1" x14ac:dyDescent="0.3">
      <c r="A121" s="46"/>
    </row>
    <row r="122" spans="1:1" x14ac:dyDescent="0.3">
      <c r="A122" s="46"/>
    </row>
    <row r="123" spans="1:1" x14ac:dyDescent="0.3">
      <c r="A123" s="46"/>
    </row>
    <row r="124" spans="1:1" x14ac:dyDescent="0.3">
      <c r="A124" s="46"/>
    </row>
    <row r="125" spans="1:1" x14ac:dyDescent="0.3">
      <c r="A125" s="46"/>
    </row>
    <row r="126" spans="1:1" x14ac:dyDescent="0.3">
      <c r="A126" s="46"/>
    </row>
    <row r="127" spans="1:1" x14ac:dyDescent="0.3">
      <c r="A127" s="46"/>
    </row>
    <row r="128" spans="1:1" x14ac:dyDescent="0.3">
      <c r="A128" s="46"/>
    </row>
    <row r="129" spans="1:1" x14ac:dyDescent="0.3">
      <c r="A129" s="46"/>
    </row>
    <row r="130" spans="1:1" x14ac:dyDescent="0.3">
      <c r="A130" s="46"/>
    </row>
    <row r="131" spans="1:1" x14ac:dyDescent="0.3">
      <c r="A131" s="46"/>
    </row>
    <row r="132" spans="1:1" x14ac:dyDescent="0.3">
      <c r="A132" s="46"/>
    </row>
    <row r="133" spans="1:1" x14ac:dyDescent="0.3">
      <c r="A133" s="46"/>
    </row>
    <row r="134" spans="1:1" x14ac:dyDescent="0.3">
      <c r="A134" s="46"/>
    </row>
    <row r="135" spans="1:1" x14ac:dyDescent="0.3">
      <c r="A135" s="46"/>
    </row>
    <row r="136" spans="1:1" x14ac:dyDescent="0.3">
      <c r="A136" s="46"/>
    </row>
    <row r="137" spans="1:1" x14ac:dyDescent="0.3">
      <c r="A137" s="46"/>
    </row>
    <row r="138" spans="1:1" x14ac:dyDescent="0.3">
      <c r="A138" s="46"/>
    </row>
    <row r="139" spans="1:1" x14ac:dyDescent="0.3">
      <c r="A139" s="46"/>
    </row>
    <row r="140" spans="1:1" x14ac:dyDescent="0.3">
      <c r="A140" s="46"/>
    </row>
    <row r="141" spans="1:1" x14ac:dyDescent="0.3">
      <c r="A141" s="46"/>
    </row>
    <row r="142" spans="1:1" x14ac:dyDescent="0.3">
      <c r="A142" s="46"/>
    </row>
    <row r="143" spans="1:1" x14ac:dyDescent="0.3">
      <c r="A143" s="46"/>
    </row>
    <row r="144" spans="1:1" x14ac:dyDescent="0.3">
      <c r="A144" s="46"/>
    </row>
    <row r="145" spans="1:11" x14ac:dyDescent="0.3">
      <c r="A145" s="46"/>
    </row>
    <row r="146" spans="1:11" x14ac:dyDescent="0.3">
      <c r="A146" s="46"/>
    </row>
    <row r="147" spans="1:11" x14ac:dyDescent="0.3">
      <c r="A147" s="46"/>
    </row>
    <row r="148" spans="1:11" x14ac:dyDescent="0.3">
      <c r="A148" s="46"/>
    </row>
    <row r="149" spans="1:11" x14ac:dyDescent="0.3">
      <c r="A149" s="46"/>
    </row>
    <row r="150" spans="1:11" x14ac:dyDescent="0.3">
      <c r="A150" s="46"/>
      <c r="K150" s="49"/>
    </row>
    <row r="151" spans="1:11" x14ac:dyDescent="0.3">
      <c r="A151" s="46"/>
    </row>
    <row r="152" spans="1:11" x14ac:dyDescent="0.3">
      <c r="A152" s="46"/>
    </row>
    <row r="153" spans="1:11" x14ac:dyDescent="0.3">
      <c r="A153" s="46"/>
    </row>
    <row r="154" spans="1:11" x14ac:dyDescent="0.3">
      <c r="A154" s="46"/>
      <c r="K154" s="49"/>
    </row>
    <row r="155" spans="1:11" x14ac:dyDescent="0.3">
      <c r="A155" s="46"/>
    </row>
    <row r="156" spans="1:11" x14ac:dyDescent="0.3">
      <c r="A156" s="46"/>
    </row>
    <row r="157" spans="1:11" x14ac:dyDescent="0.3">
      <c r="A157" s="46"/>
    </row>
    <row r="158" spans="1:11" x14ac:dyDescent="0.3">
      <c r="A158" s="46"/>
    </row>
    <row r="159" spans="1:11" x14ac:dyDescent="0.3">
      <c r="A159" s="46"/>
    </row>
    <row r="160" spans="1:11" x14ac:dyDescent="0.3">
      <c r="A160" s="46"/>
    </row>
    <row r="161" spans="1:1" x14ac:dyDescent="0.3">
      <c r="A161" s="46"/>
    </row>
    <row r="162" spans="1:1" x14ac:dyDescent="0.3">
      <c r="A162" s="46"/>
    </row>
    <row r="163" spans="1:1" x14ac:dyDescent="0.3">
      <c r="A163" s="46"/>
    </row>
    <row r="164" spans="1:1" x14ac:dyDescent="0.3">
      <c r="A164" s="46"/>
    </row>
    <row r="165" spans="1:1" x14ac:dyDescent="0.3">
      <c r="A165" s="46"/>
    </row>
    <row r="166" spans="1:1" x14ac:dyDescent="0.3">
      <c r="A166" s="46"/>
    </row>
    <row r="167" spans="1:1" x14ac:dyDescent="0.3">
      <c r="A167" s="46"/>
    </row>
    <row r="168" spans="1:1" x14ac:dyDescent="0.3">
      <c r="A168" s="46"/>
    </row>
    <row r="169" spans="1:1" x14ac:dyDescent="0.3">
      <c r="A169" s="46"/>
    </row>
    <row r="170" spans="1:1" x14ac:dyDescent="0.3">
      <c r="A170" s="46"/>
    </row>
    <row r="171" spans="1:1" x14ac:dyDescent="0.3">
      <c r="A171" s="46"/>
    </row>
    <row r="172" spans="1:1" x14ac:dyDescent="0.3">
      <c r="A172" s="46"/>
    </row>
    <row r="173" spans="1:1" x14ac:dyDescent="0.3">
      <c r="A173" s="46"/>
    </row>
    <row r="174" spans="1:1" x14ac:dyDescent="0.3">
      <c r="A174" s="46"/>
    </row>
    <row r="175" spans="1:1" x14ac:dyDescent="0.3">
      <c r="A175" s="46"/>
    </row>
    <row r="176" spans="1:1" x14ac:dyDescent="0.3">
      <c r="A176" s="46"/>
    </row>
    <row r="177" spans="1:11" x14ac:dyDescent="0.3">
      <c r="A177" s="46"/>
    </row>
    <row r="178" spans="1:11" x14ac:dyDescent="0.3">
      <c r="A178" s="46"/>
    </row>
    <row r="179" spans="1:11" x14ac:dyDescent="0.3">
      <c r="A179" s="46"/>
    </row>
    <row r="180" spans="1:11" x14ac:dyDescent="0.3">
      <c r="A180" s="46"/>
    </row>
    <row r="181" spans="1:11" x14ac:dyDescent="0.3">
      <c r="A181" s="46"/>
      <c r="K181" s="49"/>
    </row>
    <row r="182" spans="1:11" x14ac:dyDescent="0.3">
      <c r="A182" s="46"/>
    </row>
    <row r="183" spans="1:11" x14ac:dyDescent="0.3">
      <c r="A183" s="46"/>
    </row>
    <row r="184" spans="1:11" x14ac:dyDescent="0.3">
      <c r="A184" s="46"/>
    </row>
    <row r="185" spans="1:11" x14ac:dyDescent="0.3">
      <c r="A185" s="46"/>
    </row>
    <row r="186" spans="1:11" x14ac:dyDescent="0.3">
      <c r="A186" s="46"/>
    </row>
    <row r="187" spans="1:11" x14ac:dyDescent="0.3">
      <c r="A187" s="46"/>
    </row>
    <row r="188" spans="1:11" x14ac:dyDescent="0.3">
      <c r="A188" s="46"/>
    </row>
    <row r="189" spans="1:11" x14ac:dyDescent="0.3">
      <c r="A189" s="46"/>
    </row>
    <row r="190" spans="1:11" x14ac:dyDescent="0.3">
      <c r="A190" s="46"/>
    </row>
    <row r="191" spans="1:11" x14ac:dyDescent="0.3">
      <c r="A191" s="46"/>
    </row>
    <row r="192" spans="1:11" x14ac:dyDescent="0.3">
      <c r="A192" s="46"/>
    </row>
    <row r="193" spans="1:11" x14ac:dyDescent="0.3">
      <c r="A193" s="46"/>
    </row>
    <row r="194" spans="1:11" x14ac:dyDescent="0.3">
      <c r="A194" s="46"/>
    </row>
    <row r="195" spans="1:11" x14ac:dyDescent="0.3">
      <c r="A195" s="46"/>
    </row>
    <row r="196" spans="1:11" x14ac:dyDescent="0.3">
      <c r="A196" s="46"/>
    </row>
    <row r="197" spans="1:11" x14ac:dyDescent="0.3">
      <c r="A197" s="46"/>
    </row>
    <row r="198" spans="1:11" x14ac:dyDescent="0.3">
      <c r="A198" s="46"/>
    </row>
    <row r="199" spans="1:11" x14ac:dyDescent="0.3">
      <c r="A199" s="46"/>
    </row>
    <row r="200" spans="1:11" x14ac:dyDescent="0.3">
      <c r="A200" s="46"/>
    </row>
    <row r="201" spans="1:11" x14ac:dyDescent="0.3">
      <c r="A201" s="46"/>
    </row>
    <row r="202" spans="1:11" x14ac:dyDescent="0.3">
      <c r="A202" s="46"/>
    </row>
    <row r="203" spans="1:11" x14ac:dyDescent="0.3">
      <c r="A203" s="46"/>
      <c r="K203" s="49"/>
    </row>
    <row r="204" spans="1:11" x14ac:dyDescent="0.3">
      <c r="A204" s="46"/>
    </row>
    <row r="205" spans="1:11" x14ac:dyDescent="0.3">
      <c r="A205" s="46"/>
    </row>
    <row r="206" spans="1:11" x14ac:dyDescent="0.3">
      <c r="A206" s="46"/>
    </row>
    <row r="207" spans="1:11" x14ac:dyDescent="0.3">
      <c r="A207" s="46"/>
    </row>
    <row r="208" spans="1:11" x14ac:dyDescent="0.3">
      <c r="A208" s="46"/>
    </row>
    <row r="209" spans="1:1" x14ac:dyDescent="0.3">
      <c r="A209" s="46"/>
    </row>
    <row r="210" spans="1:1" x14ac:dyDescent="0.3">
      <c r="A210" s="46"/>
    </row>
    <row r="211" spans="1:1" x14ac:dyDescent="0.3">
      <c r="A211" s="46"/>
    </row>
    <row r="212" spans="1:1" x14ac:dyDescent="0.3">
      <c r="A212" s="46"/>
    </row>
    <row r="213" spans="1:1" x14ac:dyDescent="0.3">
      <c r="A213" s="46"/>
    </row>
    <row r="214" spans="1:1" x14ac:dyDescent="0.3">
      <c r="A214" s="46"/>
    </row>
    <row r="215" spans="1:1" x14ac:dyDescent="0.3">
      <c r="A215" s="46"/>
    </row>
    <row r="216" spans="1:1" x14ac:dyDescent="0.3">
      <c r="A216" s="46"/>
    </row>
    <row r="217" spans="1:1" x14ac:dyDescent="0.3">
      <c r="A217" s="46"/>
    </row>
    <row r="218" spans="1:1" x14ac:dyDescent="0.3">
      <c r="A218" s="46"/>
    </row>
    <row r="219" spans="1:1" x14ac:dyDescent="0.3">
      <c r="A219" s="46"/>
    </row>
    <row r="220" spans="1:1" x14ac:dyDescent="0.3">
      <c r="A220" s="46"/>
    </row>
    <row r="221" spans="1:1" x14ac:dyDescent="0.3">
      <c r="A221" s="46"/>
    </row>
    <row r="222" spans="1:1" x14ac:dyDescent="0.3">
      <c r="A222" s="46"/>
    </row>
    <row r="223" spans="1:1" x14ac:dyDescent="0.3">
      <c r="A223" s="46"/>
    </row>
    <row r="224" spans="1:1" x14ac:dyDescent="0.3">
      <c r="A224" s="46"/>
    </row>
    <row r="225" spans="1:1" x14ac:dyDescent="0.3">
      <c r="A225" s="46"/>
    </row>
    <row r="226" spans="1:1" x14ac:dyDescent="0.3">
      <c r="A226" s="46"/>
    </row>
    <row r="227" spans="1:1" x14ac:dyDescent="0.3">
      <c r="A227" s="46"/>
    </row>
    <row r="228" spans="1:1" x14ac:dyDescent="0.3">
      <c r="A228" s="46"/>
    </row>
    <row r="229" spans="1:1" x14ac:dyDescent="0.3">
      <c r="A229" s="46"/>
    </row>
    <row r="230" spans="1:1" x14ac:dyDescent="0.3">
      <c r="A230" s="46"/>
    </row>
    <row r="231" spans="1:1" x14ac:dyDescent="0.3">
      <c r="A231" s="46"/>
    </row>
    <row r="232" spans="1:1" x14ac:dyDescent="0.3">
      <c r="A232" s="46"/>
    </row>
    <row r="233" spans="1:1" x14ac:dyDescent="0.3">
      <c r="A233" s="46"/>
    </row>
    <row r="234" spans="1:1" x14ac:dyDescent="0.3">
      <c r="A234" s="46"/>
    </row>
    <row r="235" spans="1:1" x14ac:dyDescent="0.3">
      <c r="A235" s="46"/>
    </row>
    <row r="236" spans="1:1" x14ac:dyDescent="0.3">
      <c r="A236" s="46"/>
    </row>
    <row r="237" spans="1:1" x14ac:dyDescent="0.3">
      <c r="A237" s="46"/>
    </row>
    <row r="238" spans="1:1" x14ac:dyDescent="0.3">
      <c r="A238" s="46"/>
    </row>
    <row r="239" spans="1:1" x14ac:dyDescent="0.3">
      <c r="A239" s="46"/>
    </row>
    <row r="240" spans="1:1" x14ac:dyDescent="0.3">
      <c r="A240" s="46"/>
    </row>
    <row r="241" spans="1:1" x14ac:dyDescent="0.3">
      <c r="A241" s="46"/>
    </row>
    <row r="242" spans="1:1" x14ac:dyDescent="0.3">
      <c r="A242" s="46"/>
    </row>
    <row r="243" spans="1:1" x14ac:dyDescent="0.3">
      <c r="A243" s="46"/>
    </row>
    <row r="244" spans="1:1" x14ac:dyDescent="0.3">
      <c r="A244" s="46"/>
    </row>
    <row r="245" spans="1:1" x14ac:dyDescent="0.3">
      <c r="A245" s="46"/>
    </row>
    <row r="246" spans="1:1" x14ac:dyDescent="0.3">
      <c r="A246" s="46"/>
    </row>
    <row r="247" spans="1:1" x14ac:dyDescent="0.3">
      <c r="A247" s="46"/>
    </row>
    <row r="248" spans="1:1" x14ac:dyDescent="0.3">
      <c r="A248" s="46"/>
    </row>
    <row r="249" spans="1:1" x14ac:dyDescent="0.3">
      <c r="A249" s="46"/>
    </row>
    <row r="250" spans="1:1" x14ac:dyDescent="0.3">
      <c r="A250" s="46"/>
    </row>
    <row r="251" spans="1:1" x14ac:dyDescent="0.3">
      <c r="A251" s="46"/>
    </row>
    <row r="252" spans="1:1" x14ac:dyDescent="0.3">
      <c r="A252" s="46"/>
    </row>
    <row r="253" spans="1:1" x14ac:dyDescent="0.3">
      <c r="A253" s="46"/>
    </row>
    <row r="254" spans="1:1" x14ac:dyDescent="0.3">
      <c r="A254" s="46"/>
    </row>
    <row r="255" spans="1:1" x14ac:dyDescent="0.3">
      <c r="A255" s="46"/>
    </row>
    <row r="256" spans="1:1" x14ac:dyDescent="0.3">
      <c r="A256" s="46"/>
    </row>
    <row r="257" spans="1:1" x14ac:dyDescent="0.3">
      <c r="A257" s="46"/>
    </row>
    <row r="258" spans="1:1" x14ac:dyDescent="0.3">
      <c r="A258" s="46"/>
    </row>
    <row r="259" spans="1:1" x14ac:dyDescent="0.3">
      <c r="A259" s="46"/>
    </row>
    <row r="260" spans="1:1" x14ac:dyDescent="0.3">
      <c r="A260" s="46"/>
    </row>
    <row r="261" spans="1:1" x14ac:dyDescent="0.3">
      <c r="A261" s="46"/>
    </row>
    <row r="262" spans="1:1" x14ac:dyDescent="0.3">
      <c r="A262" s="46"/>
    </row>
    <row r="263" spans="1:1" x14ac:dyDescent="0.3">
      <c r="A263" s="46"/>
    </row>
    <row r="264" spans="1:1" x14ac:dyDescent="0.3">
      <c r="A264" s="46"/>
    </row>
    <row r="265" spans="1:1" x14ac:dyDescent="0.3">
      <c r="A265" s="46"/>
    </row>
    <row r="266" spans="1:1" x14ac:dyDescent="0.3">
      <c r="A266" s="46"/>
    </row>
    <row r="267" spans="1:1" x14ac:dyDescent="0.3">
      <c r="A267" s="46"/>
    </row>
    <row r="268" spans="1:1" x14ac:dyDescent="0.3">
      <c r="A268" s="46"/>
    </row>
    <row r="269" spans="1:1" x14ac:dyDescent="0.3">
      <c r="A269" s="46"/>
    </row>
    <row r="270" spans="1:1" x14ac:dyDescent="0.3">
      <c r="A270" s="46"/>
    </row>
    <row r="271" spans="1:1" x14ac:dyDescent="0.3">
      <c r="A271" s="46"/>
    </row>
    <row r="272" spans="1:1" x14ac:dyDescent="0.3">
      <c r="A272" s="46"/>
    </row>
    <row r="273" spans="1:1" x14ac:dyDescent="0.3">
      <c r="A273" s="46"/>
    </row>
    <row r="274" spans="1:1" x14ac:dyDescent="0.3">
      <c r="A274" s="46"/>
    </row>
    <row r="275" spans="1:1" x14ac:dyDescent="0.3">
      <c r="A275" s="46"/>
    </row>
    <row r="276" spans="1:1" x14ac:dyDescent="0.3">
      <c r="A276" s="46"/>
    </row>
    <row r="277" spans="1:1" x14ac:dyDescent="0.3">
      <c r="A277" s="46"/>
    </row>
    <row r="278" spans="1:1" x14ac:dyDescent="0.3">
      <c r="A278" s="46"/>
    </row>
    <row r="279" spans="1:1" x14ac:dyDescent="0.3">
      <c r="A279" s="46"/>
    </row>
    <row r="280" spans="1:1" x14ac:dyDescent="0.3">
      <c r="A280" s="46"/>
    </row>
    <row r="281" spans="1:1" x14ac:dyDescent="0.3">
      <c r="A281" s="46"/>
    </row>
    <row r="282" spans="1:1" x14ac:dyDescent="0.3">
      <c r="A282" s="46"/>
    </row>
    <row r="283" spans="1:1" x14ac:dyDescent="0.3">
      <c r="A283" s="46"/>
    </row>
    <row r="284" spans="1:1" x14ac:dyDescent="0.3">
      <c r="A284" s="46"/>
    </row>
    <row r="285" spans="1:1" x14ac:dyDescent="0.3">
      <c r="A285" s="46"/>
    </row>
    <row r="286" spans="1:1" x14ac:dyDescent="0.3">
      <c r="A286" s="46"/>
    </row>
    <row r="287" spans="1:1" x14ac:dyDescent="0.3">
      <c r="A287" s="46"/>
    </row>
    <row r="288" spans="1:1" x14ac:dyDescent="0.3">
      <c r="A288" s="46"/>
    </row>
    <row r="289" spans="1:1" x14ac:dyDescent="0.3">
      <c r="A289" s="46"/>
    </row>
    <row r="290" spans="1:1" x14ac:dyDescent="0.3">
      <c r="A290" s="46"/>
    </row>
    <row r="291" spans="1:1" x14ac:dyDescent="0.3">
      <c r="A291" s="46"/>
    </row>
    <row r="292" spans="1:1" x14ac:dyDescent="0.3">
      <c r="A292" s="46"/>
    </row>
    <row r="293" spans="1:1" x14ac:dyDescent="0.3">
      <c r="A293" s="46"/>
    </row>
    <row r="294" spans="1:1" x14ac:dyDescent="0.3">
      <c r="A294" s="46"/>
    </row>
    <row r="295" spans="1:1" x14ac:dyDescent="0.3">
      <c r="A295" s="46"/>
    </row>
    <row r="296" spans="1:1" x14ac:dyDescent="0.3">
      <c r="A296" s="46"/>
    </row>
    <row r="297" spans="1:1" x14ac:dyDescent="0.3">
      <c r="A297" s="46"/>
    </row>
    <row r="298" spans="1:1" x14ac:dyDescent="0.3">
      <c r="A298" s="46"/>
    </row>
    <row r="299" spans="1:1" x14ac:dyDescent="0.3">
      <c r="A299" s="46"/>
    </row>
    <row r="300" spans="1:1" x14ac:dyDescent="0.3">
      <c r="A300" s="46"/>
    </row>
    <row r="301" spans="1:1" x14ac:dyDescent="0.3">
      <c r="A301" s="46"/>
    </row>
    <row r="302" spans="1:1" x14ac:dyDescent="0.3">
      <c r="A302" s="46"/>
    </row>
    <row r="303" spans="1:1" x14ac:dyDescent="0.3">
      <c r="A303" s="46"/>
    </row>
    <row r="304" spans="1:1" x14ac:dyDescent="0.3">
      <c r="A304" s="46"/>
    </row>
    <row r="305" spans="1:1" x14ac:dyDescent="0.3">
      <c r="A305" s="46"/>
    </row>
    <row r="306" spans="1:1" x14ac:dyDescent="0.3">
      <c r="A306" s="46"/>
    </row>
    <row r="307" spans="1:1" x14ac:dyDescent="0.3">
      <c r="A307" s="46"/>
    </row>
    <row r="308" spans="1:1" x14ac:dyDescent="0.3">
      <c r="A308" s="46"/>
    </row>
    <row r="309" spans="1:1" x14ac:dyDescent="0.3">
      <c r="A309" s="46"/>
    </row>
    <row r="310" spans="1:1" x14ac:dyDescent="0.3">
      <c r="A310" s="46"/>
    </row>
    <row r="311" spans="1:1" x14ac:dyDescent="0.3">
      <c r="A311" s="46"/>
    </row>
    <row r="312" spans="1:1" x14ac:dyDescent="0.3">
      <c r="A312" s="46"/>
    </row>
    <row r="313" spans="1:1" x14ac:dyDescent="0.3">
      <c r="A313" s="46"/>
    </row>
    <row r="314" spans="1:1" x14ac:dyDescent="0.3">
      <c r="A314" s="46"/>
    </row>
    <row r="315" spans="1:1" x14ac:dyDescent="0.3">
      <c r="A315" s="46"/>
    </row>
    <row r="316" spans="1:1" x14ac:dyDescent="0.3">
      <c r="A316" s="46"/>
    </row>
    <row r="317" spans="1:1" x14ac:dyDescent="0.3">
      <c r="A317" s="46"/>
    </row>
    <row r="318" spans="1:1" x14ac:dyDescent="0.3">
      <c r="A318" s="46"/>
    </row>
    <row r="319" spans="1:1" x14ac:dyDescent="0.3">
      <c r="A319" s="46"/>
    </row>
    <row r="320" spans="1:1" x14ac:dyDescent="0.3">
      <c r="A320" s="46"/>
    </row>
    <row r="321" spans="1:1" x14ac:dyDescent="0.3">
      <c r="A321" s="46"/>
    </row>
    <row r="322" spans="1:1" x14ac:dyDescent="0.3">
      <c r="A322" s="46"/>
    </row>
    <row r="323" spans="1:1" x14ac:dyDescent="0.3">
      <c r="A323" s="46"/>
    </row>
    <row r="324" spans="1:1" x14ac:dyDescent="0.3">
      <c r="A324" s="46"/>
    </row>
    <row r="325" spans="1:1" x14ac:dyDescent="0.3">
      <c r="A325" s="46"/>
    </row>
    <row r="326" spans="1:1" x14ac:dyDescent="0.3">
      <c r="A326" s="46"/>
    </row>
    <row r="327" spans="1:1" x14ac:dyDescent="0.3">
      <c r="A327" s="46"/>
    </row>
    <row r="328" spans="1:1" x14ac:dyDescent="0.3">
      <c r="A328" s="46"/>
    </row>
    <row r="329" spans="1:1" x14ac:dyDescent="0.3">
      <c r="A329" s="46"/>
    </row>
    <row r="330" spans="1:1" x14ac:dyDescent="0.3">
      <c r="A330" s="46"/>
    </row>
    <row r="331" spans="1:1" x14ac:dyDescent="0.3">
      <c r="A331" s="46"/>
    </row>
    <row r="332" spans="1:1" x14ac:dyDescent="0.3">
      <c r="A332" s="46"/>
    </row>
    <row r="333" spans="1:1" x14ac:dyDescent="0.3">
      <c r="A333" s="46"/>
    </row>
    <row r="334" spans="1:1" x14ac:dyDescent="0.3">
      <c r="A334" s="46"/>
    </row>
    <row r="335" spans="1:1" x14ac:dyDescent="0.3">
      <c r="A335" s="46"/>
    </row>
    <row r="336" spans="1:1" x14ac:dyDescent="0.3">
      <c r="A336" s="46"/>
    </row>
    <row r="337" spans="1:1" x14ac:dyDescent="0.3">
      <c r="A337" s="46"/>
    </row>
    <row r="338" spans="1:1" x14ac:dyDescent="0.3">
      <c r="A338" s="46"/>
    </row>
    <row r="339" spans="1:1" x14ac:dyDescent="0.3">
      <c r="A339" s="46"/>
    </row>
    <row r="340" spans="1:1" x14ac:dyDescent="0.3">
      <c r="A340" s="46"/>
    </row>
    <row r="341" spans="1:1" x14ac:dyDescent="0.3">
      <c r="A341" s="46"/>
    </row>
    <row r="342" spans="1:1" x14ac:dyDescent="0.3">
      <c r="A342" s="46"/>
    </row>
    <row r="343" spans="1:1" x14ac:dyDescent="0.3">
      <c r="A343" s="46"/>
    </row>
    <row r="344" spans="1:1" x14ac:dyDescent="0.3">
      <c r="A344" s="46"/>
    </row>
    <row r="345" spans="1:1" x14ac:dyDescent="0.3">
      <c r="A345" s="46"/>
    </row>
    <row r="346" spans="1:1" x14ac:dyDescent="0.3">
      <c r="A346" s="46"/>
    </row>
    <row r="347" spans="1:1" x14ac:dyDescent="0.3">
      <c r="A347" s="46"/>
    </row>
    <row r="348" spans="1:1" x14ac:dyDescent="0.3">
      <c r="A348" s="46"/>
    </row>
    <row r="349" spans="1:1" x14ac:dyDescent="0.3">
      <c r="A349" s="46"/>
    </row>
    <row r="350" spans="1:1" x14ac:dyDescent="0.3">
      <c r="A350" s="46"/>
    </row>
    <row r="351" spans="1:1" x14ac:dyDescent="0.3">
      <c r="A351" s="46"/>
    </row>
    <row r="352" spans="1:1" x14ac:dyDescent="0.3">
      <c r="A352" s="46"/>
    </row>
    <row r="353" spans="1:1" x14ac:dyDescent="0.3">
      <c r="A353" s="46"/>
    </row>
    <row r="354" spans="1:1" x14ac:dyDescent="0.3">
      <c r="A354" s="46"/>
    </row>
    <row r="355" spans="1:1" x14ac:dyDescent="0.3">
      <c r="A355" s="46"/>
    </row>
    <row r="356" spans="1:1" x14ac:dyDescent="0.3">
      <c r="A356" s="46"/>
    </row>
    <row r="357" spans="1:1" x14ac:dyDescent="0.3">
      <c r="A357" s="46"/>
    </row>
    <row r="358" spans="1:1" x14ac:dyDescent="0.3">
      <c r="A358" s="46"/>
    </row>
    <row r="359" spans="1:1" x14ac:dyDescent="0.3">
      <c r="A359" s="46"/>
    </row>
    <row r="360" spans="1:1" x14ac:dyDescent="0.3">
      <c r="A360" s="46"/>
    </row>
    <row r="361" spans="1:1" x14ac:dyDescent="0.3">
      <c r="A361" s="46"/>
    </row>
    <row r="362" spans="1:1" x14ac:dyDescent="0.3">
      <c r="A362" s="46"/>
    </row>
    <row r="363" spans="1:1" x14ac:dyDescent="0.3">
      <c r="A363" s="46"/>
    </row>
    <row r="364" spans="1:1" x14ac:dyDescent="0.3">
      <c r="A364" s="46"/>
    </row>
    <row r="365" spans="1:1" x14ac:dyDescent="0.3">
      <c r="A365" s="46"/>
    </row>
    <row r="366" spans="1:1" x14ac:dyDescent="0.3">
      <c r="A366" s="46"/>
    </row>
    <row r="367" spans="1:1" x14ac:dyDescent="0.3">
      <c r="A367" s="46"/>
    </row>
    <row r="371" spans="1:26" x14ac:dyDescent="0.3">
      <c r="Z371" s="50"/>
    </row>
    <row r="373" spans="1:26" x14ac:dyDescent="0.3">
      <c r="A373" s="46"/>
    </row>
    <row r="374" spans="1:26" x14ac:dyDescent="0.3">
      <c r="A374" s="46"/>
    </row>
    <row r="375" spans="1:26" x14ac:dyDescent="0.3">
      <c r="A375" s="46"/>
    </row>
    <row r="376" spans="1:26" x14ac:dyDescent="0.3">
      <c r="A376" s="46"/>
    </row>
    <row r="377" spans="1:26" x14ac:dyDescent="0.3">
      <c r="A377" s="46"/>
    </row>
    <row r="378" spans="1:26" x14ac:dyDescent="0.3">
      <c r="A378" s="46"/>
    </row>
    <row r="379" spans="1:26" x14ac:dyDescent="0.3">
      <c r="A379" s="46"/>
    </row>
    <row r="380" spans="1:26" x14ac:dyDescent="0.3">
      <c r="A380" s="46"/>
    </row>
    <row r="381" spans="1:26" x14ac:dyDescent="0.3">
      <c r="A381" s="46"/>
    </row>
    <row r="382" spans="1:26" x14ac:dyDescent="0.3">
      <c r="A382" s="46"/>
    </row>
    <row r="383" spans="1:26" x14ac:dyDescent="0.3">
      <c r="A383" s="46"/>
    </row>
    <row r="384" spans="1:26" x14ac:dyDescent="0.3">
      <c r="A384" s="46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zoomScale="106" workbookViewId="0">
      <selection activeCell="C15" sqref="C15"/>
    </sheetView>
  </sheetViews>
  <sheetFormatPr defaultColWidth="8.796875" defaultRowHeight="15.6" x14ac:dyDescent="0.3"/>
  <cols>
    <col min="1" max="1" width="36.69921875" bestFit="1" customWidth="1"/>
    <col min="2" max="2" width="14.296875" customWidth="1"/>
  </cols>
  <sheetData>
    <row r="1" spans="1:5" x14ac:dyDescent="0.3">
      <c r="A1" s="4" t="s">
        <v>10</v>
      </c>
      <c r="B1" s="4" t="s">
        <v>54</v>
      </c>
      <c r="C1" s="4" t="s">
        <v>240</v>
      </c>
      <c r="D1" s="4" t="s">
        <v>248</v>
      </c>
      <c r="E1" s="4" t="s">
        <v>322</v>
      </c>
    </row>
    <row r="2" spans="1:5" x14ac:dyDescent="0.3">
      <c r="A2" t="s">
        <v>149</v>
      </c>
      <c r="B2" t="s">
        <v>55</v>
      </c>
      <c r="C2">
        <v>3.903</v>
      </c>
    </row>
    <row r="3" spans="1:5" x14ac:dyDescent="0.3">
      <c r="A3" t="s">
        <v>41</v>
      </c>
      <c r="B3" t="s">
        <v>55</v>
      </c>
      <c r="C3">
        <v>1.0840000000000001</v>
      </c>
    </row>
    <row r="4" spans="1:5" x14ac:dyDescent="0.3">
      <c r="A4" t="s">
        <v>42</v>
      </c>
      <c r="B4" t="s">
        <v>55</v>
      </c>
      <c r="C4">
        <v>5.1109999999999998</v>
      </c>
    </row>
    <row r="5" spans="1:5" x14ac:dyDescent="0.3">
      <c r="A5" t="s">
        <v>241</v>
      </c>
      <c r="B5" t="s">
        <v>63</v>
      </c>
      <c r="C5">
        <v>9.4316999999999993</v>
      </c>
      <c r="D5">
        <v>3</v>
      </c>
      <c r="E5">
        <f>C5/D5</f>
        <v>3.1438999999999999</v>
      </c>
    </row>
    <row r="6" spans="1:5" x14ac:dyDescent="0.3">
      <c r="A6" t="s">
        <v>12</v>
      </c>
      <c r="B6" t="s">
        <v>55</v>
      </c>
      <c r="C6">
        <v>2.1587999999999998</v>
      </c>
    </row>
    <row r="7" spans="1:5" x14ac:dyDescent="0.3">
      <c r="A7" t="s">
        <v>198</v>
      </c>
      <c r="B7" t="s">
        <v>55</v>
      </c>
      <c r="C7">
        <v>5.1109999999999998</v>
      </c>
    </row>
    <row r="8" spans="1:5" x14ac:dyDescent="0.3">
      <c r="A8" t="s">
        <v>196</v>
      </c>
      <c r="B8" t="s">
        <v>55</v>
      </c>
      <c r="C8">
        <v>8.2452000000000005</v>
      </c>
    </row>
    <row r="9" spans="1:5" x14ac:dyDescent="0.3">
      <c r="A9" t="s">
        <v>52</v>
      </c>
      <c r="B9" t="s">
        <v>55</v>
      </c>
      <c r="C9">
        <v>17.606000000000002</v>
      </c>
    </row>
    <row r="10" spans="1:5" x14ac:dyDescent="0.3">
      <c r="A10" t="s">
        <v>243</v>
      </c>
      <c r="B10" t="s">
        <v>242</v>
      </c>
      <c r="C10">
        <v>1.05728467753859E-2</v>
      </c>
    </row>
    <row r="11" spans="1:5" x14ac:dyDescent="0.3">
      <c r="A11" t="s">
        <v>244</v>
      </c>
      <c r="B11" t="s">
        <v>242</v>
      </c>
      <c r="C11">
        <v>9.6213667980786705E-2</v>
      </c>
    </row>
    <row r="12" spans="1:5" x14ac:dyDescent="0.3">
      <c r="A12" t="s">
        <v>8</v>
      </c>
      <c r="B12" t="s">
        <v>242</v>
      </c>
      <c r="C12">
        <v>9.7000000000000003E-3</v>
      </c>
    </row>
    <row r="13" spans="1:5" x14ac:dyDescent="0.3">
      <c r="A13" t="s">
        <v>195</v>
      </c>
      <c r="B13" t="s">
        <v>196</v>
      </c>
    </row>
    <row r="14" spans="1:5" x14ac:dyDescent="0.3">
      <c r="A14" t="s">
        <v>193</v>
      </c>
      <c r="B14" t="s">
        <v>55</v>
      </c>
      <c r="C14">
        <v>19.542000000000002</v>
      </c>
    </row>
    <row r="15" spans="1:5" x14ac:dyDescent="0.3">
      <c r="A15" t="s">
        <v>245</v>
      </c>
      <c r="B15" t="s">
        <v>55</v>
      </c>
      <c r="C15">
        <v>2.7930000000000001</v>
      </c>
    </row>
    <row r="16" spans="1:5" x14ac:dyDescent="0.3">
      <c r="A16" t="s">
        <v>46</v>
      </c>
      <c r="B16" t="s">
        <v>55</v>
      </c>
      <c r="C16">
        <v>8.5311000000000003</v>
      </c>
    </row>
    <row r="17" spans="1:3" x14ac:dyDescent="0.3">
      <c r="A17" t="s">
        <v>33</v>
      </c>
      <c r="B17" t="s">
        <v>256</v>
      </c>
      <c r="C17">
        <v>328.9</v>
      </c>
    </row>
    <row r="18" spans="1:3" x14ac:dyDescent="0.3">
      <c r="A18" t="s">
        <v>258</v>
      </c>
      <c r="B18" t="s">
        <v>55</v>
      </c>
      <c r="C18">
        <f>C6</f>
        <v>2.1587999999999998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E6C0FD35418E4DB2C6A0FA7E7D28A0" ma:contentTypeVersion="15" ma:contentTypeDescription="Ein neues Dokument erstellen." ma:contentTypeScope="" ma:versionID="c232105e88c8a05543a4681f03e04c71">
  <xsd:schema xmlns:xsd="http://www.w3.org/2001/XMLSchema" xmlns:xs="http://www.w3.org/2001/XMLSchema" xmlns:p="http://schemas.microsoft.com/office/2006/metadata/properties" xmlns:ns3="2068cce1-3264-4251-a29f-67b145c80d91" xmlns:ns4="5f439ca6-8590-445b-9b79-26347405ae8b" targetNamespace="http://schemas.microsoft.com/office/2006/metadata/properties" ma:root="true" ma:fieldsID="6e1daca3aa6c43374a1f85609ba03a6e" ns3:_="" ns4:_="">
    <xsd:import namespace="2068cce1-3264-4251-a29f-67b145c80d91"/>
    <xsd:import namespace="5f439ca6-8590-445b-9b79-26347405ae8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8cce1-3264-4251-a29f-67b145c80d9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439ca6-8590-445b-9b79-26347405a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439ca6-8590-445b-9b79-26347405ae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D5CE64-2A95-4792-A482-AF1A7ECE80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68cce1-3264-4251-a29f-67b145c80d91"/>
    <ds:schemaRef ds:uri="5f439ca6-8590-445b-9b79-26347405ae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471F3C-5571-4895-A6DB-96EE99E90FAD}">
  <ds:schemaRefs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2068cce1-3264-4251-a29f-67b145c80d91"/>
    <ds:schemaRef ds:uri="http://schemas.microsoft.com/office/infopath/2007/PartnerControls"/>
    <ds:schemaRef ds:uri="5f439ca6-8590-445b-9b79-26347405ae8b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6856D54-EFD9-4133-8263-7219829C9D9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LCA </vt:lpstr>
      <vt:lpstr>Heating</vt:lpstr>
      <vt:lpstr>Cooling</vt:lpstr>
      <vt:lpstr>Ventilation</vt:lpstr>
      <vt:lpstr>Worksheet_Pipes</vt:lpstr>
      <vt:lpstr>Worksheet_Ducts</vt:lpstr>
      <vt:lpstr>operational Energy</vt:lpstr>
      <vt:lpstr>GWP2013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Xiong  Shuyan</cp:lastModifiedBy>
  <dcterms:created xsi:type="dcterms:W3CDTF">2023-04-01T09:51:40Z</dcterms:created>
  <dcterms:modified xsi:type="dcterms:W3CDTF">2024-07-17T15:03:38Z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0x0101005BE6C0FD35418E4DB2C6A0FA7E7D28A0</vt:lpwstr>
  </property>
</Properties>
</file>