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alculations" sheetId="2" r:id="rId5"/>
    <sheet state="visible" name="RatesTable" sheetId="3" r:id="rId6"/>
    <sheet state="visible" name="OrderReport" sheetId="4" r:id="rId7"/>
    <sheet state="visible" name="PincodeZones" sheetId="5" r:id="rId8"/>
    <sheet state="visible" name="Invoice" sheetId="6" r:id="rId9"/>
    <sheet state="visible" name="SKUMaster" sheetId="7" r:id="rId10"/>
    <sheet state="visible" name="Rates" sheetId="8" r:id="rId11"/>
  </sheets>
  <definedNames>
    <definedName hidden="1" localSheetId="5" name="_xlnm._FilterDatabase">Invoice!$A$1:$H$125</definedName>
  </definedNames>
  <calcPr/>
</workbook>
</file>

<file path=xl/sharedStrings.xml><?xml version="1.0" encoding="utf-8"?>
<sst xmlns="http://schemas.openxmlformats.org/spreadsheetml/2006/main" count="2354" uniqueCount="554">
  <si>
    <t>Count</t>
  </si>
  <si>
    <t>Amount</t>
  </si>
  <si>
    <t>Total Orders - Correctly Charged</t>
  </si>
  <si>
    <t>Total Orders - Over Charged</t>
  </si>
  <si>
    <t>Total Orders - Under Charged</t>
  </si>
  <si>
    <t>Order No</t>
  </si>
  <si>
    <t>AWB Code</t>
  </si>
  <si>
    <t>Warehouse Pincode</t>
  </si>
  <si>
    <t>Customer Pincode</t>
  </si>
  <si>
    <t>Type of Shipment</t>
  </si>
  <si>
    <t>Forward Charges Applicable</t>
  </si>
  <si>
    <t>Fwd</t>
  </si>
  <si>
    <t>RTO Charges Applicable</t>
  </si>
  <si>
    <t>RTO</t>
  </si>
  <si>
    <t>Total weight as per X (G)</t>
  </si>
  <si>
    <t>Total weight as per X (KG)</t>
  </si>
  <si>
    <t>Weight slab as per X (G)</t>
  </si>
  <si>
    <t>Weight slab as per X (KG)</t>
  </si>
  <si>
    <t>Delivery Zone as per X</t>
  </si>
  <si>
    <t>Forward_fixed _charges(X)</t>
  </si>
  <si>
    <t>Forward_additional_charges(X)</t>
  </si>
  <si>
    <t>RTO_Fixed_Charges(X)</t>
  </si>
  <si>
    <t>RTO_additional_Charges(X)</t>
  </si>
  <si>
    <t>Expected_charge as per X (Rs)</t>
  </si>
  <si>
    <t>Total weight as per Courier Company (KG)</t>
  </si>
  <si>
    <t>Total weight as per Courier Company (G)</t>
  </si>
  <si>
    <t>Weight slab charged by Courier Company (KG)</t>
  </si>
  <si>
    <t>Delivery Zone charged by Courier Company</t>
  </si>
  <si>
    <t xml:space="preserve">Charges Billed by Courier Company (Rs.) </t>
  </si>
  <si>
    <t>Difference Between Expected Charges and Billed Charges (Rs.)</t>
  </si>
  <si>
    <t>Discount Applied (%)</t>
  </si>
  <si>
    <t>Net Forward Charges per KG (Rs./KG)</t>
  </si>
  <si>
    <t>Net RTO Charges per KG (Rs./KG)</t>
  </si>
  <si>
    <t>description</t>
  </si>
  <si>
    <t>chargetype</t>
  </si>
  <si>
    <t>zone</t>
  </si>
  <si>
    <t>fixed_or_additional</t>
  </si>
  <si>
    <t>rate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</si>
  <si>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</si>
  <si>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</si>
  <si>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</si>
  <si>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</si>
  <si>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</si>
  <si>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</si>
  <si>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</si>
  <si>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</si>
  <si>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</si>
  <si>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</si>
  <si>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</si>
  <si>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</si>
  <si>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</si>
  <si>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</si>
  <si>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</si>
  <si>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</si>
  <si>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</si>
  <si>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</si>
  <si>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</si>
  <si>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</si>
  <si>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ExternOrderNo</t>
  </si>
  <si>
    <t>SKU</t>
  </si>
  <si>
    <t>Order Qty</t>
  </si>
  <si>
    <t>Per SKU Weight (G)</t>
  </si>
  <si>
    <t>SKU Weight (G) (Qty * Per SKU Weight)</t>
  </si>
  <si>
    <t>2001827036</t>
  </si>
  <si>
    <t>8904223818706</t>
  </si>
  <si>
    <t>1.00</t>
  </si>
  <si>
    <t>8904223819093</t>
  </si>
  <si>
    <t>8904223819109</t>
  </si>
  <si>
    <t>8904223818430</t>
  </si>
  <si>
    <t>8904223819277</t>
  </si>
  <si>
    <t>GIFTBOX202002</t>
  </si>
  <si>
    <t>8904223818638</t>
  </si>
  <si>
    <t>2.00</t>
  </si>
  <si>
    <t>SACHETS001</t>
  </si>
  <si>
    <t>2001825261</t>
  </si>
  <si>
    <t>8904223819024</t>
  </si>
  <si>
    <t>4.00</t>
  </si>
  <si>
    <t>8904223819291</t>
  </si>
  <si>
    <t>3.00</t>
  </si>
  <si>
    <t>8904223818669</t>
  </si>
  <si>
    <t>2001823564</t>
  </si>
  <si>
    <t>8904223819031</t>
  </si>
  <si>
    <t>2001822466</t>
  </si>
  <si>
    <t>8904223819468</t>
  </si>
  <si>
    <t>8.00</t>
  </si>
  <si>
    <t>2001821995</t>
  </si>
  <si>
    <t>8904223819130</t>
  </si>
  <si>
    <t>2001821766</t>
  </si>
  <si>
    <t>8904223818591</t>
  </si>
  <si>
    <t>2001821750</t>
  </si>
  <si>
    <t>8904223818850</t>
  </si>
  <si>
    <t>2001821742</t>
  </si>
  <si>
    <t>2001821679</t>
  </si>
  <si>
    <t>2001821502</t>
  </si>
  <si>
    <t>8904223818980</t>
  </si>
  <si>
    <t>2001821284</t>
  </si>
  <si>
    <t>8904223818614</t>
  </si>
  <si>
    <t>2001821190</t>
  </si>
  <si>
    <t>8904223819321</t>
  </si>
  <si>
    <t>8904223819338</t>
  </si>
  <si>
    <t>2001821185</t>
  </si>
  <si>
    <t>8904223818942</t>
  </si>
  <si>
    <t>8904223818683</t>
  </si>
  <si>
    <t>8904223819239</t>
  </si>
  <si>
    <t>8904223819246</t>
  </si>
  <si>
    <t>8904223819253</t>
  </si>
  <si>
    <t>8904223819147</t>
  </si>
  <si>
    <t>2001820978</t>
  </si>
  <si>
    <t>8904223815859</t>
  </si>
  <si>
    <t>8904223817501</t>
  </si>
  <si>
    <t>2001820690</t>
  </si>
  <si>
    <t>8904223817273</t>
  </si>
  <si>
    <t>2001819252</t>
  </si>
  <si>
    <t>2001818390</t>
  </si>
  <si>
    <t>8904223818935</t>
  </si>
  <si>
    <t>2001817160</t>
  </si>
  <si>
    <t>8904223818478</t>
  </si>
  <si>
    <t>8904223819284</t>
  </si>
  <si>
    <t>2001817093</t>
  </si>
  <si>
    <t>8904223816214</t>
  </si>
  <si>
    <t>8904223818874</t>
  </si>
  <si>
    <t>8904223819512</t>
  </si>
  <si>
    <t>8904223818881</t>
  </si>
  <si>
    <t>8904223818553</t>
  </si>
  <si>
    <t>2001816996</t>
  </si>
  <si>
    <t>2001816684</t>
  </si>
  <si>
    <t>2001816131</t>
  </si>
  <si>
    <t>8904223816665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</si>
  <si>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</si>
  <si>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</si>
  <si>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</si>
  <si>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</si>
  <si>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</si>
  <si>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</si>
  <si>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</si>
  <si>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</si>
  <si>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8904223819017</t>
  </si>
  <si>
    <t>2001812195</t>
  </si>
  <si>
    <t>2001811809</t>
  </si>
  <si>
    <t>2001811604</t>
  </si>
  <si>
    <t>2001811475</t>
  </si>
  <si>
    <t>8904223819499</t>
  </si>
  <si>
    <t>2001811466</t>
  </si>
  <si>
    <t>2001811363</t>
  </si>
  <si>
    <t>8904223818751</t>
  </si>
  <si>
    <t>8904223815873</t>
  </si>
  <si>
    <t>2001811306</t>
  </si>
  <si>
    <t>8904223819352</t>
  </si>
  <si>
    <t>8904223819543</t>
  </si>
  <si>
    <t>2001811305</t>
  </si>
  <si>
    <t>8904223819505</t>
  </si>
  <si>
    <t>2001811229</t>
  </si>
  <si>
    <t>8904223819345</t>
  </si>
  <si>
    <t>2001811192</t>
  </si>
  <si>
    <t>2001811153</t>
  </si>
  <si>
    <t>2001811058</t>
  </si>
  <si>
    <t>2001811039</t>
  </si>
  <si>
    <t>2001810697</t>
  </si>
  <si>
    <t>2001810549</t>
  </si>
  <si>
    <t>8904223818454</t>
  </si>
  <si>
    <t>2001810281</t>
  </si>
  <si>
    <t>2001810125</t>
  </si>
  <si>
    <t>2001810104</t>
  </si>
  <si>
    <t>2001809934</t>
  </si>
  <si>
    <t>2001809917</t>
  </si>
  <si>
    <t>2001809820</t>
  </si>
  <si>
    <t>8904223818898</t>
  </si>
  <si>
    <t>2001809794</t>
  </si>
  <si>
    <t>GIFTBOX202004</t>
  </si>
  <si>
    <t>8904223819116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</si>
  <si>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</si>
  <si>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</si>
  <si>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</si>
  <si>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</si>
  <si>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</si>
  <si>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</si>
  <si>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</si>
  <si>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</si>
  <si>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8904223815866</t>
  </si>
  <si>
    <t>8904223815682</t>
  </si>
  <si>
    <t>2001808739</t>
  </si>
  <si>
    <t>2001808679</t>
  </si>
  <si>
    <t>2001808675</t>
  </si>
  <si>
    <t>8904223817334</t>
  </si>
  <si>
    <t>GIFTBOX202001</t>
  </si>
  <si>
    <t>8904223819369</t>
  </si>
  <si>
    <t>2001808585</t>
  </si>
  <si>
    <t>2001808542</t>
  </si>
  <si>
    <t>2001808507</t>
  </si>
  <si>
    <t>2001808475</t>
  </si>
  <si>
    <t>2001808295</t>
  </si>
  <si>
    <t>8904223819161</t>
  </si>
  <si>
    <t>8904223819260</t>
  </si>
  <si>
    <t>2001808286</t>
  </si>
  <si>
    <t>2001808207</t>
  </si>
  <si>
    <t>2001808118</t>
  </si>
  <si>
    <t>2001808102</t>
  </si>
  <si>
    <t>2001807981</t>
  </si>
  <si>
    <t>2001807976</t>
  </si>
  <si>
    <t>8904223818713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</si>
  <si>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</si>
  <si>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</si>
  <si>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</si>
  <si>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</si>
  <si>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</si>
  <si>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</si>
  <si>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</si>
  <si>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</si>
  <si>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</si>
  <si>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</si>
  <si>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</si>
  <si>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</si>
  <si>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</si>
  <si>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</si>
  <si>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8904223818997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</si>
  <si>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</si>
  <si>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</si>
  <si>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</si>
  <si>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</si>
  <si>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</si>
  <si>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</si>
  <si>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</si>
  <si>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</si>
  <si>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</si>
  <si>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</si>
  <si>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</si>
  <si>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</si>
  <si>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</si>
  <si>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</si>
  <si>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</si>
  <si>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</si>
  <si>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</si>
  <si>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</si>
  <si>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</si>
  <si>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</si>
  <si>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</si>
  <si>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8904223819123</t>
  </si>
  <si>
    <t>2001806575</t>
  </si>
  <si>
    <t>2001806567</t>
  </si>
  <si>
    <t>8904223815804</t>
  </si>
  <si>
    <t>8904223818577</t>
  </si>
  <si>
    <t>2001806547</t>
  </si>
  <si>
    <t>2001806533</t>
  </si>
  <si>
    <t>2001806471</t>
  </si>
  <si>
    <t>2001806458</t>
  </si>
  <si>
    <t>2001806446</t>
  </si>
  <si>
    <t>2001806408</t>
  </si>
  <si>
    <t>8904223819437</t>
  </si>
  <si>
    <t>2001806338</t>
  </si>
  <si>
    <t>2001806304</t>
  </si>
  <si>
    <t>2001806273</t>
  </si>
  <si>
    <t>2001806251</t>
  </si>
  <si>
    <t>2001806233</t>
  </si>
  <si>
    <t>2001806232</t>
  </si>
  <si>
    <t>8904223818645</t>
  </si>
  <si>
    <t>2001806229</t>
  </si>
  <si>
    <t>2001806226</t>
  </si>
  <si>
    <t>2001806210</t>
  </si>
  <si>
    <t>Zone</t>
  </si>
  <si>
    <t>507101</t>
  </si>
  <si>
    <t>d</t>
  </si>
  <si>
    <t>486886</t>
  </si>
  <si>
    <t>532484</t>
  </si>
  <si>
    <t>143001</t>
  </si>
  <si>
    <t>b</t>
  </si>
  <si>
    <t>515591</t>
  </si>
  <si>
    <t>326502</t>
  </si>
  <si>
    <t>208019</t>
  </si>
  <si>
    <t>140301</t>
  </si>
  <si>
    <t>396001</t>
  </si>
  <si>
    <t>711106</t>
  </si>
  <si>
    <t>284001</t>
  </si>
  <si>
    <t>441601</t>
  </si>
  <si>
    <t>248006</t>
  </si>
  <si>
    <t>485001</t>
  </si>
  <si>
    <t>845438</t>
  </si>
  <si>
    <t>463106</t>
  </si>
  <si>
    <t>495671</t>
  </si>
  <si>
    <t>673002</t>
  </si>
  <si>
    <t>e</t>
  </si>
  <si>
    <t>208002</t>
  </si>
  <si>
    <t>416010</t>
  </si>
  <si>
    <t>226010</t>
  </si>
  <si>
    <t>400705</t>
  </si>
  <si>
    <t>262405</t>
  </si>
  <si>
    <t>394210</t>
  </si>
  <si>
    <t>411014</t>
  </si>
  <si>
    <t>783301</t>
  </si>
  <si>
    <t>486661</t>
  </si>
  <si>
    <t>244001</t>
  </si>
  <si>
    <t>492001</t>
  </si>
  <si>
    <t>517128</t>
  </si>
  <si>
    <t>562110</t>
  </si>
  <si>
    <t>831006</t>
  </si>
  <si>
    <t>140604</t>
  </si>
  <si>
    <t>723146</t>
  </si>
  <si>
    <t>421204</t>
  </si>
  <si>
    <t>263139</t>
  </si>
  <si>
    <t>743263</t>
  </si>
  <si>
    <t>392150</t>
  </si>
  <si>
    <t>382830</t>
  </si>
  <si>
    <t>711303</t>
  </si>
  <si>
    <t>283102</t>
  </si>
  <si>
    <t>370201</t>
  </si>
  <si>
    <t>248001</t>
  </si>
  <si>
    <t>144001</t>
  </si>
  <si>
    <t>403401</t>
  </si>
  <si>
    <t>452001</t>
  </si>
  <si>
    <t>721636</t>
  </si>
  <si>
    <t>831002</t>
  </si>
  <si>
    <t>226004</t>
  </si>
  <si>
    <t>410206</t>
  </si>
  <si>
    <t>516503</t>
  </si>
  <si>
    <t>742103</t>
  </si>
  <si>
    <t>452018</t>
  </si>
  <si>
    <t>208001</t>
  </si>
  <si>
    <t>244713</t>
  </si>
  <si>
    <t>580007</t>
  </si>
  <si>
    <t>360005</t>
  </si>
  <si>
    <t>313027</t>
  </si>
  <si>
    <t>341001</t>
  </si>
  <si>
    <t>332715</t>
  </si>
  <si>
    <t>302031</t>
  </si>
  <si>
    <t>335001</t>
  </si>
  <si>
    <t>334004</t>
  </si>
  <si>
    <t>321001</t>
  </si>
  <si>
    <t>324001</t>
  </si>
  <si>
    <t>321608</t>
  </si>
  <si>
    <t>302002</t>
  </si>
  <si>
    <t>311011</t>
  </si>
  <si>
    <t>306302</t>
  </si>
  <si>
    <t>313001</t>
  </si>
  <si>
    <t>322255</t>
  </si>
  <si>
    <t>302017</t>
  </si>
  <si>
    <t>335512</t>
  </si>
  <si>
    <t>307026</t>
  </si>
  <si>
    <t>327025</t>
  </si>
  <si>
    <t>313333</t>
  </si>
  <si>
    <t>342008</t>
  </si>
  <si>
    <t>314401</t>
  </si>
  <si>
    <t>342301</t>
  </si>
  <si>
    <t>313003</t>
  </si>
  <si>
    <t>173212</t>
  </si>
  <si>
    <t>174101</t>
  </si>
  <si>
    <t>173213</t>
  </si>
  <si>
    <t>322201</t>
  </si>
  <si>
    <t>314001</t>
  </si>
  <si>
    <t>331022</t>
  </si>
  <si>
    <t>305801</t>
  </si>
  <si>
    <t>335502</t>
  </si>
  <si>
    <t>306116</t>
  </si>
  <si>
    <t>311001</t>
  </si>
  <si>
    <t>302019</t>
  </si>
  <si>
    <t>302039</t>
  </si>
  <si>
    <t>335803</t>
  </si>
  <si>
    <t>175101</t>
  </si>
  <si>
    <t>303903</t>
  </si>
  <si>
    <t>342012</t>
  </si>
  <si>
    <t>334001</t>
  </si>
  <si>
    <t>302012</t>
  </si>
  <si>
    <t>342014</t>
  </si>
  <si>
    <t>324005</t>
  </si>
  <si>
    <t>302001</t>
  </si>
  <si>
    <t>302004</t>
  </si>
  <si>
    <t>302018</t>
  </si>
  <si>
    <t>324008</t>
  </si>
  <si>
    <t>302020</t>
  </si>
  <si>
    <t>325207</t>
  </si>
  <si>
    <t>303702</t>
  </si>
  <si>
    <t>313301</t>
  </si>
  <si>
    <t>Order ID</t>
  </si>
  <si>
    <t>Charged Weight</t>
  </si>
  <si>
    <t>Billing Amount (Rs.)</t>
  </si>
  <si>
    <t>1091117222124</t>
  </si>
  <si>
    <t>1.3</t>
  </si>
  <si>
    <t>Forward charges</t>
  </si>
  <si>
    <t>1091117222194</t>
  </si>
  <si>
    <t>1</t>
  </si>
  <si>
    <t>1091117222931</t>
  </si>
  <si>
    <t>2.5</t>
  </si>
  <si>
    <t>1091117223244</t>
  </si>
  <si>
    <t>1091117229345</t>
  </si>
  <si>
    <t>0.15</t>
  </si>
  <si>
    <t>1091117229555</t>
  </si>
  <si>
    <t>1091117229776</t>
  </si>
  <si>
    <t>1091117323112</t>
  </si>
  <si>
    <t>1.15</t>
  </si>
  <si>
    <t>1091117323812</t>
  </si>
  <si>
    <t>0.5</t>
  </si>
  <si>
    <t>1091117324206</t>
  </si>
  <si>
    <t>1091117326612</t>
  </si>
  <si>
    <t>0.79</t>
  </si>
  <si>
    <t>1091117327172</t>
  </si>
  <si>
    <t>0.72</t>
  </si>
  <si>
    <t>1091117327275</t>
  </si>
  <si>
    <t>1.08</t>
  </si>
  <si>
    <t>1091117327312</t>
  </si>
  <si>
    <t>1091117327695</t>
  </si>
  <si>
    <t>1091117435005</t>
  </si>
  <si>
    <t>1.28</t>
  </si>
  <si>
    <t>1091117435134</t>
  </si>
  <si>
    <t>1091117435370</t>
  </si>
  <si>
    <t>1091117435661</t>
  </si>
  <si>
    <t>0.2</t>
  </si>
  <si>
    <t>Forward and RTO charges</t>
  </si>
  <si>
    <t>1091117436383</t>
  </si>
  <si>
    <t>1091117436464</t>
  </si>
  <si>
    <t>0.86</t>
  </si>
  <si>
    <t>1091117437050</t>
  </si>
  <si>
    <t>1.2</t>
  </si>
  <si>
    <t>1091117327496</t>
  </si>
  <si>
    <t>0.7</t>
  </si>
  <si>
    <t>1091118547832</t>
  </si>
  <si>
    <t>0.6</t>
  </si>
  <si>
    <t>1091119398844</t>
  </si>
  <si>
    <t>0.99</t>
  </si>
  <si>
    <t>1091119630264</t>
  </si>
  <si>
    <t>1091120014461</t>
  </si>
  <si>
    <t>0.8</t>
  </si>
  <si>
    <t>1091120959015</t>
  </si>
  <si>
    <t>1091121485824</t>
  </si>
  <si>
    <t>1091121666133</t>
  </si>
  <si>
    <t>1091121981575</t>
  </si>
  <si>
    <t>1.6</t>
  </si>
  <si>
    <t>1091117957780</t>
  </si>
  <si>
    <t>1.13</t>
  </si>
  <si>
    <t>1091121482593</t>
  </si>
  <si>
    <t>1091117221940</t>
  </si>
  <si>
    <t>2.92</t>
  </si>
  <si>
    <t>1091117222065</t>
  </si>
  <si>
    <t>0.68</t>
  </si>
  <si>
    <t>1091117222080</t>
  </si>
  <si>
    <t>0.71</t>
  </si>
  <si>
    <t>1091117222135</t>
  </si>
  <si>
    <t>0.78</t>
  </si>
  <si>
    <t>1091117222146</t>
  </si>
  <si>
    <t>1.27</t>
  </si>
  <si>
    <t>1091117222570</t>
  </si>
  <si>
    <t>1091117223211</t>
  </si>
  <si>
    <t>0.69</t>
  </si>
  <si>
    <t>1091117224353</t>
  </si>
  <si>
    <t>1091117224611</t>
  </si>
  <si>
    <t>1091117224902</t>
  </si>
  <si>
    <t>1.16</t>
  </si>
  <si>
    <t>1091117225016</t>
  </si>
  <si>
    <t>1091117225484</t>
  </si>
  <si>
    <t>1091117226221</t>
  </si>
  <si>
    <t>1091117226674</t>
  </si>
  <si>
    <t>1091117226711</t>
  </si>
  <si>
    <t>1091117226910</t>
  </si>
  <si>
    <t>1091117227573</t>
  </si>
  <si>
    <t>2.86</t>
  </si>
  <si>
    <t>1091117227816</t>
  </si>
  <si>
    <t>1.35</t>
  </si>
  <si>
    <t>1091117229290</t>
  </si>
  <si>
    <t>1091117323005</t>
  </si>
  <si>
    <t>1.64</t>
  </si>
  <si>
    <t>1091117323215</t>
  </si>
  <si>
    <t>0.67</t>
  </si>
  <si>
    <t>1091117324394</t>
  </si>
  <si>
    <t>2</t>
  </si>
  <si>
    <t>1091117325094</t>
  </si>
  <si>
    <t>1091117616121</t>
  </si>
  <si>
    <t>1.5</t>
  </si>
  <si>
    <t>1091117795531</t>
  </si>
  <si>
    <t>1091117795623</t>
  </si>
  <si>
    <t>3</t>
  </si>
  <si>
    <t>1091117223351</t>
  </si>
  <si>
    <t>1.7</t>
  </si>
  <si>
    <t>1091117324011</t>
  </si>
  <si>
    <t>1091117327570</t>
  </si>
  <si>
    <t>1091117435602</t>
  </si>
  <si>
    <t>0.77</t>
  </si>
  <si>
    <t>1091117437680</t>
  </si>
  <si>
    <t>1091117804200</t>
  </si>
  <si>
    <t>0.76</t>
  </si>
  <si>
    <t>1091117957533</t>
  </si>
  <si>
    <t>1091117957942</t>
  </si>
  <si>
    <t>1091117958395</t>
  </si>
  <si>
    <t>0.59</t>
  </si>
  <si>
    <t>1091118001865</t>
  </si>
  <si>
    <t>1091118009786</t>
  </si>
  <si>
    <t>1091118548333</t>
  </si>
  <si>
    <t>2.94</t>
  </si>
  <si>
    <t>1091118553701</t>
  </si>
  <si>
    <t>1091118591534</t>
  </si>
  <si>
    <t>0.61</t>
  </si>
  <si>
    <t>1091118925110</t>
  </si>
  <si>
    <t>1091119169701</t>
  </si>
  <si>
    <t>1091119367193</t>
  </si>
  <si>
    <t>1091119429202</t>
  </si>
  <si>
    <t>1091120959225</t>
  </si>
  <si>
    <t>2.1</t>
  </si>
  <si>
    <t>1091120962515</t>
  </si>
  <si>
    <t>1091121031745</t>
  </si>
  <si>
    <t>1091121034114</t>
  </si>
  <si>
    <t>1091121034350</t>
  </si>
  <si>
    <t>1091121034641</t>
  </si>
  <si>
    <t>1091121183730</t>
  </si>
  <si>
    <t>1091121185863</t>
  </si>
  <si>
    <t>1091121305541</t>
  </si>
  <si>
    <t>1.1</t>
  </si>
  <si>
    <t>1091121306101</t>
  </si>
  <si>
    <t>1091118004245</t>
  </si>
  <si>
    <t>1091120352712</t>
  </si>
  <si>
    <t>0.3</t>
  </si>
  <si>
    <t>1091122418320</t>
  </si>
  <si>
    <t>1091117222360</t>
  </si>
  <si>
    <t>1091117227116</t>
  </si>
  <si>
    <t>1.02</t>
  </si>
  <si>
    <t>1091117228133</t>
  </si>
  <si>
    <t>1091117228192</t>
  </si>
  <si>
    <t>1091117229183</t>
  </si>
  <si>
    <t>1091117324346</t>
  </si>
  <si>
    <t>2.28</t>
  </si>
  <si>
    <t>1091117326424</t>
  </si>
  <si>
    <t>1091117326925</t>
  </si>
  <si>
    <t>0.74</t>
  </si>
  <si>
    <t>1091117327474</t>
  </si>
  <si>
    <t>4.13</t>
  </si>
  <si>
    <t>1091117333100</t>
  </si>
  <si>
    <t>0.73</t>
  </si>
  <si>
    <t>1091117333251</t>
  </si>
  <si>
    <t>1.04</t>
  </si>
  <si>
    <t>1091117436346</t>
  </si>
  <si>
    <t>1091117436652</t>
  </si>
  <si>
    <t>1091117437035</t>
  </si>
  <si>
    <t>1091117437293</t>
  </si>
  <si>
    <t>1.63</t>
  </si>
  <si>
    <t>1091117437864</t>
  </si>
  <si>
    <t>2.47</t>
  </si>
  <si>
    <t>1091117437890</t>
  </si>
  <si>
    <t>1091117438074</t>
  </si>
  <si>
    <t>1091117611501</t>
  </si>
  <si>
    <t>1091117613962</t>
  </si>
  <si>
    <t>1091117803511</t>
  </si>
  <si>
    <t>0.82</t>
  </si>
  <si>
    <t>1091117804314</t>
  </si>
  <si>
    <t>0.66</t>
  </si>
  <si>
    <t>1091117805390</t>
  </si>
  <si>
    <t>1091117806263</t>
  </si>
  <si>
    <t>1.86</t>
  </si>
  <si>
    <t>1091117807140</t>
  </si>
  <si>
    <t>2.27</t>
  </si>
  <si>
    <t>1091117904860</t>
  </si>
  <si>
    <t>1091117905022</t>
  </si>
  <si>
    <t>1091117958163</t>
  </si>
  <si>
    <t>1091118442390</t>
  </si>
  <si>
    <t>1091118551656</t>
  </si>
  <si>
    <t>1091117614452</t>
  </si>
  <si>
    <t>1091120922803</t>
  </si>
  <si>
    <t>1091121844806</t>
  </si>
  <si>
    <t>1091121846136</t>
  </si>
  <si>
    <t>Weight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</si>
</sst>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9.0"/>
      <color theme="1"/>
      <name val="Calibri"/>
    </font>
    <font>
      <b/>
      <sz val="9.0"/>
      <color rgb="FF000000"/>
      <name val="Calibri"/>
    </font>
    <font>
      <sz val="9.0"/>
      <color rgb="FF000000"/>
      <name val="Arial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2" xfId="0" applyBorder="1" applyFont="1" applyNumberFormat="1"/>
    <xf borderId="0" fillId="0" fontId="3" numFmtId="0" xfId="0" applyFont="1"/>
    <xf borderId="1" fillId="0" fontId="4" numFmtId="49" xfId="0" applyAlignment="1" applyBorder="1" applyFont="1" applyNumberFormat="1">
      <alignment horizontal="left"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wrapText="1"/>
    </xf>
    <xf borderId="1" fillId="0" fontId="3" numFmtId="49" xfId="0" applyBorder="1" applyFont="1" applyNumberFormat="1"/>
    <xf borderId="1" fillId="0" fontId="3" numFmtId="0" xfId="0" applyBorder="1" applyFont="1"/>
    <xf borderId="1" fillId="2" fontId="6" numFmtId="0" xfId="0" applyBorder="1" applyFill="1" applyFont="1"/>
    <xf borderId="1" fillId="0" fontId="3" numFmtId="4" xfId="0" applyAlignment="1" applyBorder="1" applyFont="1" applyNumberFormat="1">
      <alignment horizontal="right"/>
    </xf>
    <xf borderId="1" fillId="0" fontId="3" numFmtId="4" xfId="0" applyBorder="1" applyFont="1" applyNumberFormat="1"/>
    <xf borderId="1" fillId="0" fontId="3" numFmtId="2" xfId="0" applyBorder="1" applyFont="1" applyNumberFormat="1"/>
    <xf borderId="0" fillId="0" fontId="3" numFmtId="49" xfId="0" applyFont="1" applyNumberFormat="1"/>
    <xf borderId="0" fillId="0" fontId="3" numFmtId="4" xfId="0" applyFont="1" applyNumberFormat="1"/>
    <xf borderId="1" fillId="0" fontId="2" numFmtId="0" xfId="0" applyAlignment="1" applyBorder="1" applyFont="1">
      <alignment horizontal="left"/>
    </xf>
    <xf borderId="1" fillId="0" fontId="7" numFmtId="0" xfId="0" applyBorder="1" applyFont="1"/>
    <xf borderId="1" fillId="0" fontId="1" numFmtId="0" xfId="0" applyAlignment="1" applyBorder="1" applyFont="1">
      <alignment horizontal="left"/>
    </xf>
    <xf borderId="1" fillId="0" fontId="1" numFmtId="49" xfId="0" applyBorder="1" applyFont="1" applyNumberFormat="1"/>
    <xf borderId="1" fillId="0" fontId="2" numFmtId="49" xfId="0" applyBorder="1" applyFont="1" applyNumberForma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49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49" xfId="0" applyAlignment="1" applyBorder="1" applyFont="1" applyNumberFormat="1">
      <alignment vertical="bottom"/>
    </xf>
    <xf borderId="4" fillId="0" fontId="1" numFmtId="4" xfId="0" applyAlignment="1" applyBorder="1" applyFont="1" applyNumberFormat="1">
      <alignment vertical="bottom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4" width="8.71"/>
  </cols>
  <sheetData>
    <row r="1">
      <c r="A1" s="1"/>
      <c r="B1" s="2" t="s">
        <v>0</v>
      </c>
      <c r="C1" s="2" t="s">
        <v>1</v>
      </c>
    </row>
    <row r="2">
      <c r="A2" s="1" t="s">
        <v>2</v>
      </c>
      <c r="B2" s="1">
        <f>COUNTIF(Calculations!Y:Y,"0")</f>
        <v>22</v>
      </c>
      <c r="C2" s="3">
        <f>SUMIF(Calculations!Y:Y,0,Calculations!S:S)</f>
        <v>1826.9</v>
      </c>
      <c r="J2" s="4"/>
    </row>
    <row r="3">
      <c r="A3" s="1" t="s">
        <v>3</v>
      </c>
      <c r="B3" s="1">
        <f>COUNTIF(Calculations!Y:Y,"&lt;0")</f>
        <v>79</v>
      </c>
      <c r="C3" s="3">
        <f>ABS(SUMIF(Calculations!Y:Y,"&lt;0",Calculations!Y:Y))</f>
        <v>4426.6</v>
      </c>
    </row>
    <row r="4">
      <c r="A4" s="1" t="s">
        <v>4</v>
      </c>
      <c r="B4" s="1">
        <f>COUNTIF(Calculations!Y:Y,"&gt;0")</f>
        <v>23</v>
      </c>
      <c r="C4" s="3">
        <f>ABS(SUMIF(Calculations!Y:Y,"&gt;0",Calculations!Y:Y))</f>
        <v>575.1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  <col customWidth="1" min="3" max="4" width="10.29"/>
    <col customWidth="1" min="5" max="5" width="21.29"/>
    <col customWidth="1" min="6" max="6" width="8.71"/>
    <col customWidth="1" hidden="1" min="7" max="7" width="4.29"/>
    <col customWidth="1" min="8" max="8" width="8.57"/>
    <col customWidth="1" hidden="1" min="9" max="9" width="4.0"/>
    <col customWidth="1" min="10" max="10" width="8.29"/>
    <col customWidth="1" min="11" max="11" width="8.86"/>
    <col customWidth="1" min="12" max="12" width="7.43"/>
    <col customWidth="1" min="13" max="13" width="7.71"/>
    <col customWidth="1" min="14" max="14" width="6.86"/>
    <col customWidth="1" min="15" max="15" width="8.57"/>
    <col customWidth="1" min="16" max="16" width="7.14"/>
    <col customWidth="1" min="17" max="17" width="6.86"/>
    <col customWidth="1" min="18" max="18" width="8.0"/>
    <col customWidth="1" min="19" max="19" width="7.57"/>
    <col customWidth="1" min="20" max="20" width="10.57"/>
    <col customWidth="1" min="21" max="21" width="9.86"/>
    <col customWidth="1" min="22" max="22" width="12.57"/>
    <col customWidth="1" min="23" max="23" width="10.71"/>
    <col customWidth="1" min="24" max="24" width="13.57"/>
    <col customWidth="1" min="25" max="25" width="14.29"/>
    <col customWidth="1" min="26" max="40" width="8.71"/>
  </cols>
  <sheetData>
    <row r="1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7" t="s">
        <v>10</v>
      </c>
      <c r="G1" s="6" t="s">
        <v>11</v>
      </c>
      <c r="H1" s="6" t="s">
        <v>12</v>
      </c>
      <c r="I1" s="6" t="s">
        <v>13</v>
      </c>
      <c r="J1" s="8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7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9" t="s">
        <v>28</v>
      </c>
      <c r="Y1" s="9" t="s">
        <v>29</v>
      </c>
      <c r="Z1" s="6" t="s">
        <v>30</v>
      </c>
      <c r="AA1" s="6" t="s">
        <v>31</v>
      </c>
      <c r="AB1" s="6" t="s">
        <v>32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>
      <c r="A2" s="11" t="str">
        <f>IFERROR(__xludf.DUMMYFUNCTION("UNIQUE(OrderReport!$A$2:$A$401)"),"2001827036")</f>
        <v>2001827036</v>
      </c>
      <c r="B2" s="11" t="str">
        <f t="array" ref="B2">INDEX(Invoice!A:A,MATCH(Calculations!A2,Invoice!B:B,0))</f>
        <v>1091122418320</v>
      </c>
      <c r="C2" s="12">
        <f t="array" ref="C2">INDEX(Invoice!D:D,MATCH(Calculations!A2,Invoice!B:B,0))</f>
        <v>121003</v>
      </c>
      <c r="D2" s="11" t="str">
        <f t="array" ref="D2">INDEX(Invoice!E:E,MATCH(Calculations!A2,Invoice!B:B,0))</f>
        <v>173213</v>
      </c>
      <c r="E2" s="12" t="str">
        <f t="array" ref="E2">INDEX(Invoice!G:G,MATCH(Calculations!A2,Invoice!B:B,0))</f>
        <v>Forward charges</v>
      </c>
      <c r="F2" s="12" t="str">
        <f t="shared" ref="F2:F125" si="1">IF(ISNUMBER(SEARCH("Forward",E2)),"Yes","No")</f>
        <v>Yes</v>
      </c>
      <c r="G2" s="13" t="str">
        <f t="shared" ref="G2:G125" si="2">IF(ISNUMBER(SEARCH("Forward",E2)),"fwd")</f>
        <v>fwd</v>
      </c>
      <c r="H2" s="13" t="str">
        <f t="shared" ref="H2:H125" si="3">IF(ISNUMBER(SEARCH("RTO",E2)),"Yes","No")</f>
        <v>No</v>
      </c>
      <c r="I2" s="12" t="str">
        <f t="shared" ref="I2:I125" si="4">IF(ISNUMBER(SEARCH("RTO",E2)),"rto","")</f>
        <v/>
      </c>
      <c r="J2" s="12">
        <f>SUMIF(OrderReport!A:A,A2,OrderReport!E:E)</f>
        <v>1676</v>
      </c>
      <c r="K2" s="12">
        <f t="shared" ref="K2:K125" si="5">J2/1000</f>
        <v>1.676</v>
      </c>
      <c r="L2" s="12">
        <f t="shared" ref="L2:L125" si="6">M2*1000</f>
        <v>2000</v>
      </c>
      <c r="M2" s="12">
        <f t="shared" ref="M2:M125" si="7">IF((K2-MROUND(K2,0.5))&gt;0,MROUND(K2,0.5)+0.5,MROUND(K2,0.5))</f>
        <v>2</v>
      </c>
      <c r="N2" s="11" t="str">
        <f t="array" ref="N2">INDEX(PincodeZones!C:C,MATCH(1,(PincodeZones!A:A=C2)*(PincodeZones!B:B=D2),0))</f>
        <v>e</v>
      </c>
      <c r="O2" s="12">
        <f t="array" ref="O2">INDEX(RatesTable!E:E,MATCH(1,(RatesTable!B:B=G2)*(RatesTable!C:C=N2)*(RatesTable!D:D="fixed"),0))</f>
        <v>56.6</v>
      </c>
      <c r="P2" s="12">
        <f t="array" ref="P2">((M2-0.5)/0.5)*INDEX(RatesTable!E:E,MATCH(1,(RatesTable!B:B=G2)*(RatesTable!C:C=N2)*(RatesTable!D:D="additional"),0))</f>
        <v>166.5</v>
      </c>
      <c r="Q2" s="12">
        <f t="array" ref="Q2">IFNA(INDEX(RatesTable!E:E,MATCH(1,(RatesTable!B:B=I2)*(RatesTable!C:C=N2)*(RatesTable!D:D="fixed"),0)),0)</f>
        <v>0</v>
      </c>
      <c r="R2" s="13">
        <f t="array" ref="R2">((M2-0.5)/0.5)*IFNA(INDEX(RatesTable!E:E,MATCH(1,(RatesTable!B:B=I2)*(RatesTable!C:C=N2)*(RatesTable!D:D="additional"),0)),0)</f>
        <v>0</v>
      </c>
      <c r="S2" s="12">
        <f t="shared" ref="S2:S125" si="8">SUM(O2:R2)</f>
        <v>223.1</v>
      </c>
      <c r="T2" s="12" t="str">
        <f t="array" ref="T2">INDEX(Invoice!C:C,MATCH(B2,(Invoice!A:A),0))</f>
        <v>1.6</v>
      </c>
      <c r="U2" s="12">
        <f t="shared" ref="U2:U125" si="9">T2*1000</f>
        <v>1600</v>
      </c>
      <c r="V2" s="12">
        <f t="shared" ref="V2:V125" si="10">IF((T2-MROUND(T2,0.5))&gt;0,MROUND(T2,0.5)+0.5,MROUND(T2,0.5))</f>
        <v>2</v>
      </c>
      <c r="W2" s="12" t="str">
        <f t="array" ref="W2">INDEX(Invoice!F:F,MATCH(B2,(Invoice!A:A),0))</f>
        <v>b</v>
      </c>
      <c r="X2" s="14">
        <f t="array" ref="X2">INDEX(Invoice!H:H,MATCH(B2,(Invoice!A:A),0))</f>
        <v>117.9</v>
      </c>
      <c r="Y2" s="15">
        <f t="shared" ref="Y2:Y125" si="11">ROUND(S2-X2,2)</f>
        <v>105.2</v>
      </c>
      <c r="Z2" s="16">
        <f t="shared" ref="Z2:Z125" si="12">(Y2/S2)*100</f>
        <v>47.15374272</v>
      </c>
      <c r="AA2" s="16">
        <f t="shared" ref="AA2:AA125" si="13">SUM(O2:P2)/K2</f>
        <v>133.1145585</v>
      </c>
      <c r="AB2" s="16">
        <f t="shared" ref="AB2:AB125" si="14">SUM(Q2:R2)/K2</f>
        <v>0</v>
      </c>
    </row>
    <row r="3">
      <c r="A3" s="11" t="str">
        <f>IFERROR(__xludf.DUMMYFUNCTION("""COMPUTED_VALUE"""),"2001825261")</f>
        <v>2001825261</v>
      </c>
      <c r="B3" s="11" t="str">
        <f t="array" ref="B3">INDEX(Invoice!A:A,MATCH(Calculations!A3,Invoice!B:B,0))</f>
        <v>1091121981575</v>
      </c>
      <c r="C3" s="12">
        <f t="array" ref="C3">INDEX(Invoice!D:D,MATCH(Calculations!A3,Invoice!B:B,0))</f>
        <v>121003</v>
      </c>
      <c r="D3" s="11" t="str">
        <f t="array" ref="D3">INDEX(Invoice!E:E,MATCH(Calculations!A3,Invoice!B:B,0))</f>
        <v>517128</v>
      </c>
      <c r="E3" s="12" t="str">
        <f t="array" ref="E3">INDEX(Invoice!G:G,MATCH(Calculations!A3,Invoice!B:B,0))</f>
        <v>Forward and RTO charges</v>
      </c>
      <c r="F3" s="12" t="str">
        <f t="shared" si="1"/>
        <v>Yes</v>
      </c>
      <c r="G3" s="13" t="str">
        <f t="shared" si="2"/>
        <v>fwd</v>
      </c>
      <c r="H3" s="13" t="str">
        <f t="shared" si="3"/>
        <v>Yes</v>
      </c>
      <c r="I3" s="12" t="str">
        <f t="shared" si="4"/>
        <v>rto</v>
      </c>
      <c r="J3" s="12">
        <f>SUMIF(OrderReport!A:A,A3,OrderReport!E:E)</f>
        <v>1557</v>
      </c>
      <c r="K3" s="12">
        <f t="shared" si="5"/>
        <v>1.557</v>
      </c>
      <c r="L3" s="12">
        <f t="shared" si="6"/>
        <v>2000</v>
      </c>
      <c r="M3" s="12">
        <f t="shared" si="7"/>
        <v>2</v>
      </c>
      <c r="N3" s="11" t="str">
        <f t="array" ref="N3">INDEX(PincodeZones!C:C,MATCH(1,(PincodeZones!A:A=C3)*(PincodeZones!B:B=D3),0))</f>
        <v>d</v>
      </c>
      <c r="O3" s="12">
        <f t="array" ref="O3">INDEX(RatesTable!E:E,MATCH(1,(RatesTable!B:B=G3)*(RatesTable!C:C=N3)*(RatesTable!D:D="fixed"),0))</f>
        <v>45.4</v>
      </c>
      <c r="P3" s="12">
        <f t="array" ref="P3">((M3-0.5)/0.5)*INDEX(RatesTable!E:E,MATCH(1,(RatesTable!B:B=G3)*(RatesTable!C:C=N3)*(RatesTable!D:D="additional"),0))</f>
        <v>134.4</v>
      </c>
      <c r="Q3" s="12">
        <f t="array" ref="Q3">IFNA(INDEX(RatesTable!E:E,MATCH(1,(RatesTable!B:B=I3)*(RatesTable!C:C=N3)*(RatesTable!D:D="fixed"),0)),0)</f>
        <v>41.3</v>
      </c>
      <c r="R3" s="13">
        <f t="array" ref="R3">((M3-0.5)/0.5)*IFNA(INDEX(RatesTable!E:E,MATCH(1,(RatesTable!B:B=I3)*(RatesTable!C:C=N3)*(RatesTable!D:D="additional"),0)),0)</f>
        <v>134.4</v>
      </c>
      <c r="S3" s="12">
        <f t="shared" si="8"/>
        <v>355.5</v>
      </c>
      <c r="T3" s="12" t="str">
        <f t="array" ref="T3">INDEX(Invoice!C:C,MATCH(B3,(Invoice!A:A),0))</f>
        <v>1.6</v>
      </c>
      <c r="U3" s="12">
        <f t="shared" si="9"/>
        <v>1600</v>
      </c>
      <c r="V3" s="12">
        <f t="shared" si="10"/>
        <v>2</v>
      </c>
      <c r="W3" s="12" t="str">
        <f t="array" ref="W3">INDEX(Invoice!F:F,MATCH(B3,(Invoice!A:A),0))</f>
        <v>d</v>
      </c>
      <c r="X3" s="14">
        <f t="array" ref="X3">INDEX(Invoice!H:H,MATCH(B3,(Invoice!A:A),0))</f>
        <v>345</v>
      </c>
      <c r="Y3" s="15">
        <f t="shared" si="11"/>
        <v>10.5</v>
      </c>
      <c r="Z3" s="16">
        <f t="shared" si="12"/>
        <v>2.953586498</v>
      </c>
      <c r="AA3" s="16">
        <f t="shared" si="13"/>
        <v>115.4784843</v>
      </c>
      <c r="AB3" s="16">
        <f t="shared" si="14"/>
        <v>112.8452152</v>
      </c>
    </row>
    <row r="4">
      <c r="A4" s="11" t="str">
        <f>IFERROR(__xludf.DUMMYFUNCTION("""COMPUTED_VALUE"""),"2001823564")</f>
        <v>2001823564</v>
      </c>
      <c r="B4" s="11" t="str">
        <f t="array" ref="B4">INDEX(Invoice!A:A,MATCH(Calculations!A4,Invoice!B:B,0))</f>
        <v>1091121666133</v>
      </c>
      <c r="C4" s="12">
        <f t="array" ref="C4">INDEX(Invoice!D:D,MATCH(Calculations!A4,Invoice!B:B,0))</f>
        <v>121003</v>
      </c>
      <c r="D4" s="11" t="str">
        <f t="array" ref="D4">INDEX(Invoice!E:E,MATCH(Calculations!A4,Invoice!B:B,0))</f>
        <v>492001</v>
      </c>
      <c r="E4" s="12" t="str">
        <f t="array" ref="E4">INDEX(Invoice!G:G,MATCH(Calculations!A4,Invoice!B:B,0))</f>
        <v>Forward and RTO charges</v>
      </c>
      <c r="F4" s="12" t="str">
        <f t="shared" si="1"/>
        <v>Yes</v>
      </c>
      <c r="G4" s="13" t="str">
        <f t="shared" si="2"/>
        <v>fwd</v>
      </c>
      <c r="H4" s="13" t="str">
        <f t="shared" si="3"/>
        <v>Yes</v>
      </c>
      <c r="I4" s="12" t="str">
        <f t="shared" si="4"/>
        <v>rto</v>
      </c>
      <c r="J4" s="12">
        <f>SUMIF(OrderReport!A:A,A4,OrderReport!E:E)</f>
        <v>672</v>
      </c>
      <c r="K4" s="12">
        <f t="shared" si="5"/>
        <v>0.672</v>
      </c>
      <c r="L4" s="12">
        <f t="shared" si="6"/>
        <v>1000</v>
      </c>
      <c r="M4" s="12">
        <f t="shared" si="7"/>
        <v>1</v>
      </c>
      <c r="N4" s="11" t="str">
        <f t="array" ref="N4">INDEX(PincodeZones!C:C,MATCH(1,(PincodeZones!A:A=C4)*(PincodeZones!B:B=D4),0))</f>
        <v>d</v>
      </c>
      <c r="O4" s="12">
        <f t="array" ref="O4">INDEX(RatesTable!E:E,MATCH(1,(RatesTable!B:B=G4)*(RatesTable!C:C=N4)*(RatesTable!D:D="fixed"),0))</f>
        <v>45.4</v>
      </c>
      <c r="P4" s="12">
        <f t="array" ref="P4">((M4-0.5)/0.5)*INDEX(RatesTable!E:E,MATCH(1,(RatesTable!B:B=G4)*(RatesTable!C:C=N4)*(RatesTable!D:D="additional"),0))</f>
        <v>44.8</v>
      </c>
      <c r="Q4" s="12">
        <f t="array" ref="Q4">IFNA(INDEX(RatesTable!E:E,MATCH(1,(RatesTable!B:B=I4)*(RatesTable!C:C=N4)*(RatesTable!D:D="fixed"),0)),0)</f>
        <v>41.3</v>
      </c>
      <c r="R4" s="13">
        <f t="array" ref="R4">((M4-0.5)/0.5)*IFNA(INDEX(RatesTable!E:E,MATCH(1,(RatesTable!B:B=I4)*(RatesTable!C:C=N4)*(RatesTable!D:D="additional"),0)),0)</f>
        <v>44.8</v>
      </c>
      <c r="S4" s="12">
        <f t="shared" si="8"/>
        <v>176.3</v>
      </c>
      <c r="T4" s="12" t="str">
        <f t="array" ref="T4">INDEX(Invoice!C:C,MATCH(B4,(Invoice!A:A),0))</f>
        <v>0.7</v>
      </c>
      <c r="U4" s="12">
        <f t="shared" si="9"/>
        <v>700</v>
      </c>
      <c r="V4" s="12">
        <f t="shared" si="10"/>
        <v>1</v>
      </c>
      <c r="W4" s="12" t="str">
        <f t="array" ref="W4">INDEX(Invoice!F:F,MATCH(B4,(Invoice!A:A),0))</f>
        <v>d</v>
      </c>
      <c r="X4" s="14">
        <f t="array" ref="X4">INDEX(Invoice!H:H,MATCH(B4,(Invoice!A:A),0))</f>
        <v>172.8</v>
      </c>
      <c r="Y4" s="15">
        <f t="shared" si="11"/>
        <v>3.5</v>
      </c>
      <c r="Z4" s="16">
        <f t="shared" si="12"/>
        <v>1.985252411</v>
      </c>
      <c r="AA4" s="16">
        <f t="shared" si="13"/>
        <v>134.2261905</v>
      </c>
      <c r="AB4" s="16">
        <f t="shared" si="14"/>
        <v>128.125</v>
      </c>
    </row>
    <row r="5">
      <c r="A5" s="11" t="str">
        <f>IFERROR(__xludf.DUMMYFUNCTION("""COMPUTED_VALUE"""),"2001822466")</f>
        <v>2001822466</v>
      </c>
      <c r="B5" s="11" t="str">
        <f t="array" ref="B5">INDEX(Invoice!A:A,MATCH(Calculations!A5,Invoice!B:B,0))</f>
        <v>1091121305541</v>
      </c>
      <c r="C5" s="12">
        <f t="array" ref="C5">INDEX(Invoice!D:D,MATCH(Calculations!A5,Invoice!B:B,0))</f>
        <v>121003</v>
      </c>
      <c r="D5" s="11" t="str">
        <f t="array" ref="D5">INDEX(Invoice!E:E,MATCH(Calculations!A5,Invoice!B:B,0))</f>
        <v>342301</v>
      </c>
      <c r="E5" s="12" t="str">
        <f t="array" ref="E5">INDEX(Invoice!G:G,MATCH(Calculations!A5,Invoice!B:B,0))</f>
        <v>Forward charges</v>
      </c>
      <c r="F5" s="12" t="str">
        <f t="shared" si="1"/>
        <v>Yes</v>
      </c>
      <c r="G5" s="13" t="str">
        <f t="shared" si="2"/>
        <v>fwd</v>
      </c>
      <c r="H5" s="13" t="str">
        <f t="shared" si="3"/>
        <v>No</v>
      </c>
      <c r="I5" s="12" t="str">
        <f t="shared" si="4"/>
        <v/>
      </c>
      <c r="J5" s="12">
        <f>SUMIF(OrderReport!A:A,A5,OrderReport!E:E)</f>
        <v>1376</v>
      </c>
      <c r="K5" s="12">
        <f t="shared" si="5"/>
        <v>1.376</v>
      </c>
      <c r="L5" s="12">
        <f t="shared" si="6"/>
        <v>1500</v>
      </c>
      <c r="M5" s="12">
        <f t="shared" si="7"/>
        <v>1.5</v>
      </c>
      <c r="N5" s="11" t="str">
        <f t="array" ref="N5">INDEX(PincodeZones!C:C,MATCH(1,(PincodeZones!A:A=C5)*(PincodeZones!B:B=D5),0))</f>
        <v>b</v>
      </c>
      <c r="O5" s="12">
        <f t="array" ref="O5">INDEX(RatesTable!E:E,MATCH(1,(RatesTable!B:B=G5)*(RatesTable!C:C=N5)*(RatesTable!D:D="fixed"),0))</f>
        <v>33</v>
      </c>
      <c r="P5" s="12">
        <f t="array" ref="P5">((M5-0.5)/0.5)*INDEX(RatesTable!E:E,MATCH(1,(RatesTable!B:B=G5)*(RatesTable!C:C=N5)*(RatesTable!D:D="additional"),0))</f>
        <v>56.6</v>
      </c>
      <c r="Q5" s="12">
        <f t="array" ref="Q5">IFNA(INDEX(RatesTable!E:E,MATCH(1,(RatesTable!B:B=I5)*(RatesTable!C:C=N5)*(RatesTable!D:D="fixed"),0)),0)</f>
        <v>0</v>
      </c>
      <c r="R5" s="13">
        <f t="array" ref="R5">((M5-0.5)/0.5)*IFNA(INDEX(RatesTable!E:E,MATCH(1,(RatesTable!B:B=I5)*(RatesTable!C:C=N5)*(RatesTable!D:D="additional"),0)),0)</f>
        <v>0</v>
      </c>
      <c r="S5" s="12">
        <f t="shared" si="8"/>
        <v>89.6</v>
      </c>
      <c r="T5" s="12" t="str">
        <f t="array" ref="T5">INDEX(Invoice!C:C,MATCH(B5,(Invoice!A:A),0))</f>
        <v>1.1</v>
      </c>
      <c r="U5" s="12">
        <f t="shared" si="9"/>
        <v>1100</v>
      </c>
      <c r="V5" s="12">
        <f t="shared" si="10"/>
        <v>1.5</v>
      </c>
      <c r="W5" s="12" t="str">
        <f t="array" ref="W5">INDEX(Invoice!F:F,MATCH(B5,(Invoice!A:A),0))</f>
        <v>d</v>
      </c>
      <c r="X5" s="14">
        <f t="array" ref="X5">INDEX(Invoice!H:H,MATCH(B5,(Invoice!A:A),0))</f>
        <v>135</v>
      </c>
      <c r="Y5" s="15">
        <f t="shared" si="11"/>
        <v>-45.4</v>
      </c>
      <c r="Z5" s="16">
        <f t="shared" si="12"/>
        <v>-50.66964286</v>
      </c>
      <c r="AA5" s="16">
        <f t="shared" si="13"/>
        <v>65.11627907</v>
      </c>
      <c r="AB5" s="16">
        <f t="shared" si="14"/>
        <v>0</v>
      </c>
    </row>
    <row r="6">
      <c r="A6" s="11" t="str">
        <f>IFERROR(__xludf.DUMMYFUNCTION("""COMPUTED_VALUE"""),"2001821995")</f>
        <v>2001821995</v>
      </c>
      <c r="B6" s="11" t="str">
        <f t="array" ref="B6">INDEX(Invoice!A:A,MATCH(Calculations!A6,Invoice!B:B,0))</f>
        <v>1091121183730</v>
      </c>
      <c r="C6" s="12">
        <f t="array" ref="C6">INDEX(Invoice!D:D,MATCH(Calculations!A6,Invoice!B:B,0))</f>
        <v>121003</v>
      </c>
      <c r="D6" s="11" t="str">
        <f t="array" ref="D6">INDEX(Invoice!E:E,MATCH(Calculations!A6,Invoice!B:B,0))</f>
        <v>342008</v>
      </c>
      <c r="E6" s="12" t="str">
        <f t="array" ref="E6">INDEX(Invoice!G:G,MATCH(Calculations!A6,Invoice!B:B,0))</f>
        <v>Forward charges</v>
      </c>
      <c r="F6" s="12" t="str">
        <f t="shared" si="1"/>
        <v>Yes</v>
      </c>
      <c r="G6" s="13" t="str">
        <f t="shared" si="2"/>
        <v>fwd</v>
      </c>
      <c r="H6" s="13" t="str">
        <f t="shared" si="3"/>
        <v>No</v>
      </c>
      <c r="I6" s="12" t="str">
        <f t="shared" si="4"/>
        <v/>
      </c>
      <c r="J6" s="12">
        <f>SUMIF(OrderReport!A:A,A6,OrderReport!E:E)</f>
        <v>477</v>
      </c>
      <c r="K6" s="12">
        <f t="shared" si="5"/>
        <v>0.477</v>
      </c>
      <c r="L6" s="12">
        <f t="shared" si="6"/>
        <v>500</v>
      </c>
      <c r="M6" s="12">
        <f t="shared" si="7"/>
        <v>0.5</v>
      </c>
      <c r="N6" s="11" t="str">
        <f t="array" ref="N6">INDEX(PincodeZones!C:C,MATCH(1,(PincodeZones!A:A=C6)*(PincodeZones!B:B=D6),0))</f>
        <v>b</v>
      </c>
      <c r="O6" s="12">
        <f t="array" ref="O6">INDEX(RatesTable!E:E,MATCH(1,(RatesTable!B:B=G6)*(RatesTable!C:C=N6)*(RatesTable!D:D="fixed"),0))</f>
        <v>33</v>
      </c>
      <c r="P6" s="12">
        <f t="array" ref="P6">((M6-0.5)/0.5)*INDEX(RatesTable!E:E,MATCH(1,(RatesTable!B:B=G6)*(RatesTable!C:C=N6)*(RatesTable!D:D="additional"),0))</f>
        <v>0</v>
      </c>
      <c r="Q6" s="12">
        <f t="array" ref="Q6">IFNA(INDEX(RatesTable!E:E,MATCH(1,(RatesTable!B:B=I6)*(RatesTable!C:C=N6)*(RatesTable!D:D="fixed"),0)),0)</f>
        <v>0</v>
      </c>
      <c r="R6" s="13">
        <f t="array" ref="R6">((M6-0.5)/0.5)*IFNA(INDEX(RatesTable!E:E,MATCH(1,(RatesTable!B:B=I6)*(RatesTable!C:C=N6)*(RatesTable!D:D="additional"),0)),0)</f>
        <v>0</v>
      </c>
      <c r="S6" s="12">
        <f t="shared" si="8"/>
        <v>33</v>
      </c>
      <c r="T6" s="12" t="str">
        <f t="array" ref="T6">INDEX(Invoice!C:C,MATCH(B6,(Invoice!A:A),0))</f>
        <v>0.5</v>
      </c>
      <c r="U6" s="12">
        <f t="shared" si="9"/>
        <v>500</v>
      </c>
      <c r="V6" s="12">
        <f t="shared" si="10"/>
        <v>0.5</v>
      </c>
      <c r="W6" s="12" t="str">
        <f t="array" ref="W6">INDEX(Invoice!F:F,MATCH(B6,(Invoice!A:A),0))</f>
        <v>d</v>
      </c>
      <c r="X6" s="14">
        <f t="array" ref="X6">INDEX(Invoice!H:H,MATCH(B6,(Invoice!A:A),0))</f>
        <v>45.4</v>
      </c>
      <c r="Y6" s="15">
        <f t="shared" si="11"/>
        <v>-12.4</v>
      </c>
      <c r="Z6" s="16">
        <f t="shared" si="12"/>
        <v>-37.57575758</v>
      </c>
      <c r="AA6" s="16">
        <f t="shared" si="13"/>
        <v>69.18238994</v>
      </c>
      <c r="AB6" s="16">
        <f t="shared" si="14"/>
        <v>0</v>
      </c>
    </row>
    <row r="7">
      <c r="A7" s="11" t="str">
        <f>IFERROR(__xludf.DUMMYFUNCTION("""COMPUTED_VALUE"""),"2001821766")</f>
        <v>2001821766</v>
      </c>
      <c r="B7" s="11" t="str">
        <f t="array" ref="B7">INDEX(Invoice!A:A,MATCH(Calculations!A7,Invoice!B:B,0))</f>
        <v>1091121034641</v>
      </c>
      <c r="C7" s="12">
        <f t="array" ref="C7">INDEX(Invoice!D:D,MATCH(Calculations!A7,Invoice!B:B,0))</f>
        <v>121003</v>
      </c>
      <c r="D7" s="11" t="str">
        <f t="array" ref="D7">INDEX(Invoice!E:E,MATCH(Calculations!A7,Invoice!B:B,0))</f>
        <v>313001</v>
      </c>
      <c r="E7" s="12" t="str">
        <f t="array" ref="E7">INDEX(Invoice!G:G,MATCH(Calculations!A7,Invoice!B:B,0))</f>
        <v>Forward charges</v>
      </c>
      <c r="F7" s="12" t="str">
        <f t="shared" si="1"/>
        <v>Yes</v>
      </c>
      <c r="G7" s="13" t="str">
        <f t="shared" si="2"/>
        <v>fwd</v>
      </c>
      <c r="H7" s="13" t="str">
        <f t="shared" si="3"/>
        <v>No</v>
      </c>
      <c r="I7" s="12" t="str">
        <f t="shared" si="4"/>
        <v/>
      </c>
      <c r="J7" s="12">
        <f>SUMIF(OrderReport!A:A,A7,OrderReport!E:E)</f>
        <v>240</v>
      </c>
      <c r="K7" s="12">
        <f t="shared" si="5"/>
        <v>0.24</v>
      </c>
      <c r="L7" s="12">
        <f t="shared" si="6"/>
        <v>500</v>
      </c>
      <c r="M7" s="12">
        <f t="shared" si="7"/>
        <v>0.5</v>
      </c>
      <c r="N7" s="11" t="str">
        <f t="array" ref="N7">INDEX(PincodeZones!C:C,MATCH(1,(PincodeZones!A:A=C7)*(PincodeZones!B:B=D7),0))</f>
        <v>b</v>
      </c>
      <c r="O7" s="12">
        <f t="array" ref="O7">INDEX(RatesTable!E:E,MATCH(1,(RatesTable!B:B=G7)*(RatesTable!C:C=N7)*(RatesTable!D:D="fixed"),0))</f>
        <v>33</v>
      </c>
      <c r="P7" s="12">
        <f t="array" ref="P7">((M7-0.5)/0.5)*INDEX(RatesTable!E:E,MATCH(1,(RatesTable!B:B=G7)*(RatesTable!C:C=N7)*(RatesTable!D:D="additional"),0))</f>
        <v>0</v>
      </c>
      <c r="Q7" s="12">
        <f t="array" ref="Q7">IFNA(INDEX(RatesTable!E:E,MATCH(1,(RatesTable!B:B=I7)*(RatesTable!C:C=N7)*(RatesTable!D:D="fixed"),0)),0)</f>
        <v>0</v>
      </c>
      <c r="R7" s="13">
        <f t="array" ref="R7">((M7-0.5)/0.5)*IFNA(INDEX(RatesTable!E:E,MATCH(1,(RatesTable!B:B=I7)*(RatesTable!C:C=N7)*(RatesTable!D:D="additional"),0)),0)</f>
        <v>0</v>
      </c>
      <c r="S7" s="12">
        <f t="shared" si="8"/>
        <v>33</v>
      </c>
      <c r="T7" s="12" t="str">
        <f t="array" ref="T7">INDEX(Invoice!C:C,MATCH(B7,(Invoice!A:A),0))</f>
        <v>0.2</v>
      </c>
      <c r="U7" s="12">
        <f t="shared" si="9"/>
        <v>200</v>
      </c>
      <c r="V7" s="12">
        <f t="shared" si="10"/>
        <v>0.5</v>
      </c>
      <c r="W7" s="12" t="str">
        <f t="array" ref="W7">INDEX(Invoice!F:F,MATCH(B7,(Invoice!A:A),0))</f>
        <v>d</v>
      </c>
      <c r="X7" s="14">
        <f t="array" ref="X7">INDEX(Invoice!H:H,MATCH(B7,(Invoice!A:A),0))</f>
        <v>45.4</v>
      </c>
      <c r="Y7" s="15">
        <f t="shared" si="11"/>
        <v>-12.4</v>
      </c>
      <c r="Z7" s="16">
        <f t="shared" si="12"/>
        <v>-37.57575758</v>
      </c>
      <c r="AA7" s="16">
        <f t="shared" si="13"/>
        <v>137.5</v>
      </c>
      <c r="AB7" s="16">
        <f t="shared" si="14"/>
        <v>0</v>
      </c>
    </row>
    <row r="8">
      <c r="A8" s="11" t="str">
        <f>IFERROR(__xludf.DUMMYFUNCTION("""COMPUTED_VALUE"""),"2001821750")</f>
        <v>2001821750</v>
      </c>
      <c r="B8" s="11" t="str">
        <f t="array" ref="B8">INDEX(Invoice!A:A,MATCH(Calculations!A8,Invoice!B:B,0))</f>
        <v>1091121034350</v>
      </c>
      <c r="C8" s="12">
        <f t="array" ref="C8">INDEX(Invoice!D:D,MATCH(Calculations!A8,Invoice!B:B,0))</f>
        <v>121003</v>
      </c>
      <c r="D8" s="11" t="str">
        <f t="array" ref="D8">INDEX(Invoice!E:E,MATCH(Calculations!A8,Invoice!B:B,0))</f>
        <v>313333</v>
      </c>
      <c r="E8" s="12" t="str">
        <f t="array" ref="E8">INDEX(Invoice!G:G,MATCH(Calculations!A8,Invoice!B:B,0))</f>
        <v>Forward charges</v>
      </c>
      <c r="F8" s="12" t="str">
        <f t="shared" si="1"/>
        <v>Yes</v>
      </c>
      <c r="G8" s="13" t="str">
        <f t="shared" si="2"/>
        <v>fwd</v>
      </c>
      <c r="H8" s="13" t="str">
        <f t="shared" si="3"/>
        <v>No</v>
      </c>
      <c r="I8" s="12" t="str">
        <f t="shared" si="4"/>
        <v/>
      </c>
      <c r="J8" s="12">
        <f>SUMIF(OrderReport!A:A,A8,OrderReport!E:E)</f>
        <v>755</v>
      </c>
      <c r="K8" s="12">
        <f t="shared" si="5"/>
        <v>0.755</v>
      </c>
      <c r="L8" s="12">
        <f t="shared" si="6"/>
        <v>1000</v>
      </c>
      <c r="M8" s="12">
        <f t="shared" si="7"/>
        <v>1</v>
      </c>
      <c r="N8" s="11" t="str">
        <f t="array" ref="N8">INDEX(PincodeZones!C:C,MATCH(1,(PincodeZones!A:A=C8)*(PincodeZones!B:B=D8),0))</f>
        <v>b</v>
      </c>
      <c r="O8" s="12">
        <f t="array" ref="O8">INDEX(RatesTable!E:E,MATCH(1,(RatesTable!B:B=G8)*(RatesTable!C:C=N8)*(RatesTable!D:D="fixed"),0))</f>
        <v>33</v>
      </c>
      <c r="P8" s="12">
        <f t="array" ref="P8">((M8-0.5)/0.5)*INDEX(RatesTable!E:E,MATCH(1,(RatesTable!B:B=G8)*(RatesTable!C:C=N8)*(RatesTable!D:D="additional"),0))</f>
        <v>28.3</v>
      </c>
      <c r="Q8" s="12">
        <f t="array" ref="Q8">IFNA(INDEX(RatesTable!E:E,MATCH(1,(RatesTable!B:B=I8)*(RatesTable!C:C=N8)*(RatesTable!D:D="fixed"),0)),0)</f>
        <v>0</v>
      </c>
      <c r="R8" s="13">
        <f t="array" ref="R8">((M8-0.5)/0.5)*IFNA(INDEX(RatesTable!E:E,MATCH(1,(RatesTable!B:B=I8)*(RatesTable!C:C=N8)*(RatesTable!D:D="additional"),0)),0)</f>
        <v>0</v>
      </c>
      <c r="S8" s="12">
        <f t="shared" si="8"/>
        <v>61.3</v>
      </c>
      <c r="T8" s="12" t="str">
        <f t="array" ref="T8">INDEX(Invoice!C:C,MATCH(B8,(Invoice!A:A),0))</f>
        <v>0.8</v>
      </c>
      <c r="U8" s="12">
        <f t="shared" si="9"/>
        <v>800</v>
      </c>
      <c r="V8" s="12">
        <f t="shared" si="10"/>
        <v>1</v>
      </c>
      <c r="W8" s="12" t="str">
        <f t="array" ref="W8">INDEX(Invoice!F:F,MATCH(B8,(Invoice!A:A),0))</f>
        <v>d</v>
      </c>
      <c r="X8" s="14">
        <f t="array" ref="X8">INDEX(Invoice!H:H,MATCH(B8,(Invoice!A:A),0))</f>
        <v>90.2</v>
      </c>
      <c r="Y8" s="15">
        <f t="shared" si="11"/>
        <v>-28.9</v>
      </c>
      <c r="Z8" s="16">
        <f t="shared" si="12"/>
        <v>-47.1451876</v>
      </c>
      <c r="AA8" s="16">
        <f t="shared" si="13"/>
        <v>81.19205298</v>
      </c>
      <c r="AB8" s="16">
        <f t="shared" si="14"/>
        <v>0</v>
      </c>
    </row>
    <row r="9">
      <c r="A9" s="11" t="str">
        <f>IFERROR(__xludf.DUMMYFUNCTION("""COMPUTED_VALUE"""),"2001821742")</f>
        <v>2001821742</v>
      </c>
      <c r="B9" s="11" t="str">
        <f t="array" ref="B9">INDEX(Invoice!A:A,MATCH(Calculations!A9,Invoice!B:B,0))</f>
        <v>1091121034114</v>
      </c>
      <c r="C9" s="12">
        <f t="array" ref="C9">INDEX(Invoice!D:D,MATCH(Calculations!A9,Invoice!B:B,0))</f>
        <v>121003</v>
      </c>
      <c r="D9" s="11" t="str">
        <f t="array" ref="D9">INDEX(Invoice!E:E,MATCH(Calculations!A9,Invoice!B:B,0))</f>
        <v>327025</v>
      </c>
      <c r="E9" s="12" t="str">
        <f t="array" ref="E9">INDEX(Invoice!G:G,MATCH(Calculations!A9,Invoice!B:B,0))</f>
        <v>Forward charges</v>
      </c>
      <c r="F9" s="12" t="str">
        <f t="shared" si="1"/>
        <v>Yes</v>
      </c>
      <c r="G9" s="13" t="str">
        <f t="shared" si="2"/>
        <v>fwd</v>
      </c>
      <c r="H9" s="13" t="str">
        <f t="shared" si="3"/>
        <v>No</v>
      </c>
      <c r="I9" s="12" t="str">
        <f t="shared" si="4"/>
        <v/>
      </c>
      <c r="J9" s="12">
        <f>SUMIF(OrderReport!A:A,A9,OrderReport!E:E)</f>
        <v>240</v>
      </c>
      <c r="K9" s="12">
        <f t="shared" si="5"/>
        <v>0.24</v>
      </c>
      <c r="L9" s="12">
        <f t="shared" si="6"/>
        <v>500</v>
      </c>
      <c r="M9" s="12">
        <f t="shared" si="7"/>
        <v>0.5</v>
      </c>
      <c r="N9" s="11" t="str">
        <f t="array" ref="N9">INDEX(PincodeZones!C:C,MATCH(1,(PincodeZones!A:A=C9)*(PincodeZones!B:B=D9),0))</f>
        <v>b</v>
      </c>
      <c r="O9" s="12">
        <f t="array" ref="O9">INDEX(RatesTable!E:E,MATCH(1,(RatesTable!B:B=G9)*(RatesTable!C:C=N9)*(RatesTable!D:D="fixed"),0))</f>
        <v>33</v>
      </c>
      <c r="P9" s="12">
        <f t="array" ref="P9">((M9-0.5)/0.5)*INDEX(RatesTable!E:E,MATCH(1,(RatesTable!B:B=G9)*(RatesTable!C:C=N9)*(RatesTable!D:D="additional"),0))</f>
        <v>0</v>
      </c>
      <c r="Q9" s="12">
        <f t="array" ref="Q9">IFNA(INDEX(RatesTable!E:E,MATCH(1,(RatesTable!B:B=I9)*(RatesTable!C:C=N9)*(RatesTable!D:D="fixed"),0)),0)</f>
        <v>0</v>
      </c>
      <c r="R9" s="13">
        <f t="array" ref="R9">((M9-0.5)/0.5)*IFNA(INDEX(RatesTable!E:E,MATCH(1,(RatesTable!B:B=I9)*(RatesTable!C:C=N9)*(RatesTable!D:D="additional"),0)),0)</f>
        <v>0</v>
      </c>
      <c r="S9" s="12">
        <f t="shared" si="8"/>
        <v>33</v>
      </c>
      <c r="T9" s="12" t="str">
        <f t="array" ref="T9">INDEX(Invoice!C:C,MATCH(B9,(Invoice!A:A),0))</f>
        <v>0.15</v>
      </c>
      <c r="U9" s="12">
        <f t="shared" si="9"/>
        <v>150</v>
      </c>
      <c r="V9" s="12">
        <f t="shared" si="10"/>
        <v>0.5</v>
      </c>
      <c r="W9" s="12" t="str">
        <f t="array" ref="W9">INDEX(Invoice!F:F,MATCH(B9,(Invoice!A:A),0))</f>
        <v>d</v>
      </c>
      <c r="X9" s="14">
        <f t="array" ref="X9">INDEX(Invoice!H:H,MATCH(B9,(Invoice!A:A),0))</f>
        <v>45.4</v>
      </c>
      <c r="Y9" s="15">
        <f t="shared" si="11"/>
        <v>-12.4</v>
      </c>
      <c r="Z9" s="16">
        <f t="shared" si="12"/>
        <v>-37.57575758</v>
      </c>
      <c r="AA9" s="16">
        <f t="shared" si="13"/>
        <v>137.5</v>
      </c>
      <c r="AB9" s="16">
        <f t="shared" si="14"/>
        <v>0</v>
      </c>
    </row>
    <row r="10">
      <c r="A10" s="11" t="str">
        <f>IFERROR(__xludf.DUMMYFUNCTION("""COMPUTED_VALUE"""),"2001821679")</f>
        <v>2001821679</v>
      </c>
      <c r="B10" s="11" t="str">
        <f t="array" ref="B10">INDEX(Invoice!A:A,MATCH(Calculations!A10,Invoice!B:B,0))</f>
        <v>1091121031745</v>
      </c>
      <c r="C10" s="12">
        <f t="array" ref="C10">INDEX(Invoice!D:D,MATCH(Calculations!A10,Invoice!B:B,0))</f>
        <v>121003</v>
      </c>
      <c r="D10" s="11" t="str">
        <f t="array" ref="D10">INDEX(Invoice!E:E,MATCH(Calculations!A10,Invoice!B:B,0))</f>
        <v>307026</v>
      </c>
      <c r="E10" s="12" t="str">
        <f t="array" ref="E10">INDEX(Invoice!G:G,MATCH(Calculations!A10,Invoice!B:B,0))</f>
        <v>Forward charges</v>
      </c>
      <c r="F10" s="12" t="str">
        <f t="shared" si="1"/>
        <v>Yes</v>
      </c>
      <c r="G10" s="13" t="str">
        <f t="shared" si="2"/>
        <v>fwd</v>
      </c>
      <c r="H10" s="13" t="str">
        <f t="shared" si="3"/>
        <v>No</v>
      </c>
      <c r="I10" s="12" t="str">
        <f t="shared" si="4"/>
        <v/>
      </c>
      <c r="J10" s="12">
        <f>SUMIF(OrderReport!A:A,A10,OrderReport!E:E)</f>
        <v>165</v>
      </c>
      <c r="K10" s="12">
        <f t="shared" si="5"/>
        <v>0.165</v>
      </c>
      <c r="L10" s="12">
        <f t="shared" si="6"/>
        <v>500</v>
      </c>
      <c r="M10" s="12">
        <f t="shared" si="7"/>
        <v>0.5</v>
      </c>
      <c r="N10" s="11" t="str">
        <f t="array" ref="N10">INDEX(PincodeZones!C:C,MATCH(1,(PincodeZones!A:A=C10)*(PincodeZones!B:B=D10),0))</f>
        <v>b</v>
      </c>
      <c r="O10" s="12">
        <f t="array" ref="O10">INDEX(RatesTable!E:E,MATCH(1,(RatesTable!B:B=G10)*(RatesTable!C:C=N10)*(RatesTable!D:D="fixed"),0))</f>
        <v>33</v>
      </c>
      <c r="P10" s="12">
        <f t="array" ref="P10">((M10-0.5)/0.5)*INDEX(RatesTable!E:E,MATCH(1,(RatesTable!B:B=G10)*(RatesTable!C:C=N10)*(RatesTable!D:D="additional"),0))</f>
        <v>0</v>
      </c>
      <c r="Q10" s="12">
        <f t="array" ref="Q10">IFNA(INDEX(RatesTable!E:E,MATCH(1,(RatesTable!B:B=I10)*(RatesTable!C:C=N10)*(RatesTable!D:D="fixed"),0)),0)</f>
        <v>0</v>
      </c>
      <c r="R10" s="13">
        <f t="array" ref="R10">((M10-0.5)/0.5)*IFNA(INDEX(RatesTable!E:E,MATCH(1,(RatesTable!B:B=I10)*(RatesTable!C:C=N10)*(RatesTable!D:D="additional"),0)),0)</f>
        <v>0</v>
      </c>
      <c r="S10" s="12">
        <f t="shared" si="8"/>
        <v>33</v>
      </c>
      <c r="T10" s="12" t="str">
        <f t="array" ref="T10">INDEX(Invoice!C:C,MATCH(B10,(Invoice!A:A),0))</f>
        <v>0.2</v>
      </c>
      <c r="U10" s="12">
        <f t="shared" si="9"/>
        <v>200</v>
      </c>
      <c r="V10" s="12">
        <f t="shared" si="10"/>
        <v>0.5</v>
      </c>
      <c r="W10" s="12" t="str">
        <f t="array" ref="W10">INDEX(Invoice!F:F,MATCH(B10,(Invoice!A:A),0))</f>
        <v>d</v>
      </c>
      <c r="X10" s="14">
        <f t="array" ref="X10">INDEX(Invoice!H:H,MATCH(B10,(Invoice!A:A),0))</f>
        <v>45.4</v>
      </c>
      <c r="Y10" s="15">
        <f t="shared" si="11"/>
        <v>-12.4</v>
      </c>
      <c r="Z10" s="16">
        <f t="shared" si="12"/>
        <v>-37.57575758</v>
      </c>
      <c r="AA10" s="16">
        <f t="shared" si="13"/>
        <v>200</v>
      </c>
      <c r="AB10" s="16">
        <f t="shared" si="14"/>
        <v>0</v>
      </c>
    </row>
    <row r="11">
      <c r="A11" s="11" t="str">
        <f>IFERROR(__xludf.DUMMYFUNCTION("""COMPUTED_VALUE"""),"2001821502")</f>
        <v>2001821502</v>
      </c>
      <c r="B11" s="11" t="str">
        <f t="array" ref="B11">INDEX(Invoice!A:A,MATCH(Calculations!A11,Invoice!B:B,0))</f>
        <v>1091121185863</v>
      </c>
      <c r="C11" s="12">
        <f t="array" ref="C11">INDEX(Invoice!D:D,MATCH(Calculations!A11,Invoice!B:B,0))</f>
        <v>121003</v>
      </c>
      <c r="D11" s="11" t="str">
        <f t="array" ref="D11">INDEX(Invoice!E:E,MATCH(Calculations!A11,Invoice!B:B,0))</f>
        <v>314401</v>
      </c>
      <c r="E11" s="12" t="str">
        <f t="array" ref="E11">INDEX(Invoice!G:G,MATCH(Calculations!A11,Invoice!B:B,0))</f>
        <v>Forward charges</v>
      </c>
      <c r="F11" s="12" t="str">
        <f t="shared" si="1"/>
        <v>Yes</v>
      </c>
      <c r="G11" s="13" t="str">
        <f t="shared" si="2"/>
        <v>fwd</v>
      </c>
      <c r="H11" s="13" t="str">
        <f t="shared" si="3"/>
        <v>No</v>
      </c>
      <c r="I11" s="12" t="str">
        <f t="shared" si="4"/>
        <v/>
      </c>
      <c r="J11" s="12">
        <f>SUMIF(OrderReport!A:A,A11,OrderReport!E:E)</f>
        <v>558</v>
      </c>
      <c r="K11" s="12">
        <f t="shared" si="5"/>
        <v>0.558</v>
      </c>
      <c r="L11" s="12">
        <f t="shared" si="6"/>
        <v>1000</v>
      </c>
      <c r="M11" s="12">
        <f t="shared" si="7"/>
        <v>1</v>
      </c>
      <c r="N11" s="11" t="str">
        <f t="array" ref="N11">INDEX(PincodeZones!C:C,MATCH(1,(PincodeZones!A:A=C11)*(PincodeZones!B:B=D11),0))</f>
        <v>b</v>
      </c>
      <c r="O11" s="12">
        <f t="array" ref="O11">INDEX(RatesTable!E:E,MATCH(1,(RatesTable!B:B=G11)*(RatesTable!C:C=N11)*(RatesTable!D:D="fixed"),0))</f>
        <v>33</v>
      </c>
      <c r="P11" s="12">
        <f t="array" ref="P11">((M11-0.5)/0.5)*INDEX(RatesTable!E:E,MATCH(1,(RatesTable!B:B=G11)*(RatesTable!C:C=N11)*(RatesTable!D:D="additional"),0))</f>
        <v>28.3</v>
      </c>
      <c r="Q11" s="12">
        <f t="array" ref="Q11">IFNA(INDEX(RatesTable!E:E,MATCH(1,(RatesTable!B:B=I11)*(RatesTable!C:C=N11)*(RatesTable!D:D="fixed"),0)),0)</f>
        <v>0</v>
      </c>
      <c r="R11" s="13">
        <f t="array" ref="R11">((M11-0.5)/0.5)*IFNA(INDEX(RatesTable!E:E,MATCH(1,(RatesTable!B:B=I11)*(RatesTable!C:C=N11)*(RatesTable!D:D="additional"),0)),0)</f>
        <v>0</v>
      </c>
      <c r="S11" s="12">
        <f t="shared" si="8"/>
        <v>61.3</v>
      </c>
      <c r="T11" s="12" t="str">
        <f t="array" ref="T11">INDEX(Invoice!C:C,MATCH(B11,(Invoice!A:A),0))</f>
        <v>0.6</v>
      </c>
      <c r="U11" s="12">
        <f t="shared" si="9"/>
        <v>600</v>
      </c>
      <c r="V11" s="12">
        <f t="shared" si="10"/>
        <v>1</v>
      </c>
      <c r="W11" s="12" t="str">
        <f t="array" ref="W11">INDEX(Invoice!F:F,MATCH(B11,(Invoice!A:A),0))</f>
        <v>d</v>
      </c>
      <c r="X11" s="14">
        <f t="array" ref="X11">INDEX(Invoice!H:H,MATCH(B11,(Invoice!A:A),0))</f>
        <v>90.2</v>
      </c>
      <c r="Y11" s="15">
        <f t="shared" si="11"/>
        <v>-28.9</v>
      </c>
      <c r="Z11" s="16">
        <f t="shared" si="12"/>
        <v>-47.1451876</v>
      </c>
      <c r="AA11" s="16">
        <f t="shared" si="13"/>
        <v>109.8566308</v>
      </c>
      <c r="AB11" s="16">
        <f t="shared" si="14"/>
        <v>0</v>
      </c>
    </row>
    <row r="12">
      <c r="A12" s="11" t="str">
        <f>IFERROR(__xludf.DUMMYFUNCTION("""COMPUTED_VALUE"""),"2001821284")</f>
        <v>2001821284</v>
      </c>
      <c r="B12" s="11" t="str">
        <f t="array" ref="B12">INDEX(Invoice!A:A,MATCH(Calculations!A12,Invoice!B:B,0))</f>
        <v>1091120962515</v>
      </c>
      <c r="C12" s="12">
        <f t="array" ref="C12">INDEX(Invoice!D:D,MATCH(Calculations!A12,Invoice!B:B,0))</f>
        <v>121003</v>
      </c>
      <c r="D12" s="11" t="str">
        <f t="array" ref="D12">INDEX(Invoice!E:E,MATCH(Calculations!A12,Invoice!B:B,0))</f>
        <v>313001</v>
      </c>
      <c r="E12" s="12" t="str">
        <f t="array" ref="E12">INDEX(Invoice!G:G,MATCH(Calculations!A12,Invoice!B:B,0))</f>
        <v>Forward charges</v>
      </c>
      <c r="F12" s="12" t="str">
        <f t="shared" si="1"/>
        <v>Yes</v>
      </c>
      <c r="G12" s="13" t="str">
        <f t="shared" si="2"/>
        <v>fwd</v>
      </c>
      <c r="H12" s="13" t="str">
        <f t="shared" si="3"/>
        <v>No</v>
      </c>
      <c r="I12" s="12" t="str">
        <f t="shared" si="4"/>
        <v/>
      </c>
      <c r="J12" s="12">
        <f>SUMIF(OrderReport!A:A,A12,OrderReport!E:E)</f>
        <v>177</v>
      </c>
      <c r="K12" s="12">
        <f t="shared" si="5"/>
        <v>0.177</v>
      </c>
      <c r="L12" s="12">
        <f t="shared" si="6"/>
        <v>500</v>
      </c>
      <c r="M12" s="12">
        <f t="shared" si="7"/>
        <v>0.5</v>
      </c>
      <c r="N12" s="11" t="str">
        <f t="array" ref="N12">INDEX(PincodeZones!C:C,MATCH(1,(PincodeZones!A:A=C12)*(PincodeZones!B:B=D12),0))</f>
        <v>b</v>
      </c>
      <c r="O12" s="12">
        <f t="array" ref="O12">INDEX(RatesTable!E:E,MATCH(1,(RatesTable!B:B=G12)*(RatesTable!C:C=N12)*(RatesTable!D:D="fixed"),0))</f>
        <v>33</v>
      </c>
      <c r="P12" s="12">
        <f t="array" ref="P12">((M12-0.5)/0.5)*INDEX(RatesTable!E:E,MATCH(1,(RatesTable!B:B=G12)*(RatesTable!C:C=N12)*(RatesTable!D:D="additional"),0))</f>
        <v>0</v>
      </c>
      <c r="Q12" s="12">
        <f t="array" ref="Q12">IFNA(INDEX(RatesTable!E:E,MATCH(1,(RatesTable!B:B=I12)*(RatesTable!C:C=N12)*(RatesTable!D:D="fixed"),0)),0)</f>
        <v>0</v>
      </c>
      <c r="R12" s="13">
        <f t="array" ref="R12">((M12-0.5)/0.5)*IFNA(INDEX(RatesTable!E:E,MATCH(1,(RatesTable!B:B=I12)*(RatesTable!C:C=N12)*(RatesTable!D:D="additional"),0)),0)</f>
        <v>0</v>
      </c>
      <c r="S12" s="12">
        <f t="shared" si="8"/>
        <v>33</v>
      </c>
      <c r="T12" s="12" t="str">
        <f t="array" ref="T12">INDEX(Invoice!C:C,MATCH(B12,(Invoice!A:A),0))</f>
        <v>0.2</v>
      </c>
      <c r="U12" s="12">
        <f t="shared" si="9"/>
        <v>200</v>
      </c>
      <c r="V12" s="12">
        <f t="shared" si="10"/>
        <v>0.5</v>
      </c>
      <c r="W12" s="12" t="str">
        <f t="array" ref="W12">INDEX(Invoice!F:F,MATCH(B12,(Invoice!A:A),0))</f>
        <v>d</v>
      </c>
      <c r="X12" s="14">
        <f t="array" ref="X12">INDEX(Invoice!H:H,MATCH(B12,(Invoice!A:A),0))</f>
        <v>45.4</v>
      </c>
      <c r="Y12" s="15">
        <f t="shared" si="11"/>
        <v>-12.4</v>
      </c>
      <c r="Z12" s="16">
        <f t="shared" si="12"/>
        <v>-37.57575758</v>
      </c>
      <c r="AA12" s="16">
        <f t="shared" si="13"/>
        <v>186.440678</v>
      </c>
      <c r="AB12" s="16">
        <f t="shared" si="14"/>
        <v>0</v>
      </c>
    </row>
    <row r="13">
      <c r="A13" s="11" t="str">
        <f>IFERROR(__xludf.DUMMYFUNCTION("""COMPUTED_VALUE"""),"2001821190")</f>
        <v>2001821190</v>
      </c>
      <c r="B13" s="11" t="str">
        <f t="array" ref="B13">INDEX(Invoice!A:A,MATCH(Calculations!A13,Invoice!B:B,0))</f>
        <v>1091120959015</v>
      </c>
      <c r="C13" s="12">
        <f t="array" ref="C13">INDEX(Invoice!D:D,MATCH(Calculations!A13,Invoice!B:B,0))</f>
        <v>121003</v>
      </c>
      <c r="D13" s="11" t="str">
        <f t="array" ref="D13">INDEX(Invoice!E:E,MATCH(Calculations!A13,Invoice!B:B,0))</f>
        <v>486661</v>
      </c>
      <c r="E13" s="12" t="str">
        <f t="array" ref="E13">INDEX(Invoice!G:G,MATCH(Calculations!A13,Invoice!B:B,0))</f>
        <v>Forward and RTO charges</v>
      </c>
      <c r="F13" s="12" t="str">
        <f t="shared" si="1"/>
        <v>Yes</v>
      </c>
      <c r="G13" s="13" t="str">
        <f t="shared" si="2"/>
        <v>fwd</v>
      </c>
      <c r="H13" s="13" t="str">
        <f t="shared" si="3"/>
        <v>Yes</v>
      </c>
      <c r="I13" s="12" t="str">
        <f t="shared" si="4"/>
        <v>rto</v>
      </c>
      <c r="J13" s="12">
        <f>SUMIF(OrderReport!A:A,A13,OrderReport!E:E)</f>
        <v>1200</v>
      </c>
      <c r="K13" s="12">
        <f t="shared" si="5"/>
        <v>1.2</v>
      </c>
      <c r="L13" s="12">
        <f t="shared" si="6"/>
        <v>1500</v>
      </c>
      <c r="M13" s="12">
        <f t="shared" si="7"/>
        <v>1.5</v>
      </c>
      <c r="N13" s="11" t="str">
        <f t="array" ref="N13">INDEX(PincodeZones!C:C,MATCH(1,(PincodeZones!A:A=C13)*(PincodeZones!B:B=D13),0))</f>
        <v>d</v>
      </c>
      <c r="O13" s="12">
        <f t="array" ref="O13">INDEX(RatesTable!E:E,MATCH(1,(RatesTable!B:B=G13)*(RatesTable!C:C=N13)*(RatesTable!D:D="fixed"),0))</f>
        <v>45.4</v>
      </c>
      <c r="P13" s="12">
        <f t="array" ref="P13">((M13-0.5)/0.5)*INDEX(RatesTable!E:E,MATCH(1,(RatesTable!B:B=G13)*(RatesTable!C:C=N13)*(RatesTable!D:D="additional"),0))</f>
        <v>89.6</v>
      </c>
      <c r="Q13" s="12">
        <f t="array" ref="Q13">IFNA(INDEX(RatesTable!E:E,MATCH(1,(RatesTable!B:B=I13)*(RatesTable!C:C=N13)*(RatesTable!D:D="fixed"),0)),0)</f>
        <v>41.3</v>
      </c>
      <c r="R13" s="13">
        <f t="array" ref="R13">((M13-0.5)/0.5)*IFNA(INDEX(RatesTable!E:E,MATCH(1,(RatesTable!B:B=I13)*(RatesTable!C:C=N13)*(RatesTable!D:D="additional"),0)),0)</f>
        <v>89.6</v>
      </c>
      <c r="S13" s="12">
        <f t="shared" si="8"/>
        <v>265.9</v>
      </c>
      <c r="T13" s="12" t="str">
        <f t="array" ref="T13">INDEX(Invoice!C:C,MATCH(B13,(Invoice!A:A),0))</f>
        <v>1.2</v>
      </c>
      <c r="U13" s="12">
        <f t="shared" si="9"/>
        <v>1200</v>
      </c>
      <c r="V13" s="12">
        <f t="shared" si="10"/>
        <v>1.5</v>
      </c>
      <c r="W13" s="12" t="str">
        <f t="array" ref="W13">INDEX(Invoice!F:F,MATCH(B13,(Invoice!A:A),0))</f>
        <v>d</v>
      </c>
      <c r="X13" s="14">
        <f t="array" ref="X13">INDEX(Invoice!H:H,MATCH(B13,(Invoice!A:A),0))</f>
        <v>258.9</v>
      </c>
      <c r="Y13" s="15">
        <f t="shared" si="11"/>
        <v>7</v>
      </c>
      <c r="Z13" s="16">
        <f t="shared" si="12"/>
        <v>2.632568635</v>
      </c>
      <c r="AA13" s="16">
        <f t="shared" si="13"/>
        <v>112.5</v>
      </c>
      <c r="AB13" s="16">
        <f t="shared" si="14"/>
        <v>109.0833333</v>
      </c>
    </row>
    <row r="14">
      <c r="A14" s="11" t="str">
        <f>IFERROR(__xludf.DUMMYFUNCTION("""COMPUTED_VALUE"""),"2001821185")</f>
        <v>2001821185</v>
      </c>
      <c r="B14" s="11" t="str">
        <f t="array" ref="B14">INDEX(Invoice!A:A,MATCH(Calculations!A14,Invoice!B:B,0))</f>
        <v>1091120959225</v>
      </c>
      <c r="C14" s="12">
        <f t="array" ref="C14">INDEX(Invoice!D:D,MATCH(Calculations!A14,Invoice!B:B,0))</f>
        <v>121003</v>
      </c>
      <c r="D14" s="11" t="str">
        <f t="array" ref="D14">INDEX(Invoice!E:E,MATCH(Calculations!A14,Invoice!B:B,0))</f>
        <v>313001</v>
      </c>
      <c r="E14" s="12" t="str">
        <f t="array" ref="E14">INDEX(Invoice!G:G,MATCH(Calculations!A14,Invoice!B:B,0))</f>
        <v>Forward charges</v>
      </c>
      <c r="F14" s="12" t="str">
        <f t="shared" si="1"/>
        <v>Yes</v>
      </c>
      <c r="G14" s="13" t="str">
        <f t="shared" si="2"/>
        <v>fwd</v>
      </c>
      <c r="H14" s="13" t="str">
        <f t="shared" si="3"/>
        <v>No</v>
      </c>
      <c r="I14" s="12" t="str">
        <f t="shared" si="4"/>
        <v/>
      </c>
      <c r="J14" s="12">
        <f>SUMIF(OrderReport!A:A,A14,OrderReport!E:E)</f>
        <v>2098</v>
      </c>
      <c r="K14" s="12">
        <f t="shared" si="5"/>
        <v>2.098</v>
      </c>
      <c r="L14" s="12">
        <f t="shared" si="6"/>
        <v>2500</v>
      </c>
      <c r="M14" s="12">
        <f t="shared" si="7"/>
        <v>2.5</v>
      </c>
      <c r="N14" s="11" t="str">
        <f t="array" ref="N14">INDEX(PincodeZones!C:C,MATCH(1,(PincodeZones!A:A=C14)*(PincodeZones!B:B=D14),0))</f>
        <v>b</v>
      </c>
      <c r="O14" s="12">
        <f t="array" ref="O14">INDEX(RatesTable!E:E,MATCH(1,(RatesTable!B:B=G14)*(RatesTable!C:C=N14)*(RatesTable!D:D="fixed"),0))</f>
        <v>33</v>
      </c>
      <c r="P14" s="12">
        <f t="array" ref="P14">((M14-0.5)/0.5)*INDEX(RatesTable!E:E,MATCH(1,(RatesTable!B:B=G14)*(RatesTable!C:C=N14)*(RatesTable!D:D="additional"),0))</f>
        <v>113.2</v>
      </c>
      <c r="Q14" s="12">
        <f t="array" ref="Q14">IFNA(INDEX(RatesTable!E:E,MATCH(1,(RatesTable!B:B=I14)*(RatesTable!C:C=N14)*(RatesTable!D:D="fixed"),0)),0)</f>
        <v>0</v>
      </c>
      <c r="R14" s="13">
        <f t="array" ref="R14">((M14-0.5)/0.5)*IFNA(INDEX(RatesTable!E:E,MATCH(1,(RatesTable!B:B=I14)*(RatesTable!C:C=N14)*(RatesTable!D:D="additional"),0)),0)</f>
        <v>0</v>
      </c>
      <c r="S14" s="12">
        <f t="shared" si="8"/>
        <v>146.2</v>
      </c>
      <c r="T14" s="12" t="str">
        <f t="array" ref="T14">INDEX(Invoice!C:C,MATCH(B14,(Invoice!A:A),0))</f>
        <v>2.1</v>
      </c>
      <c r="U14" s="12">
        <f t="shared" si="9"/>
        <v>2100</v>
      </c>
      <c r="V14" s="12">
        <f t="shared" si="10"/>
        <v>2.5</v>
      </c>
      <c r="W14" s="12" t="str">
        <f t="array" ref="W14">INDEX(Invoice!F:F,MATCH(B14,(Invoice!A:A),0))</f>
        <v>d</v>
      </c>
      <c r="X14" s="14">
        <f t="array" ref="X14">INDEX(Invoice!H:H,MATCH(B14,(Invoice!A:A),0))</f>
        <v>224.6</v>
      </c>
      <c r="Y14" s="15">
        <f t="shared" si="11"/>
        <v>-78.4</v>
      </c>
      <c r="Z14" s="16">
        <f t="shared" si="12"/>
        <v>-53.625171</v>
      </c>
      <c r="AA14" s="16">
        <f t="shared" si="13"/>
        <v>69.68541468</v>
      </c>
      <c r="AB14" s="16">
        <f t="shared" si="14"/>
        <v>0</v>
      </c>
    </row>
    <row r="15">
      <c r="A15" s="11" t="str">
        <f>IFERROR(__xludf.DUMMYFUNCTION("""COMPUTED_VALUE"""),"2001820978")</f>
        <v>2001820978</v>
      </c>
      <c r="B15" s="11" t="str">
        <f t="array" ref="B15">INDEX(Invoice!A:A,MATCH(Calculations!A15,Invoice!B:B,0))</f>
        <v>1091120922803</v>
      </c>
      <c r="C15" s="12">
        <f t="array" ref="C15">INDEX(Invoice!D:D,MATCH(Calculations!A15,Invoice!B:B,0))</f>
        <v>121003</v>
      </c>
      <c r="D15" s="11" t="str">
        <f t="array" ref="D15">INDEX(Invoice!E:E,MATCH(Calculations!A15,Invoice!B:B,0))</f>
        <v>313301</v>
      </c>
      <c r="E15" s="12" t="str">
        <f t="array" ref="E15">INDEX(Invoice!G:G,MATCH(Calculations!A15,Invoice!B:B,0))</f>
        <v>Forward charges</v>
      </c>
      <c r="F15" s="12" t="str">
        <f t="shared" si="1"/>
        <v>Yes</v>
      </c>
      <c r="G15" s="13" t="str">
        <f t="shared" si="2"/>
        <v>fwd</v>
      </c>
      <c r="H15" s="13" t="str">
        <f t="shared" si="3"/>
        <v>No</v>
      </c>
      <c r="I15" s="12" t="str">
        <f t="shared" si="4"/>
        <v/>
      </c>
      <c r="J15" s="12">
        <f>SUMIF(OrderReport!A:A,A15,OrderReport!E:E)</f>
        <v>515</v>
      </c>
      <c r="K15" s="12">
        <f t="shared" si="5"/>
        <v>0.515</v>
      </c>
      <c r="L15" s="12">
        <f t="shared" si="6"/>
        <v>1000</v>
      </c>
      <c r="M15" s="12">
        <f t="shared" si="7"/>
        <v>1</v>
      </c>
      <c r="N15" s="11" t="str">
        <f t="array" ref="N15">INDEX(PincodeZones!C:C,MATCH(1,(PincodeZones!A:A=C15)*(PincodeZones!B:B=D15),0))</f>
        <v>b</v>
      </c>
      <c r="O15" s="12">
        <f t="array" ref="O15">INDEX(RatesTable!E:E,MATCH(1,(RatesTable!B:B=G15)*(RatesTable!C:C=N15)*(RatesTable!D:D="fixed"),0))</f>
        <v>33</v>
      </c>
      <c r="P15" s="12">
        <f t="array" ref="P15">((M15-0.5)/0.5)*INDEX(RatesTable!E:E,MATCH(1,(RatesTable!B:B=G15)*(RatesTable!C:C=N15)*(RatesTable!D:D="additional"),0))</f>
        <v>28.3</v>
      </c>
      <c r="Q15" s="12">
        <f t="array" ref="Q15">IFNA(INDEX(RatesTable!E:E,MATCH(1,(RatesTable!B:B=I15)*(RatesTable!C:C=N15)*(RatesTable!D:D="fixed"),0)),0)</f>
        <v>0</v>
      </c>
      <c r="R15" s="13">
        <f t="array" ref="R15">((M15-0.5)/0.5)*IFNA(INDEX(RatesTable!E:E,MATCH(1,(RatesTable!B:B=I15)*(RatesTable!C:C=N15)*(RatesTable!D:D="additional"),0)),0)</f>
        <v>0</v>
      </c>
      <c r="S15" s="12">
        <f t="shared" si="8"/>
        <v>61.3</v>
      </c>
      <c r="T15" s="12" t="str">
        <f t="array" ref="T15">INDEX(Invoice!C:C,MATCH(B15,(Invoice!A:A),0))</f>
        <v>0.5</v>
      </c>
      <c r="U15" s="12">
        <f t="shared" si="9"/>
        <v>500</v>
      </c>
      <c r="V15" s="12">
        <f t="shared" si="10"/>
        <v>0.5</v>
      </c>
      <c r="W15" s="12" t="str">
        <f t="array" ref="W15">INDEX(Invoice!F:F,MATCH(B15,(Invoice!A:A),0))</f>
        <v>d</v>
      </c>
      <c r="X15" s="14">
        <f t="array" ref="X15">INDEX(Invoice!H:H,MATCH(B15,(Invoice!A:A),0))</f>
        <v>45.4</v>
      </c>
      <c r="Y15" s="15">
        <f t="shared" si="11"/>
        <v>15.9</v>
      </c>
      <c r="Z15" s="16">
        <f t="shared" si="12"/>
        <v>25.93800979</v>
      </c>
      <c r="AA15" s="16">
        <f t="shared" si="13"/>
        <v>119.0291262</v>
      </c>
      <c r="AB15" s="16">
        <f t="shared" si="14"/>
        <v>0</v>
      </c>
    </row>
    <row r="16">
      <c r="A16" s="11" t="str">
        <f>IFERROR(__xludf.DUMMYFUNCTION("""COMPUTED_VALUE"""),"2001820690")</f>
        <v>2001820690</v>
      </c>
      <c r="B16" s="11" t="str">
        <f t="array" ref="B16">INDEX(Invoice!A:A,MATCH(Calculations!A16,Invoice!B:B,0))</f>
        <v>1091121306101</v>
      </c>
      <c r="C16" s="12">
        <f t="array" ref="C16">INDEX(Invoice!D:D,MATCH(Calculations!A16,Invoice!B:B,0))</f>
        <v>121003</v>
      </c>
      <c r="D16" s="11" t="str">
        <f t="array" ref="D16">INDEX(Invoice!E:E,MATCH(Calculations!A16,Invoice!B:B,0))</f>
        <v>313003</v>
      </c>
      <c r="E16" s="12" t="str">
        <f t="array" ref="E16">INDEX(Invoice!G:G,MATCH(Calculations!A16,Invoice!B:B,0))</f>
        <v>Forward charges</v>
      </c>
      <c r="F16" s="12" t="str">
        <f t="shared" si="1"/>
        <v>Yes</v>
      </c>
      <c r="G16" s="13" t="str">
        <f t="shared" si="2"/>
        <v>fwd</v>
      </c>
      <c r="H16" s="13" t="str">
        <f t="shared" si="3"/>
        <v>No</v>
      </c>
      <c r="I16" s="12" t="str">
        <f t="shared" si="4"/>
        <v/>
      </c>
      <c r="J16" s="12">
        <f>SUMIF(OrderReport!A:A,A16,OrderReport!E:E)</f>
        <v>65</v>
      </c>
      <c r="K16" s="12">
        <f t="shared" si="5"/>
        <v>0.065</v>
      </c>
      <c r="L16" s="12">
        <f t="shared" si="6"/>
        <v>500</v>
      </c>
      <c r="M16" s="12">
        <f t="shared" si="7"/>
        <v>0.5</v>
      </c>
      <c r="N16" s="11" t="str">
        <f t="array" ref="N16">INDEX(PincodeZones!C:C,MATCH(1,(PincodeZones!A:A=C16)*(PincodeZones!B:B=D16),0))</f>
        <v>b</v>
      </c>
      <c r="O16" s="12">
        <f t="array" ref="O16">INDEX(RatesTable!E:E,MATCH(1,(RatesTable!B:B=G16)*(RatesTable!C:C=N16)*(RatesTable!D:D="fixed"),0))</f>
        <v>33</v>
      </c>
      <c r="P16" s="12">
        <f t="array" ref="P16">((M16-0.5)/0.5)*INDEX(RatesTable!E:E,MATCH(1,(RatesTable!B:B=G16)*(RatesTable!C:C=N16)*(RatesTable!D:D="additional"),0))</f>
        <v>0</v>
      </c>
      <c r="Q16" s="12">
        <f t="array" ref="Q16">IFNA(INDEX(RatesTable!E:E,MATCH(1,(RatesTable!B:B=I16)*(RatesTable!C:C=N16)*(RatesTable!D:D="fixed"),0)),0)</f>
        <v>0</v>
      </c>
      <c r="R16" s="13">
        <f t="array" ref="R16">((M16-0.5)/0.5)*IFNA(INDEX(RatesTable!E:E,MATCH(1,(RatesTable!B:B=I16)*(RatesTable!C:C=N16)*(RatesTable!D:D="additional"),0)),0)</f>
        <v>0</v>
      </c>
      <c r="S16" s="12">
        <f t="shared" si="8"/>
        <v>33</v>
      </c>
      <c r="T16" s="12" t="str">
        <f t="array" ref="T16">INDEX(Invoice!C:C,MATCH(B16,(Invoice!A:A),0))</f>
        <v>0.15</v>
      </c>
      <c r="U16" s="12">
        <f t="shared" si="9"/>
        <v>150</v>
      </c>
      <c r="V16" s="12">
        <f t="shared" si="10"/>
        <v>0.5</v>
      </c>
      <c r="W16" s="12" t="str">
        <f t="array" ref="W16">INDEX(Invoice!F:F,MATCH(B16,(Invoice!A:A),0))</f>
        <v>d</v>
      </c>
      <c r="X16" s="14">
        <f t="array" ref="X16">INDEX(Invoice!H:H,MATCH(B16,(Invoice!A:A),0))</f>
        <v>45.4</v>
      </c>
      <c r="Y16" s="15">
        <f t="shared" si="11"/>
        <v>-12.4</v>
      </c>
      <c r="Z16" s="16">
        <f t="shared" si="12"/>
        <v>-37.57575758</v>
      </c>
      <c r="AA16" s="16">
        <f t="shared" si="13"/>
        <v>507.6923077</v>
      </c>
      <c r="AB16" s="16">
        <f t="shared" si="14"/>
        <v>0</v>
      </c>
    </row>
    <row r="17">
      <c r="A17" s="11" t="str">
        <f>IFERROR(__xludf.DUMMYFUNCTION("""COMPUTED_VALUE"""),"2001819252")</f>
        <v>2001819252</v>
      </c>
      <c r="B17" s="11" t="str">
        <f t="array" ref="B17">INDEX(Invoice!A:A,MATCH(Calculations!A17,Invoice!B:B,0))</f>
        <v>1091120352712</v>
      </c>
      <c r="C17" s="12">
        <f t="array" ref="C17">INDEX(Invoice!D:D,MATCH(Calculations!A17,Invoice!B:B,0))</f>
        <v>121003</v>
      </c>
      <c r="D17" s="11" t="str">
        <f t="array" ref="D17">INDEX(Invoice!E:E,MATCH(Calculations!A17,Invoice!B:B,0))</f>
        <v>174101</v>
      </c>
      <c r="E17" s="12" t="str">
        <f t="array" ref="E17">INDEX(Invoice!G:G,MATCH(Calculations!A17,Invoice!B:B,0))</f>
        <v>Forward charges</v>
      </c>
      <c r="F17" s="12" t="str">
        <f t="shared" si="1"/>
        <v>Yes</v>
      </c>
      <c r="G17" s="13" t="str">
        <f t="shared" si="2"/>
        <v>fwd</v>
      </c>
      <c r="H17" s="13" t="str">
        <f t="shared" si="3"/>
        <v>No</v>
      </c>
      <c r="I17" s="12" t="str">
        <f t="shared" si="4"/>
        <v/>
      </c>
      <c r="J17" s="12">
        <f>SUMIF(OrderReport!A:A,A17,OrderReport!E:E)</f>
        <v>270</v>
      </c>
      <c r="K17" s="12">
        <f t="shared" si="5"/>
        <v>0.27</v>
      </c>
      <c r="L17" s="12">
        <f t="shared" si="6"/>
        <v>500</v>
      </c>
      <c r="M17" s="12">
        <f t="shared" si="7"/>
        <v>0.5</v>
      </c>
      <c r="N17" s="11" t="str">
        <f t="array" ref="N17">INDEX(PincodeZones!C:C,MATCH(1,(PincodeZones!A:A=C17)*(PincodeZones!B:B=D17),0))</f>
        <v>e</v>
      </c>
      <c r="O17" s="12">
        <f t="array" ref="O17">INDEX(RatesTable!E:E,MATCH(1,(RatesTable!B:B=G17)*(RatesTable!C:C=N17)*(RatesTable!D:D="fixed"),0))</f>
        <v>56.6</v>
      </c>
      <c r="P17" s="12">
        <f t="array" ref="P17">((M17-0.5)/0.5)*INDEX(RatesTable!E:E,MATCH(1,(RatesTable!B:B=G17)*(RatesTable!C:C=N17)*(RatesTable!D:D="additional"),0))</f>
        <v>0</v>
      </c>
      <c r="Q17" s="12">
        <f t="array" ref="Q17">IFNA(INDEX(RatesTable!E:E,MATCH(1,(RatesTable!B:B=I17)*(RatesTable!C:C=N17)*(RatesTable!D:D="fixed"),0)),0)</f>
        <v>0</v>
      </c>
      <c r="R17" s="13">
        <f t="array" ref="R17">((M17-0.5)/0.5)*IFNA(INDEX(RatesTable!E:E,MATCH(1,(RatesTable!B:B=I17)*(RatesTable!C:C=N17)*(RatesTable!D:D="additional"),0)),0)</f>
        <v>0</v>
      </c>
      <c r="S17" s="12">
        <f t="shared" si="8"/>
        <v>56.6</v>
      </c>
      <c r="T17" s="12" t="str">
        <f t="array" ref="T17">INDEX(Invoice!C:C,MATCH(B17,(Invoice!A:A),0))</f>
        <v>0.3</v>
      </c>
      <c r="U17" s="12">
        <f t="shared" si="9"/>
        <v>300</v>
      </c>
      <c r="V17" s="12">
        <f t="shared" si="10"/>
        <v>0.5</v>
      </c>
      <c r="W17" s="12" t="str">
        <f t="array" ref="W17">INDEX(Invoice!F:F,MATCH(B17,(Invoice!A:A),0))</f>
        <v>b</v>
      </c>
      <c r="X17" s="14">
        <f t="array" ref="X17">INDEX(Invoice!H:H,MATCH(B17,(Invoice!A:A),0))</f>
        <v>33</v>
      </c>
      <c r="Y17" s="15">
        <f t="shared" si="11"/>
        <v>23.6</v>
      </c>
      <c r="Z17" s="16">
        <f t="shared" si="12"/>
        <v>41.69611307</v>
      </c>
      <c r="AA17" s="16">
        <f t="shared" si="13"/>
        <v>209.6296296</v>
      </c>
      <c r="AB17" s="16">
        <f t="shared" si="14"/>
        <v>0</v>
      </c>
    </row>
    <row r="18">
      <c r="A18" s="11" t="str">
        <f>IFERROR(__xludf.DUMMYFUNCTION("""COMPUTED_VALUE"""),"2001818390")</f>
        <v>2001818390</v>
      </c>
      <c r="B18" s="11" t="str">
        <f t="array" ref="B18">INDEX(Invoice!A:A,MATCH(Calculations!A18,Invoice!B:B,0))</f>
        <v>1091120014461</v>
      </c>
      <c r="C18" s="12">
        <f t="array" ref="C18">INDEX(Invoice!D:D,MATCH(Calculations!A18,Invoice!B:B,0))</f>
        <v>121003</v>
      </c>
      <c r="D18" s="11" t="str">
        <f t="array" ref="D18">INDEX(Invoice!E:E,MATCH(Calculations!A18,Invoice!B:B,0))</f>
        <v>783301</v>
      </c>
      <c r="E18" s="12" t="str">
        <f t="array" ref="E18">INDEX(Invoice!G:G,MATCH(Calculations!A18,Invoice!B:B,0))</f>
        <v>Forward and RTO charges</v>
      </c>
      <c r="F18" s="12" t="str">
        <f t="shared" si="1"/>
        <v>Yes</v>
      </c>
      <c r="G18" s="13" t="str">
        <f t="shared" si="2"/>
        <v>fwd</v>
      </c>
      <c r="H18" s="13" t="str">
        <f t="shared" si="3"/>
        <v>Yes</v>
      </c>
      <c r="I18" s="12" t="str">
        <f t="shared" si="4"/>
        <v>rto</v>
      </c>
      <c r="J18" s="12">
        <f>SUMIF(OrderReport!A:A,A18,OrderReport!E:E)</f>
        <v>841</v>
      </c>
      <c r="K18" s="12">
        <f t="shared" si="5"/>
        <v>0.841</v>
      </c>
      <c r="L18" s="12">
        <f t="shared" si="6"/>
        <v>1000</v>
      </c>
      <c r="M18" s="12">
        <f t="shared" si="7"/>
        <v>1</v>
      </c>
      <c r="N18" s="11" t="str">
        <f t="array" ref="N18">INDEX(PincodeZones!C:C,MATCH(1,(PincodeZones!A:A=C18)*(PincodeZones!B:B=D18),0))</f>
        <v>e</v>
      </c>
      <c r="O18" s="12">
        <f t="array" ref="O18">INDEX(RatesTable!E:E,MATCH(1,(RatesTable!B:B=G18)*(RatesTable!C:C=N18)*(RatesTable!D:D="fixed"),0))</f>
        <v>56.6</v>
      </c>
      <c r="P18" s="12">
        <f t="array" ref="P18">((M18-0.5)/0.5)*INDEX(RatesTable!E:E,MATCH(1,(RatesTable!B:B=G18)*(RatesTable!C:C=N18)*(RatesTable!D:D="additional"),0))</f>
        <v>55.5</v>
      </c>
      <c r="Q18" s="12">
        <f t="array" ref="Q18">IFNA(INDEX(RatesTable!E:E,MATCH(1,(RatesTable!B:B=I18)*(RatesTable!C:C=N18)*(RatesTable!D:D="fixed"),0)),0)</f>
        <v>50.7</v>
      </c>
      <c r="R18" s="13">
        <f t="array" ref="R18">((M18-0.5)/0.5)*IFNA(INDEX(RatesTable!E:E,MATCH(1,(RatesTable!B:B=I18)*(RatesTable!C:C=N18)*(RatesTable!D:D="additional"),0)),0)</f>
        <v>55.5</v>
      </c>
      <c r="S18" s="12">
        <f t="shared" si="8"/>
        <v>218.3</v>
      </c>
      <c r="T18" s="12" t="str">
        <f t="array" ref="T18">INDEX(Invoice!C:C,MATCH(B18,(Invoice!A:A),0))</f>
        <v>0.8</v>
      </c>
      <c r="U18" s="12">
        <f t="shared" si="9"/>
        <v>800</v>
      </c>
      <c r="V18" s="12">
        <f t="shared" si="10"/>
        <v>1</v>
      </c>
      <c r="W18" s="12" t="str">
        <f t="array" ref="W18">INDEX(Invoice!F:F,MATCH(B18,(Invoice!A:A),0))</f>
        <v>e</v>
      </c>
      <c r="X18" s="14">
        <f t="array" ref="X18">INDEX(Invoice!H:H,MATCH(B18,(Invoice!A:A),0))</f>
        <v>213.5</v>
      </c>
      <c r="Y18" s="15">
        <f t="shared" si="11"/>
        <v>4.8</v>
      </c>
      <c r="Z18" s="16">
        <f t="shared" si="12"/>
        <v>2.198808978</v>
      </c>
      <c r="AA18" s="16">
        <f t="shared" si="13"/>
        <v>133.293698</v>
      </c>
      <c r="AB18" s="16">
        <f t="shared" si="14"/>
        <v>126.2782402</v>
      </c>
    </row>
    <row r="19">
      <c r="A19" s="11" t="str">
        <f>IFERROR(__xludf.DUMMYFUNCTION("""COMPUTED_VALUE"""),"2001817160")</f>
        <v>2001817160</v>
      </c>
      <c r="B19" s="11" t="str">
        <f t="array" ref="B19">INDEX(Invoice!A:A,MATCH(Calculations!A19,Invoice!B:B,0))</f>
        <v>1091119630264</v>
      </c>
      <c r="C19" s="12">
        <f t="array" ref="C19">INDEX(Invoice!D:D,MATCH(Calculations!A19,Invoice!B:B,0))</f>
        <v>121003</v>
      </c>
      <c r="D19" s="11" t="str">
        <f t="array" ref="D19">INDEX(Invoice!E:E,MATCH(Calculations!A19,Invoice!B:B,0))</f>
        <v>411014</v>
      </c>
      <c r="E19" s="12" t="str">
        <f t="array" ref="E19">INDEX(Invoice!G:G,MATCH(Calculations!A19,Invoice!B:B,0))</f>
        <v>Forward and RTO charges</v>
      </c>
      <c r="F19" s="12" t="str">
        <f t="shared" si="1"/>
        <v>Yes</v>
      </c>
      <c r="G19" s="13" t="str">
        <f t="shared" si="2"/>
        <v>fwd</v>
      </c>
      <c r="H19" s="13" t="str">
        <f t="shared" si="3"/>
        <v>Yes</v>
      </c>
      <c r="I19" s="12" t="str">
        <f t="shared" si="4"/>
        <v>rto</v>
      </c>
      <c r="J19" s="12">
        <f>SUMIF(OrderReport!A:A,A19,OrderReport!E:E)</f>
        <v>700</v>
      </c>
      <c r="K19" s="12">
        <f t="shared" si="5"/>
        <v>0.7</v>
      </c>
      <c r="L19" s="12">
        <f t="shared" si="6"/>
        <v>1000</v>
      </c>
      <c r="M19" s="12">
        <f t="shared" si="7"/>
        <v>1</v>
      </c>
      <c r="N19" s="11" t="str">
        <f t="array" ref="N19">INDEX(PincodeZones!C:C,MATCH(1,(PincodeZones!A:A=C19)*(PincodeZones!B:B=D19),0))</f>
        <v>d</v>
      </c>
      <c r="O19" s="12">
        <f t="array" ref="O19">INDEX(RatesTable!E:E,MATCH(1,(RatesTable!B:B=G19)*(RatesTable!C:C=N19)*(RatesTable!D:D="fixed"),0))</f>
        <v>45.4</v>
      </c>
      <c r="P19" s="12">
        <f t="array" ref="P19">((M19-0.5)/0.5)*INDEX(RatesTable!E:E,MATCH(1,(RatesTable!B:B=G19)*(RatesTable!C:C=N19)*(RatesTable!D:D="additional"),0))</f>
        <v>44.8</v>
      </c>
      <c r="Q19" s="12">
        <f t="array" ref="Q19">IFNA(INDEX(RatesTable!E:E,MATCH(1,(RatesTable!B:B=I19)*(RatesTable!C:C=N19)*(RatesTable!D:D="fixed"),0)),0)</f>
        <v>41.3</v>
      </c>
      <c r="R19" s="13">
        <f t="array" ref="R19">((M19-0.5)/0.5)*IFNA(INDEX(RatesTable!E:E,MATCH(1,(RatesTable!B:B=I19)*(RatesTable!C:C=N19)*(RatesTable!D:D="additional"),0)),0)</f>
        <v>44.8</v>
      </c>
      <c r="S19" s="12">
        <f t="shared" si="8"/>
        <v>176.3</v>
      </c>
      <c r="T19" s="12" t="str">
        <f t="array" ref="T19">INDEX(Invoice!C:C,MATCH(B19,(Invoice!A:A),0))</f>
        <v>0.7</v>
      </c>
      <c r="U19" s="12">
        <f t="shared" si="9"/>
        <v>700</v>
      </c>
      <c r="V19" s="12">
        <f t="shared" si="10"/>
        <v>1</v>
      </c>
      <c r="W19" s="12" t="str">
        <f t="array" ref="W19">INDEX(Invoice!F:F,MATCH(B19,(Invoice!A:A),0))</f>
        <v>d</v>
      </c>
      <c r="X19" s="14">
        <f t="array" ref="X19">INDEX(Invoice!H:H,MATCH(B19,(Invoice!A:A),0))</f>
        <v>172.8</v>
      </c>
      <c r="Y19" s="15">
        <f t="shared" si="11"/>
        <v>3.5</v>
      </c>
      <c r="Z19" s="16">
        <f t="shared" si="12"/>
        <v>1.985252411</v>
      </c>
      <c r="AA19" s="16">
        <f t="shared" si="13"/>
        <v>128.8571429</v>
      </c>
      <c r="AB19" s="16">
        <f t="shared" si="14"/>
        <v>123</v>
      </c>
    </row>
    <row r="20">
      <c r="A20" s="11" t="str">
        <f>IFERROR(__xludf.DUMMYFUNCTION("""COMPUTED_VALUE"""),"2001817093")</f>
        <v>2001817093</v>
      </c>
      <c r="B20" s="11" t="str">
        <f t="array" ref="B20">INDEX(Invoice!A:A,MATCH(Calculations!A20,Invoice!B:B,0))</f>
        <v>1091121485824</v>
      </c>
      <c r="C20" s="12">
        <f t="array" ref="C20">INDEX(Invoice!D:D,MATCH(Calculations!A20,Invoice!B:B,0))</f>
        <v>121003</v>
      </c>
      <c r="D20" s="11" t="str">
        <f t="array" ref="D20">INDEX(Invoice!E:E,MATCH(Calculations!A20,Invoice!B:B,0))</f>
        <v>244001</v>
      </c>
      <c r="E20" s="12" t="str">
        <f t="array" ref="E20">INDEX(Invoice!G:G,MATCH(Calculations!A20,Invoice!B:B,0))</f>
        <v>Forward and RTO charges</v>
      </c>
      <c r="F20" s="12" t="str">
        <f t="shared" si="1"/>
        <v>Yes</v>
      </c>
      <c r="G20" s="13" t="str">
        <f t="shared" si="2"/>
        <v>fwd</v>
      </c>
      <c r="H20" s="13" t="str">
        <f t="shared" si="3"/>
        <v>Yes</v>
      </c>
      <c r="I20" s="12" t="str">
        <f t="shared" si="4"/>
        <v>rto</v>
      </c>
      <c r="J20" s="12">
        <f>SUMIF(OrderReport!A:A,A20,OrderReport!E:E)</f>
        <v>1357</v>
      </c>
      <c r="K20" s="12">
        <f t="shared" si="5"/>
        <v>1.357</v>
      </c>
      <c r="L20" s="12">
        <f t="shared" si="6"/>
        <v>1500</v>
      </c>
      <c r="M20" s="12">
        <f t="shared" si="7"/>
        <v>1.5</v>
      </c>
      <c r="N20" s="11" t="str">
        <f t="array" ref="N20">INDEX(PincodeZones!C:C,MATCH(1,(PincodeZones!A:A=C20)*(PincodeZones!B:B=D20),0))</f>
        <v>b</v>
      </c>
      <c r="O20" s="12">
        <f t="array" ref="O20">INDEX(RatesTable!E:E,MATCH(1,(RatesTable!B:B=G20)*(RatesTable!C:C=N20)*(RatesTable!D:D="fixed"),0))</f>
        <v>33</v>
      </c>
      <c r="P20" s="12">
        <f t="array" ref="P20">((M20-0.5)/0.5)*INDEX(RatesTable!E:E,MATCH(1,(RatesTable!B:B=G20)*(RatesTable!C:C=N20)*(RatesTable!D:D="additional"),0))</f>
        <v>56.6</v>
      </c>
      <c r="Q20" s="12">
        <f t="array" ref="Q20">IFNA(INDEX(RatesTable!E:E,MATCH(1,(RatesTable!B:B=I20)*(RatesTable!C:C=N20)*(RatesTable!D:D="fixed"),0)),0)</f>
        <v>20.5</v>
      </c>
      <c r="R20" s="13">
        <f t="array" ref="R20">((M20-0.5)/0.5)*IFNA(INDEX(RatesTable!E:E,MATCH(1,(RatesTable!B:B=I20)*(RatesTable!C:C=N20)*(RatesTable!D:D="additional"),0)),0)</f>
        <v>56.6</v>
      </c>
      <c r="S20" s="12">
        <f t="shared" si="8"/>
        <v>166.7</v>
      </c>
      <c r="T20" s="12" t="str">
        <f t="array" ref="T20">INDEX(Invoice!C:C,MATCH(B20,(Invoice!A:A),0))</f>
        <v>1.3</v>
      </c>
      <c r="U20" s="12">
        <f t="shared" si="9"/>
        <v>1300</v>
      </c>
      <c r="V20" s="12">
        <f t="shared" si="10"/>
        <v>1.5</v>
      </c>
      <c r="W20" s="12" t="str">
        <f t="array" ref="W20">INDEX(Invoice!F:F,MATCH(B20,(Invoice!A:A),0))</f>
        <v>b</v>
      </c>
      <c r="X20" s="14">
        <f t="array" ref="X20">INDEX(Invoice!H:H,MATCH(B20,(Invoice!A:A),0))</f>
        <v>151.1</v>
      </c>
      <c r="Y20" s="15">
        <f t="shared" si="11"/>
        <v>15.6</v>
      </c>
      <c r="Z20" s="16">
        <f t="shared" si="12"/>
        <v>9.358128374</v>
      </c>
      <c r="AA20" s="16">
        <f t="shared" si="13"/>
        <v>66.02800295</v>
      </c>
      <c r="AB20" s="16">
        <f t="shared" si="14"/>
        <v>56.816507</v>
      </c>
    </row>
    <row r="21" ht="15.75" customHeight="1">
      <c r="A21" s="11" t="str">
        <f>IFERROR(__xludf.DUMMYFUNCTION("""COMPUTED_VALUE"""),"2001816996")</f>
        <v>2001816996</v>
      </c>
      <c r="B21" s="11" t="str">
        <f t="array" ref="B21">INDEX(Invoice!A:A,MATCH(Calculations!A21,Invoice!B:B,0))</f>
        <v>1091119429202</v>
      </c>
      <c r="C21" s="12">
        <f t="array" ref="C21">INDEX(Invoice!D:D,MATCH(Calculations!A21,Invoice!B:B,0))</f>
        <v>121003</v>
      </c>
      <c r="D21" s="11" t="str">
        <f t="array" ref="D21">INDEX(Invoice!E:E,MATCH(Calculations!A21,Invoice!B:B,0))</f>
        <v>335512</v>
      </c>
      <c r="E21" s="12" t="str">
        <f t="array" ref="E21">INDEX(Invoice!G:G,MATCH(Calculations!A21,Invoice!B:B,0))</f>
        <v>Forward charges</v>
      </c>
      <c r="F21" s="12" t="str">
        <f t="shared" si="1"/>
        <v>Yes</v>
      </c>
      <c r="G21" s="13" t="str">
        <f t="shared" si="2"/>
        <v>fwd</v>
      </c>
      <c r="H21" s="13" t="str">
        <f t="shared" si="3"/>
        <v>No</v>
      </c>
      <c r="I21" s="12" t="str">
        <f t="shared" si="4"/>
        <v/>
      </c>
      <c r="J21" s="12">
        <f>SUMIF(OrderReport!A:A,A21,OrderReport!E:E)</f>
        <v>500</v>
      </c>
      <c r="K21" s="12">
        <f t="shared" si="5"/>
        <v>0.5</v>
      </c>
      <c r="L21" s="12">
        <f t="shared" si="6"/>
        <v>500</v>
      </c>
      <c r="M21" s="12">
        <f t="shared" si="7"/>
        <v>0.5</v>
      </c>
      <c r="N21" s="11" t="str">
        <f t="array" ref="N21">INDEX(PincodeZones!C:C,MATCH(1,(PincodeZones!A:A=C21)*(PincodeZones!B:B=D21),0))</f>
        <v>b</v>
      </c>
      <c r="O21" s="12">
        <f t="array" ref="O21">INDEX(RatesTable!E:E,MATCH(1,(RatesTable!B:B=G21)*(RatesTable!C:C=N21)*(RatesTable!D:D="fixed"),0))</f>
        <v>33</v>
      </c>
      <c r="P21" s="12">
        <f t="array" ref="P21">((M21-0.5)/0.5)*INDEX(RatesTable!E:E,MATCH(1,(RatesTable!B:B=G21)*(RatesTable!C:C=N21)*(RatesTable!D:D="additional"),0))</f>
        <v>0</v>
      </c>
      <c r="Q21" s="12">
        <f t="array" ref="Q21">IFNA(INDEX(RatesTable!E:E,MATCH(1,(RatesTable!B:B=I21)*(RatesTable!C:C=N21)*(RatesTable!D:D="fixed"),0)),0)</f>
        <v>0</v>
      </c>
      <c r="R21" s="13">
        <f t="array" ref="R21">((M21-0.5)/0.5)*IFNA(INDEX(RatesTable!E:E,MATCH(1,(RatesTable!B:B=I21)*(RatesTable!C:C=N21)*(RatesTable!D:D="additional"),0)),0)</f>
        <v>0</v>
      </c>
      <c r="S21" s="12">
        <f t="shared" si="8"/>
        <v>33</v>
      </c>
      <c r="T21" s="12" t="str">
        <f t="array" ref="T21">INDEX(Invoice!C:C,MATCH(B21,(Invoice!A:A),0))</f>
        <v>0.5</v>
      </c>
      <c r="U21" s="12">
        <f t="shared" si="9"/>
        <v>500</v>
      </c>
      <c r="V21" s="12">
        <f t="shared" si="10"/>
        <v>0.5</v>
      </c>
      <c r="W21" s="12" t="str">
        <f t="array" ref="W21">INDEX(Invoice!F:F,MATCH(B21,(Invoice!A:A),0))</f>
        <v>d</v>
      </c>
      <c r="X21" s="14">
        <f t="array" ref="X21">INDEX(Invoice!H:H,MATCH(B21,(Invoice!A:A),0))</f>
        <v>45.4</v>
      </c>
      <c r="Y21" s="15">
        <f t="shared" si="11"/>
        <v>-12.4</v>
      </c>
      <c r="Z21" s="16">
        <f t="shared" si="12"/>
        <v>-37.57575758</v>
      </c>
      <c r="AA21" s="16">
        <f t="shared" si="13"/>
        <v>66</v>
      </c>
      <c r="AB21" s="16">
        <f t="shared" si="14"/>
        <v>0</v>
      </c>
    </row>
    <row r="22" ht="15.75" customHeight="1">
      <c r="A22" s="11" t="str">
        <f>IFERROR(__xludf.DUMMYFUNCTION("""COMPUTED_VALUE"""),"2001816684")</f>
        <v>2001816684</v>
      </c>
      <c r="B22" s="11" t="str">
        <f t="array" ref="B22">INDEX(Invoice!A:A,MATCH(Calculations!A22,Invoice!B:B,0))</f>
        <v>1091119398844</v>
      </c>
      <c r="C22" s="12">
        <f t="array" ref="C22">INDEX(Invoice!D:D,MATCH(Calculations!A22,Invoice!B:B,0))</f>
        <v>121003</v>
      </c>
      <c r="D22" s="11" t="str">
        <f t="array" ref="D22">INDEX(Invoice!E:E,MATCH(Calculations!A22,Invoice!B:B,0))</f>
        <v>394210</v>
      </c>
      <c r="E22" s="12" t="str">
        <f t="array" ref="E22">INDEX(Invoice!G:G,MATCH(Calculations!A22,Invoice!B:B,0))</f>
        <v>Forward and RTO charges</v>
      </c>
      <c r="F22" s="12" t="str">
        <f t="shared" si="1"/>
        <v>Yes</v>
      </c>
      <c r="G22" s="13" t="str">
        <f t="shared" si="2"/>
        <v>fwd</v>
      </c>
      <c r="H22" s="13" t="str">
        <f t="shared" si="3"/>
        <v>Yes</v>
      </c>
      <c r="I22" s="12" t="str">
        <f t="shared" si="4"/>
        <v>rto</v>
      </c>
      <c r="J22" s="12">
        <f>SUMIF(OrderReport!A:A,A22,OrderReport!E:E)</f>
        <v>920</v>
      </c>
      <c r="K22" s="12">
        <f t="shared" si="5"/>
        <v>0.92</v>
      </c>
      <c r="L22" s="12">
        <f t="shared" si="6"/>
        <v>1000</v>
      </c>
      <c r="M22" s="12">
        <f t="shared" si="7"/>
        <v>1</v>
      </c>
      <c r="N22" s="11" t="str">
        <f t="array" ref="N22">INDEX(PincodeZones!C:C,MATCH(1,(PincodeZones!A:A=C22)*(PincodeZones!B:B=D22),0))</f>
        <v>d</v>
      </c>
      <c r="O22" s="12">
        <f t="array" ref="O22">INDEX(RatesTable!E:E,MATCH(1,(RatesTable!B:B=G22)*(RatesTable!C:C=N22)*(RatesTable!D:D="fixed"),0))</f>
        <v>45.4</v>
      </c>
      <c r="P22" s="12">
        <f t="array" ref="P22">((M22-0.5)/0.5)*INDEX(RatesTable!E:E,MATCH(1,(RatesTable!B:B=G22)*(RatesTable!C:C=N22)*(RatesTable!D:D="additional"),0))</f>
        <v>44.8</v>
      </c>
      <c r="Q22" s="12">
        <f t="array" ref="Q22">IFNA(INDEX(RatesTable!E:E,MATCH(1,(RatesTable!B:B=I22)*(RatesTable!C:C=N22)*(RatesTable!D:D="fixed"),0)),0)</f>
        <v>41.3</v>
      </c>
      <c r="R22" s="13">
        <f t="array" ref="R22">((M22-0.5)/0.5)*IFNA(INDEX(RatesTable!E:E,MATCH(1,(RatesTable!B:B=I22)*(RatesTable!C:C=N22)*(RatesTable!D:D="additional"),0)),0)</f>
        <v>44.8</v>
      </c>
      <c r="S22" s="12">
        <f t="shared" si="8"/>
        <v>176.3</v>
      </c>
      <c r="T22" s="12" t="str">
        <f t="array" ref="T22">INDEX(Invoice!C:C,MATCH(B22,(Invoice!A:A),0))</f>
        <v>0.99</v>
      </c>
      <c r="U22" s="12">
        <f t="shared" si="9"/>
        <v>990</v>
      </c>
      <c r="V22" s="12">
        <f t="shared" si="10"/>
        <v>1</v>
      </c>
      <c r="W22" s="12" t="str">
        <f t="array" ref="W22">INDEX(Invoice!F:F,MATCH(B22,(Invoice!A:A),0))</f>
        <v>d</v>
      </c>
      <c r="X22" s="14">
        <f t="array" ref="X22">INDEX(Invoice!H:H,MATCH(B22,(Invoice!A:A),0))</f>
        <v>172.8</v>
      </c>
      <c r="Y22" s="15">
        <f t="shared" si="11"/>
        <v>3.5</v>
      </c>
      <c r="Z22" s="16">
        <f t="shared" si="12"/>
        <v>1.985252411</v>
      </c>
      <c r="AA22" s="16">
        <f t="shared" si="13"/>
        <v>98.04347826</v>
      </c>
      <c r="AB22" s="16">
        <f t="shared" si="14"/>
        <v>93.58695652</v>
      </c>
    </row>
    <row r="23" ht="15.75" customHeight="1">
      <c r="A23" s="11" t="str">
        <f>IFERROR(__xludf.DUMMYFUNCTION("""COMPUTED_VALUE"""),"2001816131")</f>
        <v>2001816131</v>
      </c>
      <c r="B23" s="11" t="str">
        <f t="array" ref="B23">INDEX(Invoice!A:A,MATCH(Calculations!A23,Invoice!B:B,0))</f>
        <v>1091119367193</v>
      </c>
      <c r="C23" s="12">
        <f t="array" ref="C23">INDEX(Invoice!D:D,MATCH(Calculations!A23,Invoice!B:B,0))</f>
        <v>121003</v>
      </c>
      <c r="D23" s="11" t="str">
        <f t="array" ref="D23">INDEX(Invoice!E:E,MATCH(Calculations!A23,Invoice!B:B,0))</f>
        <v>302017</v>
      </c>
      <c r="E23" s="12" t="str">
        <f t="array" ref="E23">INDEX(Invoice!G:G,MATCH(Calculations!A23,Invoice!B:B,0))</f>
        <v>Forward charges</v>
      </c>
      <c r="F23" s="12" t="str">
        <f t="shared" si="1"/>
        <v>Yes</v>
      </c>
      <c r="G23" s="13" t="str">
        <f t="shared" si="2"/>
        <v>fwd</v>
      </c>
      <c r="H23" s="13" t="str">
        <f t="shared" si="3"/>
        <v>No</v>
      </c>
      <c r="I23" s="12" t="str">
        <f t="shared" si="4"/>
        <v/>
      </c>
      <c r="J23" s="12">
        <f>SUMIF(OrderReport!A:A,A23,OrderReport!E:E)</f>
        <v>554</v>
      </c>
      <c r="K23" s="12">
        <f t="shared" si="5"/>
        <v>0.554</v>
      </c>
      <c r="L23" s="12">
        <f t="shared" si="6"/>
        <v>1000</v>
      </c>
      <c r="M23" s="12">
        <f t="shared" si="7"/>
        <v>1</v>
      </c>
      <c r="N23" s="11" t="str">
        <f t="array" ref="N23">INDEX(PincodeZones!C:C,MATCH(1,(PincodeZones!A:A=C23)*(PincodeZones!B:B=D23),0))</f>
        <v>b</v>
      </c>
      <c r="O23" s="12">
        <f t="array" ref="O23">INDEX(RatesTable!E:E,MATCH(1,(RatesTable!B:B=G23)*(RatesTable!C:C=N23)*(RatesTable!D:D="fixed"),0))</f>
        <v>33</v>
      </c>
      <c r="P23" s="12">
        <f t="array" ref="P23">((M23-0.5)/0.5)*INDEX(RatesTable!E:E,MATCH(1,(RatesTable!B:B=G23)*(RatesTable!C:C=N23)*(RatesTable!D:D="additional"),0))</f>
        <v>28.3</v>
      </c>
      <c r="Q23" s="12">
        <f t="array" ref="Q23">IFNA(INDEX(RatesTable!E:E,MATCH(1,(RatesTable!B:B=I23)*(RatesTable!C:C=N23)*(RatesTable!D:D="fixed"),0)),0)</f>
        <v>0</v>
      </c>
      <c r="R23" s="13">
        <f t="array" ref="R23">((M23-0.5)/0.5)*IFNA(INDEX(RatesTable!E:E,MATCH(1,(RatesTable!B:B=I23)*(RatesTable!C:C=N23)*(RatesTable!D:D="additional"),0)),0)</f>
        <v>0</v>
      </c>
      <c r="S23" s="12">
        <f t="shared" si="8"/>
        <v>61.3</v>
      </c>
      <c r="T23" s="12" t="str">
        <f t="array" ref="T23">INDEX(Invoice!C:C,MATCH(B23,(Invoice!A:A),0))</f>
        <v>0.7</v>
      </c>
      <c r="U23" s="12">
        <f t="shared" si="9"/>
        <v>700</v>
      </c>
      <c r="V23" s="12">
        <f t="shared" si="10"/>
        <v>1</v>
      </c>
      <c r="W23" s="12" t="str">
        <f t="array" ref="W23">INDEX(Invoice!F:F,MATCH(B23,(Invoice!A:A),0))</f>
        <v>d</v>
      </c>
      <c r="X23" s="14">
        <f t="array" ref="X23">INDEX(Invoice!H:H,MATCH(B23,(Invoice!A:A),0))</f>
        <v>90.2</v>
      </c>
      <c r="Y23" s="15">
        <f t="shared" si="11"/>
        <v>-28.9</v>
      </c>
      <c r="Z23" s="16">
        <f t="shared" si="12"/>
        <v>-47.1451876</v>
      </c>
      <c r="AA23" s="16">
        <f t="shared" si="13"/>
        <v>110.6498195</v>
      </c>
      <c r="AB23" s="16">
        <f t="shared" si="14"/>
        <v>0</v>
      </c>
    </row>
    <row r="24" ht="15.75" customHeight="1">
      <c r="A24" s="11" t="str">
        <f>IFERROR(__xludf.DUMMYFUNCTION("""COMPUTED_VALUE"""),"2001815688")</f>
        <v>2001815688</v>
      </c>
      <c r="B24" s="11" t="str">
        <f t="array" ref="B24">INDEX(Invoice!A:A,MATCH(Calculations!A24,Invoice!B:B,0))</f>
        <v>1091119169701</v>
      </c>
      <c r="C24" s="12">
        <f t="array" ref="C24">INDEX(Invoice!D:D,MATCH(Calculations!A24,Invoice!B:B,0))</f>
        <v>121003</v>
      </c>
      <c r="D24" s="11" t="str">
        <f t="array" ref="D24">INDEX(Invoice!E:E,MATCH(Calculations!A24,Invoice!B:B,0))</f>
        <v>302017</v>
      </c>
      <c r="E24" s="12" t="str">
        <f t="array" ref="E24">INDEX(Invoice!G:G,MATCH(Calculations!A24,Invoice!B:B,0))</f>
        <v>Forward charges</v>
      </c>
      <c r="F24" s="12" t="str">
        <f t="shared" si="1"/>
        <v>Yes</v>
      </c>
      <c r="G24" s="13" t="str">
        <f t="shared" si="2"/>
        <v>fwd</v>
      </c>
      <c r="H24" s="13" t="str">
        <f t="shared" si="3"/>
        <v>No</v>
      </c>
      <c r="I24" s="12" t="str">
        <f t="shared" si="4"/>
        <v/>
      </c>
      <c r="J24" s="12">
        <f>SUMIF(OrderReport!A:A,A24,OrderReport!E:E)</f>
        <v>220</v>
      </c>
      <c r="K24" s="12">
        <f t="shared" si="5"/>
        <v>0.22</v>
      </c>
      <c r="L24" s="12">
        <f t="shared" si="6"/>
        <v>500</v>
      </c>
      <c r="M24" s="12">
        <f t="shared" si="7"/>
        <v>0.5</v>
      </c>
      <c r="N24" s="11" t="str">
        <f t="array" ref="N24">INDEX(PincodeZones!C:C,MATCH(1,(PincodeZones!A:A=C24)*(PincodeZones!B:B=D24),0))</f>
        <v>b</v>
      </c>
      <c r="O24" s="12">
        <f t="array" ref="O24">INDEX(RatesTable!E:E,MATCH(1,(RatesTable!B:B=G24)*(RatesTable!C:C=N24)*(RatesTable!D:D="fixed"),0))</f>
        <v>33</v>
      </c>
      <c r="P24" s="12">
        <f t="array" ref="P24">((M24-0.5)/0.5)*INDEX(RatesTable!E:E,MATCH(1,(RatesTable!B:B=G24)*(RatesTable!C:C=N24)*(RatesTable!D:D="additional"),0))</f>
        <v>0</v>
      </c>
      <c r="Q24" s="12">
        <f t="array" ref="Q24">IFNA(INDEX(RatesTable!E:E,MATCH(1,(RatesTable!B:B=I24)*(RatesTable!C:C=N24)*(RatesTable!D:D="fixed"),0)),0)</f>
        <v>0</v>
      </c>
      <c r="R24" s="13">
        <f t="array" ref="R24">((M24-0.5)/0.5)*IFNA(INDEX(RatesTable!E:E,MATCH(1,(RatesTable!B:B=I24)*(RatesTable!C:C=N24)*(RatesTable!D:D="additional"),0)),0)</f>
        <v>0</v>
      </c>
      <c r="S24" s="12">
        <f t="shared" si="8"/>
        <v>33</v>
      </c>
      <c r="T24" s="12" t="str">
        <f t="array" ref="T24">INDEX(Invoice!C:C,MATCH(B24,(Invoice!A:A),0))</f>
        <v>0.2</v>
      </c>
      <c r="U24" s="12">
        <f t="shared" si="9"/>
        <v>200</v>
      </c>
      <c r="V24" s="12">
        <f t="shared" si="10"/>
        <v>0.5</v>
      </c>
      <c r="W24" s="12" t="str">
        <f t="array" ref="W24">INDEX(Invoice!F:F,MATCH(B24,(Invoice!A:A),0))</f>
        <v>d</v>
      </c>
      <c r="X24" s="14">
        <f t="array" ref="X24">INDEX(Invoice!H:H,MATCH(B24,(Invoice!A:A),0))</f>
        <v>45.4</v>
      </c>
      <c r="Y24" s="15">
        <f t="shared" si="11"/>
        <v>-12.4</v>
      </c>
      <c r="Z24" s="16">
        <f t="shared" si="12"/>
        <v>-37.57575758</v>
      </c>
      <c r="AA24" s="16">
        <f t="shared" si="13"/>
        <v>150</v>
      </c>
      <c r="AB24" s="16">
        <f t="shared" si="14"/>
        <v>0</v>
      </c>
    </row>
    <row r="25" ht="15.75" customHeight="1">
      <c r="A25" s="11" t="str">
        <f>IFERROR(__xludf.DUMMYFUNCTION("""COMPUTED_VALUE"""),"2001814580")</f>
        <v>2001814580</v>
      </c>
      <c r="B25" s="11" t="str">
        <f t="array" ref="B25">INDEX(Invoice!A:A,MATCH(Calculations!A25,Invoice!B:B,0))</f>
        <v>1091118925110</v>
      </c>
      <c r="C25" s="12">
        <f t="array" ref="C25">INDEX(Invoice!D:D,MATCH(Calculations!A25,Invoice!B:B,0))</f>
        <v>121003</v>
      </c>
      <c r="D25" s="11" t="str">
        <f t="array" ref="D25">INDEX(Invoice!E:E,MATCH(Calculations!A25,Invoice!B:B,0))</f>
        <v>322255</v>
      </c>
      <c r="E25" s="12" t="str">
        <f t="array" ref="E25">INDEX(Invoice!G:G,MATCH(Calculations!A25,Invoice!B:B,0))</f>
        <v>Forward and RTO charges</v>
      </c>
      <c r="F25" s="12" t="str">
        <f t="shared" si="1"/>
        <v>Yes</v>
      </c>
      <c r="G25" s="13" t="str">
        <f t="shared" si="2"/>
        <v>fwd</v>
      </c>
      <c r="H25" s="13" t="str">
        <f t="shared" si="3"/>
        <v>Yes</v>
      </c>
      <c r="I25" s="12" t="str">
        <f t="shared" si="4"/>
        <v>rto</v>
      </c>
      <c r="J25" s="12">
        <f>SUMIF(OrderReport!A:A,A25,OrderReport!E:E)</f>
        <v>127</v>
      </c>
      <c r="K25" s="12">
        <f t="shared" si="5"/>
        <v>0.127</v>
      </c>
      <c r="L25" s="12">
        <f t="shared" si="6"/>
        <v>500</v>
      </c>
      <c r="M25" s="12">
        <f t="shared" si="7"/>
        <v>0.5</v>
      </c>
      <c r="N25" s="11" t="str">
        <f t="array" ref="N25">INDEX(PincodeZones!C:C,MATCH(1,(PincodeZones!A:A=C25)*(PincodeZones!B:B=D25),0))</f>
        <v>b</v>
      </c>
      <c r="O25" s="12">
        <f t="array" ref="O25">INDEX(RatesTable!E:E,MATCH(1,(RatesTable!B:B=G25)*(RatesTable!C:C=N25)*(RatesTable!D:D="fixed"),0))</f>
        <v>33</v>
      </c>
      <c r="P25" s="12">
        <f t="array" ref="P25">((M25-0.5)/0.5)*INDEX(RatesTable!E:E,MATCH(1,(RatesTable!B:B=G25)*(RatesTable!C:C=N25)*(RatesTable!D:D="additional"),0))</f>
        <v>0</v>
      </c>
      <c r="Q25" s="12">
        <f t="array" ref="Q25">IFNA(INDEX(RatesTable!E:E,MATCH(1,(RatesTable!B:B=I25)*(RatesTable!C:C=N25)*(RatesTable!D:D="fixed"),0)),0)</f>
        <v>20.5</v>
      </c>
      <c r="R25" s="13">
        <f t="array" ref="R25">((M25-0.5)/0.5)*IFNA(INDEX(RatesTable!E:E,MATCH(1,(RatesTable!B:B=I25)*(RatesTable!C:C=N25)*(RatesTable!D:D="additional"),0)),0)</f>
        <v>0</v>
      </c>
      <c r="S25" s="12">
        <f t="shared" si="8"/>
        <v>53.5</v>
      </c>
      <c r="T25" s="12" t="str">
        <f t="array" ref="T25">INDEX(Invoice!C:C,MATCH(B25,(Invoice!A:A),0))</f>
        <v>0.15</v>
      </c>
      <c r="U25" s="12">
        <f t="shared" si="9"/>
        <v>150</v>
      </c>
      <c r="V25" s="12">
        <f t="shared" si="10"/>
        <v>0.5</v>
      </c>
      <c r="W25" s="12" t="str">
        <f t="array" ref="W25">INDEX(Invoice!F:F,MATCH(B25,(Invoice!A:A),0))</f>
        <v>d</v>
      </c>
      <c r="X25" s="14">
        <f t="array" ref="X25">INDEX(Invoice!H:H,MATCH(B25,(Invoice!A:A),0))</f>
        <v>86.7</v>
      </c>
      <c r="Y25" s="15">
        <f t="shared" si="11"/>
        <v>-33.2</v>
      </c>
      <c r="Z25" s="16">
        <f t="shared" si="12"/>
        <v>-62.05607477</v>
      </c>
      <c r="AA25" s="16">
        <f t="shared" si="13"/>
        <v>259.8425197</v>
      </c>
      <c r="AB25" s="16">
        <f t="shared" si="14"/>
        <v>161.4173228</v>
      </c>
    </row>
    <row r="26" ht="15.75" customHeight="1">
      <c r="A26" s="11" t="str">
        <f>IFERROR(__xludf.DUMMYFUNCTION("""COMPUTED_VALUE"""),"2001813009")</f>
        <v>2001813009</v>
      </c>
      <c r="B26" s="11" t="str">
        <f t="array" ref="B26">INDEX(Invoice!A:A,MATCH(Calculations!A26,Invoice!B:B,0))</f>
        <v>1091118553701</v>
      </c>
      <c r="C26" s="12">
        <f t="array" ref="C26">INDEX(Invoice!D:D,MATCH(Calculations!A26,Invoice!B:B,0))</f>
        <v>121003</v>
      </c>
      <c r="D26" s="11" t="str">
        <f t="array" ref="D26">INDEX(Invoice!E:E,MATCH(Calculations!A26,Invoice!B:B,0))</f>
        <v>313001</v>
      </c>
      <c r="E26" s="12" t="str">
        <f t="array" ref="E26">INDEX(Invoice!G:G,MATCH(Calculations!A26,Invoice!B:B,0))</f>
        <v>Forward charges</v>
      </c>
      <c r="F26" s="12" t="str">
        <f t="shared" si="1"/>
        <v>Yes</v>
      </c>
      <c r="G26" s="13" t="str">
        <f t="shared" si="2"/>
        <v>fwd</v>
      </c>
      <c r="H26" s="13" t="str">
        <f t="shared" si="3"/>
        <v>No</v>
      </c>
      <c r="I26" s="12" t="str">
        <f t="shared" si="4"/>
        <v/>
      </c>
      <c r="J26" s="12">
        <f>SUMIF(OrderReport!A:A,A26,OrderReport!E:E)</f>
        <v>720</v>
      </c>
      <c r="K26" s="12">
        <f t="shared" si="5"/>
        <v>0.72</v>
      </c>
      <c r="L26" s="12">
        <f t="shared" si="6"/>
        <v>1000</v>
      </c>
      <c r="M26" s="12">
        <f t="shared" si="7"/>
        <v>1</v>
      </c>
      <c r="N26" s="11" t="str">
        <f t="array" ref="N26">INDEX(PincodeZones!C:C,MATCH(1,(PincodeZones!A:A=C26)*(PincodeZones!B:B=D26),0))</f>
        <v>b</v>
      </c>
      <c r="O26" s="12">
        <f t="array" ref="O26">INDEX(RatesTable!E:E,MATCH(1,(RatesTable!B:B=G26)*(RatesTable!C:C=N26)*(RatesTable!D:D="fixed"),0))</f>
        <v>33</v>
      </c>
      <c r="P26" s="12">
        <f t="array" ref="P26">((M26-0.5)/0.5)*INDEX(RatesTable!E:E,MATCH(1,(RatesTable!B:B=G26)*(RatesTable!C:C=N26)*(RatesTable!D:D="additional"),0))</f>
        <v>28.3</v>
      </c>
      <c r="Q26" s="12">
        <f t="array" ref="Q26">IFNA(INDEX(RatesTable!E:E,MATCH(1,(RatesTable!B:B=I26)*(RatesTable!C:C=N26)*(RatesTable!D:D="fixed"),0)),0)</f>
        <v>0</v>
      </c>
      <c r="R26" s="13">
        <f t="array" ref="R26">((M26-0.5)/0.5)*IFNA(INDEX(RatesTable!E:E,MATCH(1,(RatesTable!B:B=I26)*(RatesTable!C:C=N26)*(RatesTable!D:D="additional"),0)),0)</f>
        <v>0</v>
      </c>
      <c r="S26" s="12">
        <f t="shared" si="8"/>
        <v>61.3</v>
      </c>
      <c r="T26" s="12" t="str">
        <f t="array" ref="T26">INDEX(Invoice!C:C,MATCH(B26,(Invoice!A:A),0))</f>
        <v>1</v>
      </c>
      <c r="U26" s="12">
        <f t="shared" si="9"/>
        <v>1000</v>
      </c>
      <c r="V26" s="12">
        <f t="shared" si="10"/>
        <v>1</v>
      </c>
      <c r="W26" s="12" t="str">
        <f t="array" ref="W26">INDEX(Invoice!F:F,MATCH(B26,(Invoice!A:A),0))</f>
        <v>d</v>
      </c>
      <c r="X26" s="14">
        <f t="array" ref="X26">INDEX(Invoice!H:H,MATCH(B26,(Invoice!A:A),0))</f>
        <v>90.2</v>
      </c>
      <c r="Y26" s="15">
        <f t="shared" si="11"/>
        <v>-28.9</v>
      </c>
      <c r="Z26" s="16">
        <f t="shared" si="12"/>
        <v>-47.1451876</v>
      </c>
      <c r="AA26" s="16">
        <f t="shared" si="13"/>
        <v>85.13888889</v>
      </c>
      <c r="AB26" s="16">
        <f t="shared" si="14"/>
        <v>0</v>
      </c>
    </row>
    <row r="27" ht="15.75" customHeight="1">
      <c r="A27" s="11" t="str">
        <f>IFERROR(__xludf.DUMMYFUNCTION("""COMPUTED_VALUE"""),"2001812941")</f>
        <v>2001812941</v>
      </c>
      <c r="B27" s="11" t="str">
        <f t="array" ref="B27">INDEX(Invoice!A:A,MATCH(Calculations!A27,Invoice!B:B,0))</f>
        <v>1091118551656</v>
      </c>
      <c r="C27" s="12">
        <f t="array" ref="C27">INDEX(Invoice!D:D,MATCH(Calculations!A27,Invoice!B:B,0))</f>
        <v>121003</v>
      </c>
      <c r="D27" s="11" t="str">
        <f t="array" ref="D27">INDEX(Invoice!E:E,MATCH(Calculations!A27,Invoice!B:B,0))</f>
        <v>325207</v>
      </c>
      <c r="E27" s="12" t="str">
        <f t="array" ref="E27">INDEX(Invoice!G:G,MATCH(Calculations!A27,Invoice!B:B,0))</f>
        <v>Forward charges</v>
      </c>
      <c r="F27" s="12" t="str">
        <f t="shared" si="1"/>
        <v>Yes</v>
      </c>
      <c r="G27" s="13" t="str">
        <f t="shared" si="2"/>
        <v>fwd</v>
      </c>
      <c r="H27" s="13" t="str">
        <f t="shared" si="3"/>
        <v>No</v>
      </c>
      <c r="I27" s="12" t="str">
        <f t="shared" si="4"/>
        <v/>
      </c>
      <c r="J27" s="12">
        <f>SUMIF(OrderReport!A:A,A27,OrderReport!E:E)</f>
        <v>500</v>
      </c>
      <c r="K27" s="12">
        <f t="shared" si="5"/>
        <v>0.5</v>
      </c>
      <c r="L27" s="12">
        <f t="shared" si="6"/>
        <v>500</v>
      </c>
      <c r="M27" s="12">
        <f t="shared" si="7"/>
        <v>0.5</v>
      </c>
      <c r="N27" s="11" t="str">
        <f t="array" ref="N27">INDEX(PincodeZones!C:C,MATCH(1,(PincodeZones!A:A=C27)*(PincodeZones!B:B=D27),0))</f>
        <v>b</v>
      </c>
      <c r="O27" s="12">
        <f t="array" ref="O27">INDEX(RatesTable!E:E,MATCH(1,(RatesTable!B:B=G27)*(RatesTable!C:C=N27)*(RatesTable!D:D="fixed"),0))</f>
        <v>33</v>
      </c>
      <c r="P27" s="12">
        <f t="array" ref="P27">((M27-0.5)/0.5)*INDEX(RatesTable!E:E,MATCH(1,(RatesTable!B:B=G27)*(RatesTable!C:C=N27)*(RatesTable!D:D="additional"),0))</f>
        <v>0</v>
      </c>
      <c r="Q27" s="12">
        <f t="array" ref="Q27">IFNA(INDEX(RatesTable!E:E,MATCH(1,(RatesTable!B:B=I27)*(RatesTable!C:C=N27)*(RatesTable!D:D="fixed"),0)),0)</f>
        <v>0</v>
      </c>
      <c r="R27" s="13">
        <f t="array" ref="R27">((M27-0.5)/0.5)*IFNA(INDEX(RatesTable!E:E,MATCH(1,(RatesTable!B:B=I27)*(RatesTable!C:C=N27)*(RatesTable!D:D="additional"),0)),0)</f>
        <v>0</v>
      </c>
      <c r="S27" s="12">
        <f t="shared" si="8"/>
        <v>33</v>
      </c>
      <c r="T27" s="12" t="str">
        <f t="array" ref="T27">INDEX(Invoice!C:C,MATCH(B27,(Invoice!A:A),0))</f>
        <v>0.73</v>
      </c>
      <c r="U27" s="12">
        <f t="shared" si="9"/>
        <v>730</v>
      </c>
      <c r="V27" s="12">
        <f t="shared" si="10"/>
        <v>1</v>
      </c>
      <c r="W27" s="12" t="str">
        <f t="array" ref="W27">INDEX(Invoice!F:F,MATCH(B27,(Invoice!A:A),0))</f>
        <v>d</v>
      </c>
      <c r="X27" s="14">
        <f t="array" ref="X27">INDEX(Invoice!H:H,MATCH(B27,(Invoice!A:A),0))</f>
        <v>90.2</v>
      </c>
      <c r="Y27" s="15">
        <f t="shared" si="11"/>
        <v>-57.2</v>
      </c>
      <c r="Z27" s="16">
        <f t="shared" si="12"/>
        <v>-173.3333333</v>
      </c>
      <c r="AA27" s="16">
        <f t="shared" si="13"/>
        <v>66</v>
      </c>
      <c r="AB27" s="16">
        <f t="shared" si="14"/>
        <v>0</v>
      </c>
    </row>
    <row r="28" ht="15.75" customHeight="1">
      <c r="A28" s="11" t="str">
        <f>IFERROR(__xludf.DUMMYFUNCTION("""COMPUTED_VALUE"""),"2001812854")</f>
        <v>2001812854</v>
      </c>
      <c r="B28" s="11" t="str">
        <f t="array" ref="B28">INDEX(Invoice!A:A,MATCH(Calculations!A28,Invoice!B:B,0))</f>
        <v>1091118548333</v>
      </c>
      <c r="C28" s="12">
        <f t="array" ref="C28">INDEX(Invoice!D:D,MATCH(Calculations!A28,Invoice!B:B,0))</f>
        <v>121003</v>
      </c>
      <c r="D28" s="11" t="str">
        <f t="array" ref="D28">INDEX(Invoice!E:E,MATCH(Calculations!A28,Invoice!B:B,0))</f>
        <v>306302</v>
      </c>
      <c r="E28" s="12" t="str">
        <f t="array" ref="E28">INDEX(Invoice!G:G,MATCH(Calculations!A28,Invoice!B:B,0))</f>
        <v>Forward charges</v>
      </c>
      <c r="F28" s="12" t="str">
        <f t="shared" si="1"/>
        <v>Yes</v>
      </c>
      <c r="G28" s="13" t="str">
        <f t="shared" si="2"/>
        <v>fwd</v>
      </c>
      <c r="H28" s="13" t="str">
        <f t="shared" si="3"/>
        <v>No</v>
      </c>
      <c r="I28" s="12" t="str">
        <f t="shared" si="4"/>
        <v/>
      </c>
      <c r="J28" s="12">
        <f>SUMIF(OrderReport!A:A,A28,OrderReport!E:E)</f>
        <v>2572</v>
      </c>
      <c r="K28" s="12">
        <f t="shared" si="5"/>
        <v>2.572</v>
      </c>
      <c r="L28" s="12">
        <f t="shared" si="6"/>
        <v>3000</v>
      </c>
      <c r="M28" s="12">
        <f t="shared" si="7"/>
        <v>3</v>
      </c>
      <c r="N28" s="11" t="str">
        <f t="array" ref="N28">INDEX(PincodeZones!C:C,MATCH(1,(PincodeZones!A:A=C28)*(PincodeZones!B:B=D28),0))</f>
        <v>b</v>
      </c>
      <c r="O28" s="12">
        <f t="array" ref="O28">INDEX(RatesTable!E:E,MATCH(1,(RatesTable!B:B=G28)*(RatesTable!C:C=N28)*(RatesTable!D:D="fixed"),0))</f>
        <v>33</v>
      </c>
      <c r="P28" s="12">
        <f t="array" ref="P28">((M28-0.5)/0.5)*INDEX(RatesTable!E:E,MATCH(1,(RatesTable!B:B=G28)*(RatesTable!C:C=N28)*(RatesTable!D:D="additional"),0))</f>
        <v>141.5</v>
      </c>
      <c r="Q28" s="12">
        <f t="array" ref="Q28">IFNA(INDEX(RatesTable!E:E,MATCH(1,(RatesTable!B:B=I28)*(RatesTable!C:C=N28)*(RatesTable!D:D="fixed"),0)),0)</f>
        <v>0</v>
      </c>
      <c r="R28" s="13">
        <f t="array" ref="R28">((M28-0.5)/0.5)*IFNA(INDEX(RatesTable!E:E,MATCH(1,(RatesTable!B:B=I28)*(RatesTable!C:C=N28)*(RatesTable!D:D="additional"),0)),0)</f>
        <v>0</v>
      </c>
      <c r="S28" s="12">
        <f t="shared" si="8"/>
        <v>174.5</v>
      </c>
      <c r="T28" s="12" t="str">
        <f t="array" ref="T28">INDEX(Invoice!C:C,MATCH(B28,(Invoice!A:A),0))</f>
        <v>2.94</v>
      </c>
      <c r="U28" s="12">
        <f t="shared" si="9"/>
        <v>2940</v>
      </c>
      <c r="V28" s="12">
        <f t="shared" si="10"/>
        <v>3</v>
      </c>
      <c r="W28" s="12" t="str">
        <f t="array" ref="W28">INDEX(Invoice!F:F,MATCH(B28,(Invoice!A:A),0))</f>
        <v>d</v>
      </c>
      <c r="X28" s="14">
        <f t="array" ref="X28">INDEX(Invoice!H:H,MATCH(B28,(Invoice!A:A),0))</f>
        <v>269.4</v>
      </c>
      <c r="Y28" s="15">
        <f t="shared" si="11"/>
        <v>-94.9</v>
      </c>
      <c r="Z28" s="16">
        <f t="shared" si="12"/>
        <v>-54.38395415</v>
      </c>
      <c r="AA28" s="16">
        <f t="shared" si="13"/>
        <v>67.84603421</v>
      </c>
      <c r="AB28" s="16">
        <f t="shared" si="14"/>
        <v>0</v>
      </c>
    </row>
    <row r="29" ht="15.75" customHeight="1">
      <c r="A29" s="11" t="str">
        <f>IFERROR(__xludf.DUMMYFUNCTION("""COMPUTED_VALUE"""),"2001812838")</f>
        <v>2001812838</v>
      </c>
      <c r="B29" s="11" t="str">
        <f t="array" ref="B29">INDEX(Invoice!A:A,MATCH(Calculations!A29,Invoice!B:B,0))</f>
        <v>1091118547832</v>
      </c>
      <c r="C29" s="12">
        <f t="array" ref="C29">INDEX(Invoice!D:D,MATCH(Calculations!A29,Invoice!B:B,0))</f>
        <v>121003</v>
      </c>
      <c r="D29" s="11" t="str">
        <f t="array" ref="D29">INDEX(Invoice!E:E,MATCH(Calculations!A29,Invoice!B:B,0))</f>
        <v>262405</v>
      </c>
      <c r="E29" s="12" t="str">
        <f t="array" ref="E29">INDEX(Invoice!G:G,MATCH(Calculations!A29,Invoice!B:B,0))</f>
        <v>Forward and RTO charges</v>
      </c>
      <c r="F29" s="12" t="str">
        <f t="shared" si="1"/>
        <v>Yes</v>
      </c>
      <c r="G29" s="13" t="str">
        <f t="shared" si="2"/>
        <v>fwd</v>
      </c>
      <c r="H29" s="13" t="str">
        <f t="shared" si="3"/>
        <v>Yes</v>
      </c>
      <c r="I29" s="12" t="str">
        <f t="shared" si="4"/>
        <v>rto</v>
      </c>
      <c r="J29" s="12">
        <f>SUMIF(OrderReport!A:A,A29,OrderReport!E:E)</f>
        <v>558</v>
      </c>
      <c r="K29" s="12">
        <f t="shared" si="5"/>
        <v>0.558</v>
      </c>
      <c r="L29" s="12">
        <f t="shared" si="6"/>
        <v>1000</v>
      </c>
      <c r="M29" s="12">
        <f t="shared" si="7"/>
        <v>1</v>
      </c>
      <c r="N29" s="11" t="str">
        <f t="array" ref="N29">INDEX(PincodeZones!C:C,MATCH(1,(PincodeZones!A:A=C29)*(PincodeZones!B:B=D29),0))</f>
        <v>b</v>
      </c>
      <c r="O29" s="12">
        <f t="array" ref="O29">INDEX(RatesTable!E:E,MATCH(1,(RatesTable!B:B=G29)*(RatesTable!C:C=N29)*(RatesTable!D:D="fixed"),0))</f>
        <v>33</v>
      </c>
      <c r="P29" s="12">
        <f t="array" ref="P29">((M29-0.5)/0.5)*INDEX(RatesTable!E:E,MATCH(1,(RatesTable!B:B=G29)*(RatesTable!C:C=N29)*(RatesTable!D:D="additional"),0))</f>
        <v>28.3</v>
      </c>
      <c r="Q29" s="12">
        <f t="array" ref="Q29">IFNA(INDEX(RatesTable!E:E,MATCH(1,(RatesTable!B:B=I29)*(RatesTable!C:C=N29)*(RatesTable!D:D="fixed"),0)),0)</f>
        <v>20.5</v>
      </c>
      <c r="R29" s="13">
        <f t="array" ref="R29">((M29-0.5)/0.5)*IFNA(INDEX(RatesTable!E:E,MATCH(1,(RatesTable!B:B=I29)*(RatesTable!C:C=N29)*(RatesTable!D:D="additional"),0)),0)</f>
        <v>28.3</v>
      </c>
      <c r="S29" s="12">
        <f t="shared" si="8"/>
        <v>110.1</v>
      </c>
      <c r="T29" s="12" t="str">
        <f t="array" ref="T29">INDEX(Invoice!C:C,MATCH(B29,(Invoice!A:A),0))</f>
        <v>0.6</v>
      </c>
      <c r="U29" s="12">
        <f t="shared" si="9"/>
        <v>600</v>
      </c>
      <c r="V29" s="12">
        <f t="shared" si="10"/>
        <v>1</v>
      </c>
      <c r="W29" s="12" t="str">
        <f t="array" ref="W29">INDEX(Invoice!F:F,MATCH(B29,(Invoice!A:A),0))</f>
        <v>b</v>
      </c>
      <c r="X29" s="14">
        <f t="array" ref="X29">INDEX(Invoice!H:H,MATCH(B29,(Invoice!A:A),0))</f>
        <v>102.3</v>
      </c>
      <c r="Y29" s="15">
        <f t="shared" si="11"/>
        <v>7.8</v>
      </c>
      <c r="Z29" s="16">
        <f t="shared" si="12"/>
        <v>7.084468665</v>
      </c>
      <c r="AA29" s="16">
        <f t="shared" si="13"/>
        <v>109.8566308</v>
      </c>
      <c r="AB29" s="16">
        <f t="shared" si="14"/>
        <v>87.45519713</v>
      </c>
    </row>
    <row r="30" ht="15.75" customHeight="1">
      <c r="A30" s="11" t="str">
        <f>IFERROR(__xludf.DUMMYFUNCTION("""COMPUTED_VALUE"""),"2001812650")</f>
        <v>2001812650</v>
      </c>
      <c r="B30" s="11" t="str">
        <f t="array" ref="B30">INDEX(Invoice!A:A,MATCH(Calculations!A30,Invoice!B:B,0))</f>
        <v>1091118591534</v>
      </c>
      <c r="C30" s="12">
        <f t="array" ref="C30">INDEX(Invoice!D:D,MATCH(Calculations!A30,Invoice!B:B,0))</f>
        <v>121003</v>
      </c>
      <c r="D30" s="11" t="str">
        <f t="array" ref="D30">INDEX(Invoice!E:E,MATCH(Calculations!A30,Invoice!B:B,0))</f>
        <v>302002</v>
      </c>
      <c r="E30" s="12" t="str">
        <f t="array" ref="E30">INDEX(Invoice!G:G,MATCH(Calculations!A30,Invoice!B:B,0))</f>
        <v>Forward charges</v>
      </c>
      <c r="F30" s="12" t="str">
        <f t="shared" si="1"/>
        <v>Yes</v>
      </c>
      <c r="G30" s="13" t="str">
        <f t="shared" si="2"/>
        <v>fwd</v>
      </c>
      <c r="H30" s="13" t="str">
        <f t="shared" si="3"/>
        <v>No</v>
      </c>
      <c r="I30" s="12" t="str">
        <f t="shared" si="4"/>
        <v/>
      </c>
      <c r="J30" s="12">
        <f>SUMIF(OrderReport!A:A,A30,OrderReport!E:E)</f>
        <v>563</v>
      </c>
      <c r="K30" s="12">
        <f t="shared" si="5"/>
        <v>0.563</v>
      </c>
      <c r="L30" s="12">
        <f t="shared" si="6"/>
        <v>1000</v>
      </c>
      <c r="M30" s="12">
        <f t="shared" si="7"/>
        <v>1</v>
      </c>
      <c r="N30" s="11" t="str">
        <f t="array" ref="N30">INDEX(PincodeZones!C:C,MATCH(1,(PincodeZones!A:A=C30)*(PincodeZones!B:B=D30),0))</f>
        <v>b</v>
      </c>
      <c r="O30" s="12">
        <f t="array" ref="O30">INDEX(RatesTable!E:E,MATCH(1,(RatesTable!B:B=G30)*(RatesTable!C:C=N30)*(RatesTable!D:D="fixed"),0))</f>
        <v>33</v>
      </c>
      <c r="P30" s="12">
        <f t="array" ref="P30">((M30-0.5)/0.5)*INDEX(RatesTable!E:E,MATCH(1,(RatesTable!B:B=G30)*(RatesTable!C:C=N30)*(RatesTable!D:D="additional"),0))</f>
        <v>28.3</v>
      </c>
      <c r="Q30" s="12">
        <f t="array" ref="Q30">IFNA(INDEX(RatesTable!E:E,MATCH(1,(RatesTable!B:B=I30)*(RatesTable!C:C=N30)*(RatesTable!D:D="fixed"),0)),0)</f>
        <v>0</v>
      </c>
      <c r="R30" s="13">
        <f t="array" ref="R30">((M30-0.5)/0.5)*IFNA(INDEX(RatesTable!E:E,MATCH(1,(RatesTable!B:B=I30)*(RatesTable!C:C=N30)*(RatesTable!D:D="additional"),0)),0)</f>
        <v>0</v>
      </c>
      <c r="S30" s="12">
        <f t="shared" si="8"/>
        <v>61.3</v>
      </c>
      <c r="T30" s="12" t="str">
        <f t="array" ref="T30">INDEX(Invoice!C:C,MATCH(B30,(Invoice!A:A),0))</f>
        <v>0.61</v>
      </c>
      <c r="U30" s="12">
        <f t="shared" si="9"/>
        <v>610</v>
      </c>
      <c r="V30" s="12">
        <f t="shared" si="10"/>
        <v>1</v>
      </c>
      <c r="W30" s="12" t="str">
        <f t="array" ref="W30">INDEX(Invoice!F:F,MATCH(B30,(Invoice!A:A),0))</f>
        <v>d</v>
      </c>
      <c r="X30" s="14">
        <f t="array" ref="X30">INDEX(Invoice!H:H,MATCH(B30,(Invoice!A:A),0))</f>
        <v>90.2</v>
      </c>
      <c r="Y30" s="15">
        <f t="shared" si="11"/>
        <v>-28.9</v>
      </c>
      <c r="Z30" s="16">
        <f t="shared" si="12"/>
        <v>-47.1451876</v>
      </c>
      <c r="AA30" s="16">
        <f t="shared" si="13"/>
        <v>108.8809947</v>
      </c>
      <c r="AB30" s="16">
        <f t="shared" si="14"/>
        <v>0</v>
      </c>
    </row>
    <row r="31" ht="15.75" customHeight="1">
      <c r="A31" s="11" t="str">
        <f>IFERROR(__xludf.DUMMYFUNCTION("""COMPUTED_VALUE"""),"2001812195")</f>
        <v>2001812195</v>
      </c>
      <c r="B31" s="11" t="str">
        <f t="array" ref="B31">INDEX(Invoice!A:A,MATCH(Calculations!A31,Invoice!B:B,0))</f>
        <v>1091118442390</v>
      </c>
      <c r="C31" s="12">
        <f t="array" ref="C31">INDEX(Invoice!D:D,MATCH(Calculations!A31,Invoice!B:B,0))</f>
        <v>121003</v>
      </c>
      <c r="D31" s="11" t="str">
        <f t="array" ref="D31">INDEX(Invoice!E:E,MATCH(Calculations!A31,Invoice!B:B,0))</f>
        <v>302012</v>
      </c>
      <c r="E31" s="12" t="str">
        <f t="array" ref="E31">INDEX(Invoice!G:G,MATCH(Calculations!A31,Invoice!B:B,0))</f>
        <v>Forward charges</v>
      </c>
      <c r="F31" s="12" t="str">
        <f t="shared" si="1"/>
        <v>Yes</v>
      </c>
      <c r="G31" s="13" t="str">
        <f t="shared" si="2"/>
        <v>fwd</v>
      </c>
      <c r="H31" s="13" t="str">
        <f t="shared" si="3"/>
        <v>No</v>
      </c>
      <c r="I31" s="12" t="str">
        <f t="shared" si="4"/>
        <v/>
      </c>
      <c r="J31" s="12">
        <f>SUMIF(OrderReport!A:A,A31,OrderReport!E:E)</f>
        <v>500</v>
      </c>
      <c r="K31" s="12">
        <f t="shared" si="5"/>
        <v>0.5</v>
      </c>
      <c r="L31" s="12">
        <f t="shared" si="6"/>
        <v>500</v>
      </c>
      <c r="M31" s="12">
        <f t="shared" si="7"/>
        <v>0.5</v>
      </c>
      <c r="N31" s="11" t="str">
        <f t="array" ref="N31">INDEX(PincodeZones!C:C,MATCH(1,(PincodeZones!A:A=C31)*(PincodeZones!B:B=D31),0))</f>
        <v>b</v>
      </c>
      <c r="O31" s="12">
        <f t="array" ref="O31">INDEX(RatesTable!E:E,MATCH(1,(RatesTable!B:B=G31)*(RatesTable!C:C=N31)*(RatesTable!D:D="fixed"),0))</f>
        <v>33</v>
      </c>
      <c r="P31" s="12">
        <f t="array" ref="P31">((M31-0.5)/0.5)*INDEX(RatesTable!E:E,MATCH(1,(RatesTable!B:B=G31)*(RatesTable!C:C=N31)*(RatesTable!D:D="additional"),0))</f>
        <v>0</v>
      </c>
      <c r="Q31" s="12">
        <f t="array" ref="Q31">IFNA(INDEX(RatesTable!E:E,MATCH(1,(RatesTable!B:B=I31)*(RatesTable!C:C=N31)*(RatesTable!D:D="fixed"),0)),0)</f>
        <v>0</v>
      </c>
      <c r="R31" s="13">
        <f t="array" ref="R31">((M31-0.5)/0.5)*IFNA(INDEX(RatesTable!E:E,MATCH(1,(RatesTable!B:B=I31)*(RatesTable!C:C=N31)*(RatesTable!D:D="additional"),0)),0)</f>
        <v>0</v>
      </c>
      <c r="S31" s="12">
        <f t="shared" si="8"/>
        <v>33</v>
      </c>
      <c r="T31" s="12" t="str">
        <f t="array" ref="T31">INDEX(Invoice!C:C,MATCH(B31,(Invoice!A:A),0))</f>
        <v>0.67</v>
      </c>
      <c r="U31" s="12">
        <f t="shared" si="9"/>
        <v>670</v>
      </c>
      <c r="V31" s="12">
        <f t="shared" si="10"/>
        <v>1</v>
      </c>
      <c r="W31" s="12" t="str">
        <f t="array" ref="W31">INDEX(Invoice!F:F,MATCH(B31,(Invoice!A:A),0))</f>
        <v>d</v>
      </c>
      <c r="X31" s="14">
        <f t="array" ref="X31">INDEX(Invoice!H:H,MATCH(B31,(Invoice!A:A),0))</f>
        <v>90.2</v>
      </c>
      <c r="Y31" s="15">
        <f t="shared" si="11"/>
        <v>-57.2</v>
      </c>
      <c r="Z31" s="16">
        <f t="shared" si="12"/>
        <v>-173.3333333</v>
      </c>
      <c r="AA31" s="16">
        <f t="shared" si="13"/>
        <v>66</v>
      </c>
      <c r="AB31" s="16">
        <f t="shared" si="14"/>
        <v>0</v>
      </c>
    </row>
    <row r="32" ht="15.75" customHeight="1">
      <c r="A32" s="11" t="str">
        <f>IFERROR(__xludf.DUMMYFUNCTION("""COMPUTED_VALUE"""),"2001811809")</f>
        <v>2001811809</v>
      </c>
      <c r="B32" s="11" t="str">
        <f t="array" ref="B32">INDEX(Invoice!A:A,MATCH(Calculations!A32,Invoice!B:B,0))</f>
        <v>1091118009786</v>
      </c>
      <c r="C32" s="12">
        <f t="array" ref="C32">INDEX(Invoice!D:D,MATCH(Calculations!A32,Invoice!B:B,0))</f>
        <v>121003</v>
      </c>
      <c r="D32" s="11" t="str">
        <f t="array" ref="D32">INDEX(Invoice!E:E,MATCH(Calculations!A32,Invoice!B:B,0))</f>
        <v>311011</v>
      </c>
      <c r="E32" s="12" t="str">
        <f t="array" ref="E32">INDEX(Invoice!G:G,MATCH(Calculations!A32,Invoice!B:B,0))</f>
        <v>Forward and RTO charges</v>
      </c>
      <c r="F32" s="12" t="str">
        <f t="shared" si="1"/>
        <v>Yes</v>
      </c>
      <c r="G32" s="13" t="str">
        <f t="shared" si="2"/>
        <v>fwd</v>
      </c>
      <c r="H32" s="13" t="str">
        <f t="shared" si="3"/>
        <v>Yes</v>
      </c>
      <c r="I32" s="12" t="str">
        <f t="shared" si="4"/>
        <v>rto</v>
      </c>
      <c r="J32" s="12">
        <f>SUMIF(OrderReport!A:A,A32,OrderReport!E:E)</f>
        <v>500</v>
      </c>
      <c r="K32" s="12">
        <f t="shared" si="5"/>
        <v>0.5</v>
      </c>
      <c r="L32" s="12">
        <f t="shared" si="6"/>
        <v>500</v>
      </c>
      <c r="M32" s="12">
        <f t="shared" si="7"/>
        <v>0.5</v>
      </c>
      <c r="N32" s="11" t="str">
        <f t="array" ref="N32">INDEX(PincodeZones!C:C,MATCH(1,(PincodeZones!A:A=C32)*(PincodeZones!B:B=D32),0))</f>
        <v>b</v>
      </c>
      <c r="O32" s="12">
        <f t="array" ref="O32">INDEX(RatesTable!E:E,MATCH(1,(RatesTable!B:B=G32)*(RatesTable!C:C=N32)*(RatesTable!D:D="fixed"),0))</f>
        <v>33</v>
      </c>
      <c r="P32" s="12">
        <f t="array" ref="P32">((M32-0.5)/0.5)*INDEX(RatesTable!E:E,MATCH(1,(RatesTable!B:B=G32)*(RatesTable!C:C=N32)*(RatesTable!D:D="additional"),0))</f>
        <v>0</v>
      </c>
      <c r="Q32" s="12">
        <f t="array" ref="Q32">IFNA(INDEX(RatesTable!E:E,MATCH(1,(RatesTable!B:B=I32)*(RatesTable!C:C=N32)*(RatesTable!D:D="fixed"),0)),0)</f>
        <v>20.5</v>
      </c>
      <c r="R32" s="13">
        <f t="array" ref="R32">((M32-0.5)/0.5)*IFNA(INDEX(RatesTable!E:E,MATCH(1,(RatesTable!B:B=I32)*(RatesTable!C:C=N32)*(RatesTable!D:D="additional"),0)),0)</f>
        <v>0</v>
      </c>
      <c r="S32" s="12">
        <f t="shared" si="8"/>
        <v>53.5</v>
      </c>
      <c r="T32" s="12" t="str">
        <f t="array" ref="T32">INDEX(Invoice!C:C,MATCH(B32,(Invoice!A:A),0))</f>
        <v>0.5</v>
      </c>
      <c r="U32" s="12">
        <f t="shared" si="9"/>
        <v>500</v>
      </c>
      <c r="V32" s="12">
        <f t="shared" si="10"/>
        <v>0.5</v>
      </c>
      <c r="W32" s="12" t="str">
        <f t="array" ref="W32">INDEX(Invoice!F:F,MATCH(B32,(Invoice!A:A),0))</f>
        <v>d</v>
      </c>
      <c r="X32" s="14">
        <f t="array" ref="X32">INDEX(Invoice!H:H,MATCH(B32,(Invoice!A:A),0))</f>
        <v>86.7</v>
      </c>
      <c r="Y32" s="15">
        <f t="shared" si="11"/>
        <v>-33.2</v>
      </c>
      <c r="Z32" s="16">
        <f t="shared" si="12"/>
        <v>-62.05607477</v>
      </c>
      <c r="AA32" s="16">
        <f t="shared" si="13"/>
        <v>66</v>
      </c>
      <c r="AB32" s="16">
        <f t="shared" si="14"/>
        <v>41</v>
      </c>
    </row>
    <row r="33" ht="15.75" customHeight="1">
      <c r="A33" s="11" t="str">
        <f>IFERROR(__xludf.DUMMYFUNCTION("""COMPUTED_VALUE"""),"2001811604")</f>
        <v>2001811604</v>
      </c>
      <c r="B33" s="11" t="str">
        <f t="array" ref="B33">INDEX(Invoice!A:A,MATCH(Calculations!A33,Invoice!B:B,0))</f>
        <v>1091118004245</v>
      </c>
      <c r="C33" s="12">
        <f t="array" ref="C33">INDEX(Invoice!D:D,MATCH(Calculations!A33,Invoice!B:B,0))</f>
        <v>121003</v>
      </c>
      <c r="D33" s="11" t="str">
        <f t="array" ref="D33">INDEX(Invoice!E:E,MATCH(Calculations!A33,Invoice!B:B,0))</f>
        <v>173212</v>
      </c>
      <c r="E33" s="12" t="str">
        <f t="array" ref="E33">INDEX(Invoice!G:G,MATCH(Calculations!A33,Invoice!B:B,0))</f>
        <v>Forward charges</v>
      </c>
      <c r="F33" s="12" t="str">
        <f t="shared" si="1"/>
        <v>Yes</v>
      </c>
      <c r="G33" s="13" t="str">
        <f t="shared" si="2"/>
        <v>fwd</v>
      </c>
      <c r="H33" s="13" t="str">
        <f t="shared" si="3"/>
        <v>No</v>
      </c>
      <c r="I33" s="12" t="str">
        <f t="shared" si="4"/>
        <v/>
      </c>
      <c r="J33" s="12">
        <f>SUMIF(OrderReport!A:A,A33,OrderReport!E:E)</f>
        <v>721</v>
      </c>
      <c r="K33" s="12">
        <f t="shared" si="5"/>
        <v>0.721</v>
      </c>
      <c r="L33" s="12">
        <f t="shared" si="6"/>
        <v>1000</v>
      </c>
      <c r="M33" s="12">
        <f t="shared" si="7"/>
        <v>1</v>
      </c>
      <c r="N33" s="11" t="str">
        <f t="array" ref="N33">INDEX(PincodeZones!C:C,MATCH(1,(PincodeZones!A:A=C33)*(PincodeZones!B:B=D33),0))</f>
        <v>e</v>
      </c>
      <c r="O33" s="12">
        <f t="array" ref="O33">INDEX(RatesTable!E:E,MATCH(1,(RatesTable!B:B=G33)*(RatesTable!C:C=N33)*(RatesTable!D:D="fixed"),0))</f>
        <v>56.6</v>
      </c>
      <c r="P33" s="12">
        <f t="array" ref="P33">((M33-0.5)/0.5)*INDEX(RatesTable!E:E,MATCH(1,(RatesTable!B:B=G33)*(RatesTable!C:C=N33)*(RatesTable!D:D="additional"),0))</f>
        <v>55.5</v>
      </c>
      <c r="Q33" s="12">
        <f t="array" ref="Q33">IFNA(INDEX(RatesTable!E:E,MATCH(1,(RatesTable!B:B=I33)*(RatesTable!C:C=N33)*(RatesTable!D:D="fixed"),0)),0)</f>
        <v>0</v>
      </c>
      <c r="R33" s="13">
        <f t="array" ref="R33">((M33-0.5)/0.5)*IFNA(INDEX(RatesTable!E:E,MATCH(1,(RatesTable!B:B=I33)*(RatesTable!C:C=N33)*(RatesTable!D:D="additional"),0)),0)</f>
        <v>0</v>
      </c>
      <c r="S33" s="12">
        <f t="shared" si="8"/>
        <v>112.1</v>
      </c>
      <c r="T33" s="12" t="str">
        <f t="array" ref="T33">INDEX(Invoice!C:C,MATCH(B33,(Invoice!A:A),0))</f>
        <v>0.8</v>
      </c>
      <c r="U33" s="12">
        <f t="shared" si="9"/>
        <v>800</v>
      </c>
      <c r="V33" s="12">
        <f t="shared" si="10"/>
        <v>1</v>
      </c>
      <c r="W33" s="12" t="str">
        <f t="array" ref="W33">INDEX(Invoice!F:F,MATCH(B33,(Invoice!A:A),0))</f>
        <v>b</v>
      </c>
      <c r="X33" s="14">
        <f t="array" ref="X33">INDEX(Invoice!H:H,MATCH(B33,(Invoice!A:A),0))</f>
        <v>61.3</v>
      </c>
      <c r="Y33" s="15">
        <f t="shared" si="11"/>
        <v>50.8</v>
      </c>
      <c r="Z33" s="16">
        <f t="shared" si="12"/>
        <v>45.31668153</v>
      </c>
      <c r="AA33" s="16">
        <f t="shared" si="13"/>
        <v>155.4785021</v>
      </c>
      <c r="AB33" s="16">
        <f t="shared" si="14"/>
        <v>0</v>
      </c>
    </row>
    <row r="34" ht="15.75" customHeight="1">
      <c r="A34" s="11" t="str">
        <f>IFERROR(__xludf.DUMMYFUNCTION("""COMPUTED_VALUE"""),"2001811475")</f>
        <v>2001811475</v>
      </c>
      <c r="B34" s="11" t="str">
        <f t="array" ref="B34">INDEX(Invoice!A:A,MATCH(Calculations!A34,Invoice!B:B,0))</f>
        <v>1091121844806</v>
      </c>
      <c r="C34" s="12">
        <f t="array" ref="C34">INDEX(Invoice!D:D,MATCH(Calculations!A34,Invoice!B:B,0))</f>
        <v>121003</v>
      </c>
      <c r="D34" s="11" t="str">
        <f t="array" ref="D34">INDEX(Invoice!E:E,MATCH(Calculations!A34,Invoice!B:B,0))</f>
        <v>173212</v>
      </c>
      <c r="E34" s="12" t="str">
        <f t="array" ref="E34">INDEX(Invoice!G:G,MATCH(Calculations!A34,Invoice!B:B,0))</f>
        <v>Forward charges</v>
      </c>
      <c r="F34" s="12" t="str">
        <f t="shared" si="1"/>
        <v>Yes</v>
      </c>
      <c r="G34" s="13" t="str">
        <f t="shared" si="2"/>
        <v>fwd</v>
      </c>
      <c r="H34" s="13" t="str">
        <f t="shared" si="3"/>
        <v>No</v>
      </c>
      <c r="I34" s="12" t="str">
        <f t="shared" si="4"/>
        <v/>
      </c>
      <c r="J34" s="12">
        <f>SUMIF(OrderReport!A:A,A34,OrderReport!E:E)</f>
        <v>689</v>
      </c>
      <c r="K34" s="12">
        <f t="shared" si="5"/>
        <v>0.689</v>
      </c>
      <c r="L34" s="12">
        <f t="shared" si="6"/>
        <v>1000</v>
      </c>
      <c r="M34" s="12">
        <f t="shared" si="7"/>
        <v>1</v>
      </c>
      <c r="N34" s="11" t="str">
        <f t="array" ref="N34">INDEX(PincodeZones!C:C,MATCH(1,(PincodeZones!A:A=C34)*(PincodeZones!B:B=D34),0))</f>
        <v>e</v>
      </c>
      <c r="O34" s="12">
        <f t="array" ref="O34">INDEX(RatesTable!E:E,MATCH(1,(RatesTable!B:B=G34)*(RatesTable!C:C=N34)*(RatesTable!D:D="fixed"),0))</f>
        <v>56.6</v>
      </c>
      <c r="P34" s="12">
        <f t="array" ref="P34">((M34-0.5)/0.5)*INDEX(RatesTable!E:E,MATCH(1,(RatesTable!B:B=G34)*(RatesTable!C:C=N34)*(RatesTable!D:D="additional"),0))</f>
        <v>55.5</v>
      </c>
      <c r="Q34" s="12">
        <f t="array" ref="Q34">IFNA(INDEX(RatesTable!E:E,MATCH(1,(RatesTable!B:B=I34)*(RatesTable!C:C=N34)*(RatesTable!D:D="fixed"),0)),0)</f>
        <v>0</v>
      </c>
      <c r="R34" s="13">
        <f t="array" ref="R34">((M34-0.5)/0.5)*IFNA(INDEX(RatesTable!E:E,MATCH(1,(RatesTable!B:B=I34)*(RatesTable!C:C=N34)*(RatesTable!D:D="additional"),0)),0)</f>
        <v>0</v>
      </c>
      <c r="S34" s="12">
        <f t="shared" si="8"/>
        <v>112.1</v>
      </c>
      <c r="T34" s="12" t="str">
        <f t="array" ref="T34">INDEX(Invoice!C:C,MATCH(B34,(Invoice!A:A),0))</f>
        <v>0.5</v>
      </c>
      <c r="U34" s="12">
        <f t="shared" si="9"/>
        <v>500</v>
      </c>
      <c r="V34" s="12">
        <f t="shared" si="10"/>
        <v>0.5</v>
      </c>
      <c r="W34" s="12" t="str">
        <f t="array" ref="W34">INDEX(Invoice!F:F,MATCH(B34,(Invoice!A:A),0))</f>
        <v>b</v>
      </c>
      <c r="X34" s="14">
        <f t="array" ref="X34">INDEX(Invoice!H:H,MATCH(B34,(Invoice!A:A),0))</f>
        <v>33</v>
      </c>
      <c r="Y34" s="15">
        <f t="shared" si="11"/>
        <v>79.1</v>
      </c>
      <c r="Z34" s="16">
        <f t="shared" si="12"/>
        <v>70.56199822</v>
      </c>
      <c r="AA34" s="16">
        <f t="shared" si="13"/>
        <v>162.6995646</v>
      </c>
      <c r="AB34" s="16">
        <f t="shared" si="14"/>
        <v>0</v>
      </c>
    </row>
    <row r="35" ht="15.75" customHeight="1">
      <c r="A35" s="11" t="str">
        <f>IFERROR(__xludf.DUMMYFUNCTION("""COMPUTED_VALUE"""),"2001811466")</f>
        <v>2001811466</v>
      </c>
      <c r="B35" s="11" t="str">
        <f t="array" ref="B35">INDEX(Invoice!A:A,MATCH(Calculations!A35,Invoice!B:B,0))</f>
        <v>1091118001865</v>
      </c>
      <c r="C35" s="12">
        <f t="array" ref="C35">INDEX(Invoice!D:D,MATCH(Calculations!A35,Invoice!B:B,0))</f>
        <v>121003</v>
      </c>
      <c r="D35" s="11" t="str">
        <f t="array" ref="D35">INDEX(Invoice!E:E,MATCH(Calculations!A35,Invoice!B:B,0))</f>
        <v>302002</v>
      </c>
      <c r="E35" s="12" t="str">
        <f t="array" ref="E35">INDEX(Invoice!G:G,MATCH(Calculations!A35,Invoice!B:B,0))</f>
        <v>Forward charges</v>
      </c>
      <c r="F35" s="12" t="str">
        <f t="shared" si="1"/>
        <v>Yes</v>
      </c>
      <c r="G35" s="13" t="str">
        <f t="shared" si="2"/>
        <v>fwd</v>
      </c>
      <c r="H35" s="13" t="str">
        <f t="shared" si="3"/>
        <v>No</v>
      </c>
      <c r="I35" s="12" t="str">
        <f t="shared" si="4"/>
        <v/>
      </c>
      <c r="J35" s="12">
        <f>SUMIF(OrderReport!A:A,A35,OrderReport!E:E)</f>
        <v>607</v>
      </c>
      <c r="K35" s="12">
        <f t="shared" si="5"/>
        <v>0.607</v>
      </c>
      <c r="L35" s="12">
        <f t="shared" si="6"/>
        <v>1000</v>
      </c>
      <c r="M35" s="12">
        <f t="shared" si="7"/>
        <v>1</v>
      </c>
      <c r="N35" s="11" t="str">
        <f t="array" ref="N35">INDEX(PincodeZones!C:C,MATCH(1,(PincodeZones!A:A=C35)*(PincodeZones!B:B=D35),0))</f>
        <v>b</v>
      </c>
      <c r="O35" s="12">
        <f t="array" ref="O35">INDEX(RatesTable!E:E,MATCH(1,(RatesTable!B:B=G35)*(RatesTable!C:C=N35)*(RatesTable!D:D="fixed"),0))</f>
        <v>33</v>
      </c>
      <c r="P35" s="12">
        <f t="array" ref="P35">((M35-0.5)/0.5)*INDEX(RatesTable!E:E,MATCH(1,(RatesTable!B:B=G35)*(RatesTable!C:C=N35)*(RatesTable!D:D="additional"),0))</f>
        <v>28.3</v>
      </c>
      <c r="Q35" s="12">
        <f t="array" ref="Q35">IFNA(INDEX(RatesTable!E:E,MATCH(1,(RatesTable!B:B=I35)*(RatesTable!C:C=N35)*(RatesTable!D:D="fixed"),0)),0)</f>
        <v>0</v>
      </c>
      <c r="R35" s="13">
        <f t="array" ref="R35">((M35-0.5)/0.5)*IFNA(INDEX(RatesTable!E:E,MATCH(1,(RatesTable!B:B=I35)*(RatesTable!C:C=N35)*(RatesTable!D:D="additional"),0)),0)</f>
        <v>0</v>
      </c>
      <c r="S35" s="12">
        <f t="shared" si="8"/>
        <v>61.3</v>
      </c>
      <c r="T35" s="12" t="str">
        <f t="array" ref="T35">INDEX(Invoice!C:C,MATCH(B35,(Invoice!A:A),0))</f>
        <v>0.8</v>
      </c>
      <c r="U35" s="12">
        <f t="shared" si="9"/>
        <v>800</v>
      </c>
      <c r="V35" s="12">
        <f t="shared" si="10"/>
        <v>1</v>
      </c>
      <c r="W35" s="12" t="str">
        <f t="array" ref="W35">INDEX(Invoice!F:F,MATCH(B35,(Invoice!A:A),0))</f>
        <v>d</v>
      </c>
      <c r="X35" s="14">
        <f t="array" ref="X35">INDEX(Invoice!H:H,MATCH(B35,(Invoice!A:A),0))</f>
        <v>90.2</v>
      </c>
      <c r="Y35" s="15">
        <f t="shared" si="11"/>
        <v>-28.9</v>
      </c>
      <c r="Z35" s="16">
        <f t="shared" si="12"/>
        <v>-47.1451876</v>
      </c>
      <c r="AA35" s="16">
        <f t="shared" si="13"/>
        <v>100.9884679</v>
      </c>
      <c r="AB35" s="16">
        <f t="shared" si="14"/>
        <v>0</v>
      </c>
    </row>
    <row r="36" ht="15.75" customHeight="1">
      <c r="A36" s="11" t="str">
        <f>IFERROR(__xludf.DUMMYFUNCTION("""COMPUTED_VALUE"""),"2001811363")</f>
        <v>2001811363</v>
      </c>
      <c r="B36" s="11" t="str">
        <f t="array" ref="B36">INDEX(Invoice!A:A,MATCH(Calculations!A36,Invoice!B:B,0))</f>
        <v>1091117958395</v>
      </c>
      <c r="C36" s="12">
        <f t="array" ref="C36">INDEX(Invoice!D:D,MATCH(Calculations!A36,Invoice!B:B,0))</f>
        <v>121003</v>
      </c>
      <c r="D36" s="11" t="str">
        <f t="array" ref="D36">INDEX(Invoice!E:E,MATCH(Calculations!A36,Invoice!B:B,0))</f>
        <v>321608</v>
      </c>
      <c r="E36" s="12" t="str">
        <f t="array" ref="E36">INDEX(Invoice!G:G,MATCH(Calculations!A36,Invoice!B:B,0))</f>
        <v>Forward charges</v>
      </c>
      <c r="F36" s="12" t="str">
        <f t="shared" si="1"/>
        <v>Yes</v>
      </c>
      <c r="G36" s="13" t="str">
        <f t="shared" si="2"/>
        <v>fwd</v>
      </c>
      <c r="H36" s="13" t="str">
        <f t="shared" si="3"/>
        <v>No</v>
      </c>
      <c r="I36" s="12" t="str">
        <f t="shared" si="4"/>
        <v/>
      </c>
      <c r="J36" s="12">
        <f>SUMIF(OrderReport!A:A,A36,OrderReport!E:E)</f>
        <v>508</v>
      </c>
      <c r="K36" s="12">
        <f t="shared" si="5"/>
        <v>0.508</v>
      </c>
      <c r="L36" s="12">
        <f t="shared" si="6"/>
        <v>1000</v>
      </c>
      <c r="M36" s="12">
        <f t="shared" si="7"/>
        <v>1</v>
      </c>
      <c r="N36" s="11" t="str">
        <f t="array" ref="N36">INDEX(PincodeZones!C:C,MATCH(1,(PincodeZones!A:A=C36)*(PincodeZones!B:B=D36),0))</f>
        <v>b</v>
      </c>
      <c r="O36" s="12">
        <f t="array" ref="O36">INDEX(RatesTable!E:E,MATCH(1,(RatesTable!B:B=G36)*(RatesTable!C:C=N36)*(RatesTable!D:D="fixed"),0))</f>
        <v>33</v>
      </c>
      <c r="P36" s="12">
        <f t="array" ref="P36">((M36-0.5)/0.5)*INDEX(RatesTable!E:E,MATCH(1,(RatesTable!B:B=G36)*(RatesTable!C:C=N36)*(RatesTable!D:D="additional"),0))</f>
        <v>28.3</v>
      </c>
      <c r="Q36" s="12">
        <f t="array" ref="Q36">IFNA(INDEX(RatesTable!E:E,MATCH(1,(RatesTable!B:B=I36)*(RatesTable!C:C=N36)*(RatesTable!D:D="fixed"),0)),0)</f>
        <v>0</v>
      </c>
      <c r="R36" s="13">
        <f t="array" ref="R36">((M36-0.5)/0.5)*IFNA(INDEX(RatesTable!E:E,MATCH(1,(RatesTable!B:B=I36)*(RatesTable!C:C=N36)*(RatesTable!D:D="additional"),0)),0)</f>
        <v>0</v>
      </c>
      <c r="S36" s="12">
        <f t="shared" si="8"/>
        <v>61.3</v>
      </c>
      <c r="T36" s="12" t="str">
        <f t="array" ref="T36">INDEX(Invoice!C:C,MATCH(B36,(Invoice!A:A),0))</f>
        <v>0.59</v>
      </c>
      <c r="U36" s="12">
        <f t="shared" si="9"/>
        <v>590</v>
      </c>
      <c r="V36" s="12">
        <f t="shared" si="10"/>
        <v>1</v>
      </c>
      <c r="W36" s="12" t="str">
        <f t="array" ref="W36">INDEX(Invoice!F:F,MATCH(B36,(Invoice!A:A),0))</f>
        <v>d</v>
      </c>
      <c r="X36" s="14">
        <f t="array" ref="X36">INDEX(Invoice!H:H,MATCH(B36,(Invoice!A:A),0))</f>
        <v>90.2</v>
      </c>
      <c r="Y36" s="15">
        <f t="shared" si="11"/>
        <v>-28.9</v>
      </c>
      <c r="Z36" s="16">
        <f t="shared" si="12"/>
        <v>-47.1451876</v>
      </c>
      <c r="AA36" s="16">
        <f t="shared" si="13"/>
        <v>120.6692913</v>
      </c>
      <c r="AB36" s="16">
        <f t="shared" si="14"/>
        <v>0</v>
      </c>
    </row>
    <row r="37" ht="15.75" customHeight="1">
      <c r="A37" s="11" t="str">
        <f>IFERROR(__xludf.DUMMYFUNCTION("""COMPUTED_VALUE"""),"2001811306")</f>
        <v>2001811306</v>
      </c>
      <c r="B37" s="11" t="str">
        <f t="array" ref="B37">INDEX(Invoice!A:A,MATCH(Calculations!A37,Invoice!B:B,0))</f>
        <v>1091117958163</v>
      </c>
      <c r="C37" s="12">
        <f t="array" ref="C37">INDEX(Invoice!D:D,MATCH(Calculations!A37,Invoice!B:B,0))</f>
        <v>121003</v>
      </c>
      <c r="D37" s="11" t="str">
        <f t="array" ref="D37">INDEX(Invoice!E:E,MATCH(Calculations!A37,Invoice!B:B,0))</f>
        <v>302017</v>
      </c>
      <c r="E37" s="12" t="str">
        <f t="array" ref="E37">INDEX(Invoice!G:G,MATCH(Calculations!A37,Invoice!B:B,0))</f>
        <v>Forward charges</v>
      </c>
      <c r="F37" s="12" t="str">
        <f t="shared" si="1"/>
        <v>Yes</v>
      </c>
      <c r="G37" s="13" t="str">
        <f t="shared" si="2"/>
        <v>fwd</v>
      </c>
      <c r="H37" s="13" t="str">
        <f t="shared" si="3"/>
        <v>No</v>
      </c>
      <c r="I37" s="12" t="str">
        <f t="shared" si="4"/>
        <v/>
      </c>
      <c r="J37" s="12">
        <f>SUMIF(OrderReport!A:A,A37,OrderReport!E:E)</f>
        <v>945</v>
      </c>
      <c r="K37" s="12">
        <f t="shared" si="5"/>
        <v>0.945</v>
      </c>
      <c r="L37" s="12">
        <f t="shared" si="6"/>
        <v>1000</v>
      </c>
      <c r="M37" s="12">
        <f t="shared" si="7"/>
        <v>1</v>
      </c>
      <c r="N37" s="11" t="str">
        <f t="array" ref="N37">INDEX(PincodeZones!C:C,MATCH(1,(PincodeZones!A:A=C37)*(PincodeZones!B:B=D37),0))</f>
        <v>b</v>
      </c>
      <c r="O37" s="12">
        <f t="array" ref="O37">INDEX(RatesTable!E:E,MATCH(1,(RatesTable!B:B=G37)*(RatesTable!C:C=N37)*(RatesTable!D:D="fixed"),0))</f>
        <v>33</v>
      </c>
      <c r="P37" s="12">
        <f t="array" ref="P37">((M37-0.5)/0.5)*INDEX(RatesTable!E:E,MATCH(1,(RatesTable!B:B=G37)*(RatesTable!C:C=N37)*(RatesTable!D:D="additional"),0))</f>
        <v>28.3</v>
      </c>
      <c r="Q37" s="12">
        <f t="array" ref="Q37">IFNA(INDEX(RatesTable!E:E,MATCH(1,(RatesTable!B:B=I37)*(RatesTable!C:C=N37)*(RatesTable!D:D="fixed"),0)),0)</f>
        <v>0</v>
      </c>
      <c r="R37" s="13">
        <f t="array" ref="R37">((M37-0.5)/0.5)*IFNA(INDEX(RatesTable!E:E,MATCH(1,(RatesTable!B:B=I37)*(RatesTable!C:C=N37)*(RatesTable!D:D="additional"),0)),0)</f>
        <v>0</v>
      </c>
      <c r="S37" s="12">
        <f t="shared" si="8"/>
        <v>61.3</v>
      </c>
      <c r="T37" s="12" t="str">
        <f t="array" ref="T37">INDEX(Invoice!C:C,MATCH(B37,(Invoice!A:A),0))</f>
        <v>1.1</v>
      </c>
      <c r="U37" s="12">
        <f t="shared" si="9"/>
        <v>1100</v>
      </c>
      <c r="V37" s="12">
        <f t="shared" si="10"/>
        <v>1.5</v>
      </c>
      <c r="W37" s="12" t="str">
        <f t="array" ref="W37">INDEX(Invoice!F:F,MATCH(B37,(Invoice!A:A),0))</f>
        <v>d</v>
      </c>
      <c r="X37" s="14">
        <f t="array" ref="X37">INDEX(Invoice!H:H,MATCH(B37,(Invoice!A:A),0))</f>
        <v>135</v>
      </c>
      <c r="Y37" s="15">
        <f t="shared" si="11"/>
        <v>-73.7</v>
      </c>
      <c r="Z37" s="16">
        <f t="shared" si="12"/>
        <v>-120.228385</v>
      </c>
      <c r="AA37" s="16">
        <f t="shared" si="13"/>
        <v>64.86772487</v>
      </c>
      <c r="AB37" s="16">
        <f t="shared" si="14"/>
        <v>0</v>
      </c>
    </row>
    <row r="38" ht="15.75" customHeight="1">
      <c r="A38" s="11" t="str">
        <f>IFERROR(__xludf.DUMMYFUNCTION("""COMPUTED_VALUE"""),"2001811305")</f>
        <v>2001811305</v>
      </c>
      <c r="B38" s="11" t="str">
        <f t="array" ref="B38">INDEX(Invoice!A:A,MATCH(Calculations!A38,Invoice!B:B,0))</f>
        <v>1091121846136</v>
      </c>
      <c r="C38" s="12">
        <f t="array" ref="C38">INDEX(Invoice!D:D,MATCH(Calculations!A38,Invoice!B:B,0))</f>
        <v>121003</v>
      </c>
      <c r="D38" s="11" t="str">
        <f t="array" ref="D38">INDEX(Invoice!E:E,MATCH(Calculations!A38,Invoice!B:B,0))</f>
        <v>302020</v>
      </c>
      <c r="E38" s="12" t="str">
        <f t="array" ref="E38">INDEX(Invoice!G:G,MATCH(Calculations!A38,Invoice!B:B,0))</f>
        <v>Forward charges</v>
      </c>
      <c r="F38" s="12" t="str">
        <f t="shared" si="1"/>
        <v>Yes</v>
      </c>
      <c r="G38" s="13" t="str">
        <f t="shared" si="2"/>
        <v>fwd</v>
      </c>
      <c r="H38" s="13" t="str">
        <f t="shared" si="3"/>
        <v>No</v>
      </c>
      <c r="I38" s="12" t="str">
        <f t="shared" si="4"/>
        <v/>
      </c>
      <c r="J38" s="12">
        <f>SUMIF(OrderReport!A:A,A38,OrderReport!E:E)</f>
        <v>750</v>
      </c>
      <c r="K38" s="12">
        <f t="shared" si="5"/>
        <v>0.75</v>
      </c>
      <c r="L38" s="12">
        <f t="shared" si="6"/>
        <v>1000</v>
      </c>
      <c r="M38" s="12">
        <f t="shared" si="7"/>
        <v>1</v>
      </c>
      <c r="N38" s="11" t="str">
        <f t="array" ref="N38">INDEX(PincodeZones!C:C,MATCH(1,(PincodeZones!A:A=C38)*(PincodeZones!B:B=D38),0))</f>
        <v>b</v>
      </c>
      <c r="O38" s="12">
        <f t="array" ref="O38">INDEX(RatesTable!E:E,MATCH(1,(RatesTable!B:B=G38)*(RatesTable!C:C=N38)*(RatesTable!D:D="fixed"),0))</f>
        <v>33</v>
      </c>
      <c r="P38" s="12">
        <f t="array" ref="P38">((M38-0.5)/0.5)*INDEX(RatesTable!E:E,MATCH(1,(RatesTable!B:B=G38)*(RatesTable!C:C=N38)*(RatesTable!D:D="additional"),0))</f>
        <v>28.3</v>
      </c>
      <c r="Q38" s="12">
        <f t="array" ref="Q38">IFNA(INDEX(RatesTable!E:E,MATCH(1,(RatesTable!B:B=I38)*(RatesTable!C:C=N38)*(RatesTable!D:D="fixed"),0)),0)</f>
        <v>0</v>
      </c>
      <c r="R38" s="13">
        <f t="array" ref="R38">((M38-0.5)/0.5)*IFNA(INDEX(RatesTable!E:E,MATCH(1,(RatesTable!B:B=I38)*(RatesTable!C:C=N38)*(RatesTable!D:D="additional"),0)),0)</f>
        <v>0</v>
      </c>
      <c r="S38" s="12">
        <f t="shared" si="8"/>
        <v>61.3</v>
      </c>
      <c r="T38" s="12" t="str">
        <f t="array" ref="T38">INDEX(Invoice!C:C,MATCH(B38,(Invoice!A:A),0))</f>
        <v>0.5</v>
      </c>
      <c r="U38" s="12">
        <f t="shared" si="9"/>
        <v>500</v>
      </c>
      <c r="V38" s="12">
        <f t="shared" si="10"/>
        <v>0.5</v>
      </c>
      <c r="W38" s="12" t="str">
        <f t="array" ref="W38">INDEX(Invoice!F:F,MATCH(B38,(Invoice!A:A),0))</f>
        <v>d</v>
      </c>
      <c r="X38" s="14">
        <f t="array" ref="X38">INDEX(Invoice!H:H,MATCH(B38,(Invoice!A:A),0))</f>
        <v>45.4</v>
      </c>
      <c r="Y38" s="15">
        <f t="shared" si="11"/>
        <v>15.9</v>
      </c>
      <c r="Z38" s="16">
        <f t="shared" si="12"/>
        <v>25.93800979</v>
      </c>
      <c r="AA38" s="16">
        <f t="shared" si="13"/>
        <v>81.73333333</v>
      </c>
      <c r="AB38" s="16">
        <f t="shared" si="14"/>
        <v>0</v>
      </c>
    </row>
    <row r="39" ht="15.75" customHeight="1">
      <c r="A39" s="11" t="str">
        <f>IFERROR(__xludf.DUMMYFUNCTION("""COMPUTED_VALUE"""),"2001811229")</f>
        <v>2001811229</v>
      </c>
      <c r="B39" s="11" t="str">
        <f t="array" ref="B39">INDEX(Invoice!A:A,MATCH(Calculations!A39,Invoice!B:B,0))</f>
        <v>1091117957942</v>
      </c>
      <c r="C39" s="12">
        <f t="array" ref="C39">INDEX(Invoice!D:D,MATCH(Calculations!A39,Invoice!B:B,0))</f>
        <v>121003</v>
      </c>
      <c r="D39" s="11" t="str">
        <f t="array" ref="D39">INDEX(Invoice!E:E,MATCH(Calculations!A39,Invoice!B:B,0))</f>
        <v>324001</v>
      </c>
      <c r="E39" s="12" t="str">
        <f t="array" ref="E39">INDEX(Invoice!G:G,MATCH(Calculations!A39,Invoice!B:B,0))</f>
        <v>Forward charges</v>
      </c>
      <c r="F39" s="12" t="str">
        <f t="shared" si="1"/>
        <v>Yes</v>
      </c>
      <c r="G39" s="13" t="str">
        <f t="shared" si="2"/>
        <v>fwd</v>
      </c>
      <c r="H39" s="13" t="str">
        <f t="shared" si="3"/>
        <v>No</v>
      </c>
      <c r="I39" s="12" t="str">
        <f t="shared" si="4"/>
        <v/>
      </c>
      <c r="J39" s="12">
        <f>SUMIF(OrderReport!A:A,A39,OrderReport!E:E)</f>
        <v>505</v>
      </c>
      <c r="K39" s="12">
        <f t="shared" si="5"/>
        <v>0.505</v>
      </c>
      <c r="L39" s="12">
        <f t="shared" si="6"/>
        <v>1000</v>
      </c>
      <c r="M39" s="12">
        <f t="shared" si="7"/>
        <v>1</v>
      </c>
      <c r="N39" s="11" t="str">
        <f t="array" ref="N39">INDEX(PincodeZones!C:C,MATCH(1,(PincodeZones!A:A=C39)*(PincodeZones!B:B=D39),0))</f>
        <v>b</v>
      </c>
      <c r="O39" s="12">
        <f t="array" ref="O39">INDEX(RatesTable!E:E,MATCH(1,(RatesTable!B:B=G39)*(RatesTable!C:C=N39)*(RatesTable!D:D="fixed"),0))</f>
        <v>33</v>
      </c>
      <c r="P39" s="12">
        <f t="array" ref="P39">((M39-0.5)/0.5)*INDEX(RatesTable!E:E,MATCH(1,(RatesTable!B:B=G39)*(RatesTable!C:C=N39)*(RatesTable!D:D="additional"),0))</f>
        <v>28.3</v>
      </c>
      <c r="Q39" s="12">
        <f t="array" ref="Q39">IFNA(INDEX(RatesTable!E:E,MATCH(1,(RatesTable!B:B=I39)*(RatesTable!C:C=N39)*(RatesTable!D:D="fixed"),0)),0)</f>
        <v>0</v>
      </c>
      <c r="R39" s="13">
        <f t="array" ref="R39">((M39-0.5)/0.5)*IFNA(INDEX(RatesTable!E:E,MATCH(1,(RatesTable!B:B=I39)*(RatesTable!C:C=N39)*(RatesTable!D:D="additional"),0)),0)</f>
        <v>0</v>
      </c>
      <c r="S39" s="12">
        <f t="shared" si="8"/>
        <v>61.3</v>
      </c>
      <c r="T39" s="12" t="str">
        <f t="array" ref="T39">INDEX(Invoice!C:C,MATCH(B39,(Invoice!A:A),0))</f>
        <v>0.6</v>
      </c>
      <c r="U39" s="12">
        <f t="shared" si="9"/>
        <v>600</v>
      </c>
      <c r="V39" s="12">
        <f t="shared" si="10"/>
        <v>1</v>
      </c>
      <c r="W39" s="12" t="str">
        <f t="array" ref="W39">INDEX(Invoice!F:F,MATCH(B39,(Invoice!A:A),0))</f>
        <v>d</v>
      </c>
      <c r="X39" s="14">
        <f t="array" ref="X39">INDEX(Invoice!H:H,MATCH(B39,(Invoice!A:A),0))</f>
        <v>90.2</v>
      </c>
      <c r="Y39" s="15">
        <f t="shared" si="11"/>
        <v>-28.9</v>
      </c>
      <c r="Z39" s="16">
        <f t="shared" si="12"/>
        <v>-47.1451876</v>
      </c>
      <c r="AA39" s="16">
        <f t="shared" si="13"/>
        <v>121.3861386</v>
      </c>
      <c r="AB39" s="16">
        <f t="shared" si="14"/>
        <v>0</v>
      </c>
    </row>
    <row r="40" ht="15.75" customHeight="1">
      <c r="A40" s="11" t="str">
        <f>IFERROR(__xludf.DUMMYFUNCTION("""COMPUTED_VALUE"""),"2001811192")</f>
        <v>2001811192</v>
      </c>
      <c r="B40" s="11" t="str">
        <f t="array" ref="B40">INDEX(Invoice!A:A,MATCH(Calculations!A40,Invoice!B:B,0))</f>
        <v>1091117957780</v>
      </c>
      <c r="C40" s="12">
        <f t="array" ref="C40">INDEX(Invoice!D:D,MATCH(Calculations!A40,Invoice!B:B,0))</f>
        <v>121003</v>
      </c>
      <c r="D40" s="11" t="str">
        <f t="array" ref="D40">INDEX(Invoice!E:E,MATCH(Calculations!A40,Invoice!B:B,0))</f>
        <v>562110</v>
      </c>
      <c r="E40" s="12" t="str">
        <f t="array" ref="E40">INDEX(Invoice!G:G,MATCH(Calculations!A40,Invoice!B:B,0))</f>
        <v>Forward and RTO charges</v>
      </c>
      <c r="F40" s="12" t="str">
        <f t="shared" si="1"/>
        <v>Yes</v>
      </c>
      <c r="G40" s="13" t="str">
        <f t="shared" si="2"/>
        <v>fwd</v>
      </c>
      <c r="H40" s="13" t="str">
        <f t="shared" si="3"/>
        <v>Yes</v>
      </c>
      <c r="I40" s="12" t="str">
        <f t="shared" si="4"/>
        <v>rto</v>
      </c>
      <c r="J40" s="12">
        <f>SUMIF(OrderReport!A:A,A40,OrderReport!E:E)</f>
        <v>1032</v>
      </c>
      <c r="K40" s="12">
        <f t="shared" si="5"/>
        <v>1.032</v>
      </c>
      <c r="L40" s="12">
        <f t="shared" si="6"/>
        <v>1500</v>
      </c>
      <c r="M40" s="12">
        <f t="shared" si="7"/>
        <v>1.5</v>
      </c>
      <c r="N40" s="11" t="str">
        <f t="array" ref="N40">INDEX(PincodeZones!C:C,MATCH(1,(PincodeZones!A:A=C40)*(PincodeZones!B:B=D40),0))</f>
        <v>d</v>
      </c>
      <c r="O40" s="12">
        <f t="array" ref="O40">INDEX(RatesTable!E:E,MATCH(1,(RatesTable!B:B=G40)*(RatesTable!C:C=N40)*(RatesTable!D:D="fixed"),0))</f>
        <v>45.4</v>
      </c>
      <c r="P40" s="12">
        <f t="array" ref="P40">((M40-0.5)/0.5)*INDEX(RatesTable!E:E,MATCH(1,(RatesTable!B:B=G40)*(RatesTable!C:C=N40)*(RatesTable!D:D="additional"),0))</f>
        <v>89.6</v>
      </c>
      <c r="Q40" s="12">
        <f t="array" ref="Q40">IFNA(INDEX(RatesTable!E:E,MATCH(1,(RatesTable!B:B=I40)*(RatesTable!C:C=N40)*(RatesTable!D:D="fixed"),0)),0)</f>
        <v>41.3</v>
      </c>
      <c r="R40" s="13">
        <f t="array" ref="R40">((M40-0.5)/0.5)*IFNA(INDEX(RatesTable!E:E,MATCH(1,(RatesTable!B:B=I40)*(RatesTable!C:C=N40)*(RatesTable!D:D="additional"),0)),0)</f>
        <v>89.6</v>
      </c>
      <c r="S40" s="12">
        <f t="shared" si="8"/>
        <v>265.9</v>
      </c>
      <c r="T40" s="12" t="str">
        <f t="array" ref="T40">INDEX(Invoice!C:C,MATCH(B40,(Invoice!A:A),0))</f>
        <v>1.13</v>
      </c>
      <c r="U40" s="12">
        <f t="shared" si="9"/>
        <v>1130</v>
      </c>
      <c r="V40" s="12">
        <f t="shared" si="10"/>
        <v>1.5</v>
      </c>
      <c r="W40" s="12" t="str">
        <f t="array" ref="W40">INDEX(Invoice!F:F,MATCH(B40,(Invoice!A:A),0))</f>
        <v>d</v>
      </c>
      <c r="X40" s="14">
        <f t="array" ref="X40">INDEX(Invoice!H:H,MATCH(B40,(Invoice!A:A),0))</f>
        <v>258.9</v>
      </c>
      <c r="Y40" s="15">
        <f t="shared" si="11"/>
        <v>7</v>
      </c>
      <c r="Z40" s="16">
        <f t="shared" si="12"/>
        <v>2.632568635</v>
      </c>
      <c r="AA40" s="16">
        <f t="shared" si="13"/>
        <v>130.8139535</v>
      </c>
      <c r="AB40" s="16">
        <f t="shared" si="14"/>
        <v>126.8410853</v>
      </c>
    </row>
    <row r="41" ht="15.75" customHeight="1">
      <c r="A41" s="11" t="str">
        <f>IFERROR(__xludf.DUMMYFUNCTION("""COMPUTED_VALUE"""),"2001811153")</f>
        <v>2001811153</v>
      </c>
      <c r="B41" s="11" t="str">
        <f t="array" ref="B41">INDEX(Invoice!A:A,MATCH(Calculations!A41,Invoice!B:B,0))</f>
        <v>1091117957533</v>
      </c>
      <c r="C41" s="12">
        <f t="array" ref="C41">INDEX(Invoice!D:D,MATCH(Calculations!A41,Invoice!B:B,0))</f>
        <v>121003</v>
      </c>
      <c r="D41" s="11" t="str">
        <f t="array" ref="D41">INDEX(Invoice!E:E,MATCH(Calculations!A41,Invoice!B:B,0))</f>
        <v>321001</v>
      </c>
      <c r="E41" s="12" t="str">
        <f t="array" ref="E41">INDEX(Invoice!G:G,MATCH(Calculations!A41,Invoice!B:B,0))</f>
        <v>Forward charges</v>
      </c>
      <c r="F41" s="12" t="str">
        <f t="shared" si="1"/>
        <v>Yes</v>
      </c>
      <c r="G41" s="13" t="str">
        <f t="shared" si="2"/>
        <v>fwd</v>
      </c>
      <c r="H41" s="13" t="str">
        <f t="shared" si="3"/>
        <v>No</v>
      </c>
      <c r="I41" s="12" t="str">
        <f t="shared" si="4"/>
        <v/>
      </c>
      <c r="J41" s="12">
        <f>SUMIF(OrderReport!A:A,A41,OrderReport!E:E)</f>
        <v>607</v>
      </c>
      <c r="K41" s="12">
        <f t="shared" si="5"/>
        <v>0.607</v>
      </c>
      <c r="L41" s="12">
        <f t="shared" si="6"/>
        <v>1000</v>
      </c>
      <c r="M41" s="12">
        <f t="shared" si="7"/>
        <v>1</v>
      </c>
      <c r="N41" s="11" t="str">
        <f t="array" ref="N41">INDEX(PincodeZones!C:C,MATCH(1,(PincodeZones!A:A=C41)*(PincodeZones!B:B=D41),0))</f>
        <v>b</v>
      </c>
      <c r="O41" s="12">
        <f t="array" ref="O41">INDEX(RatesTable!E:E,MATCH(1,(RatesTable!B:B=G41)*(RatesTable!C:C=N41)*(RatesTable!D:D="fixed"),0))</f>
        <v>33</v>
      </c>
      <c r="P41" s="12">
        <f t="array" ref="P41">((M41-0.5)/0.5)*INDEX(RatesTable!E:E,MATCH(1,(RatesTable!B:B=G41)*(RatesTable!C:C=N41)*(RatesTable!D:D="additional"),0))</f>
        <v>28.3</v>
      </c>
      <c r="Q41" s="12">
        <f t="array" ref="Q41">IFNA(INDEX(RatesTable!E:E,MATCH(1,(RatesTable!B:B=I41)*(RatesTable!C:C=N41)*(RatesTable!D:D="fixed"),0)),0)</f>
        <v>0</v>
      </c>
      <c r="R41" s="13">
        <f t="array" ref="R41">((M41-0.5)/0.5)*IFNA(INDEX(RatesTable!E:E,MATCH(1,(RatesTable!B:B=I41)*(RatesTable!C:C=N41)*(RatesTable!D:D="additional"),0)),0)</f>
        <v>0</v>
      </c>
      <c r="S41" s="12">
        <f t="shared" si="8"/>
        <v>61.3</v>
      </c>
      <c r="T41" s="12" t="str">
        <f t="array" ref="T41">INDEX(Invoice!C:C,MATCH(B41,(Invoice!A:A),0))</f>
        <v>0.76</v>
      </c>
      <c r="U41" s="12">
        <f t="shared" si="9"/>
        <v>760</v>
      </c>
      <c r="V41" s="12">
        <f t="shared" si="10"/>
        <v>1</v>
      </c>
      <c r="W41" s="12" t="str">
        <f t="array" ref="W41">INDEX(Invoice!F:F,MATCH(B41,(Invoice!A:A),0))</f>
        <v>d</v>
      </c>
      <c r="X41" s="14">
        <f t="array" ref="X41">INDEX(Invoice!H:H,MATCH(B41,(Invoice!A:A),0))</f>
        <v>90.2</v>
      </c>
      <c r="Y41" s="15">
        <f t="shared" si="11"/>
        <v>-28.9</v>
      </c>
      <c r="Z41" s="16">
        <f t="shared" si="12"/>
        <v>-47.1451876</v>
      </c>
      <c r="AA41" s="16">
        <f t="shared" si="13"/>
        <v>100.9884679</v>
      </c>
      <c r="AB41" s="16">
        <f t="shared" si="14"/>
        <v>0</v>
      </c>
    </row>
    <row r="42" ht="15.75" customHeight="1">
      <c r="A42" s="11" t="str">
        <f>IFERROR(__xludf.DUMMYFUNCTION("""COMPUTED_VALUE"""),"2001811058")</f>
        <v>2001811058</v>
      </c>
      <c r="B42" s="11" t="str">
        <f t="array" ref="B42">INDEX(Invoice!A:A,MATCH(Calculations!A42,Invoice!B:B,0))</f>
        <v>1091117905022</v>
      </c>
      <c r="C42" s="12">
        <f t="array" ref="C42">INDEX(Invoice!D:D,MATCH(Calculations!A42,Invoice!B:B,0))</f>
        <v>121003</v>
      </c>
      <c r="D42" s="11" t="str">
        <f t="array" ref="D42">INDEX(Invoice!E:E,MATCH(Calculations!A42,Invoice!B:B,0))</f>
        <v>302018</v>
      </c>
      <c r="E42" s="12" t="str">
        <f t="array" ref="E42">INDEX(Invoice!G:G,MATCH(Calculations!A42,Invoice!B:B,0))</f>
        <v>Forward charges</v>
      </c>
      <c r="F42" s="12" t="str">
        <f t="shared" si="1"/>
        <v>Yes</v>
      </c>
      <c r="G42" s="13" t="str">
        <f t="shared" si="2"/>
        <v>fwd</v>
      </c>
      <c r="H42" s="13" t="str">
        <f t="shared" si="3"/>
        <v>No</v>
      </c>
      <c r="I42" s="12" t="str">
        <f t="shared" si="4"/>
        <v/>
      </c>
      <c r="J42" s="12">
        <f>SUMIF(OrderReport!A:A,A42,OrderReport!E:E)</f>
        <v>500</v>
      </c>
      <c r="K42" s="12">
        <f t="shared" si="5"/>
        <v>0.5</v>
      </c>
      <c r="L42" s="12">
        <f t="shared" si="6"/>
        <v>500</v>
      </c>
      <c r="M42" s="12">
        <f t="shared" si="7"/>
        <v>0.5</v>
      </c>
      <c r="N42" s="11" t="str">
        <f t="array" ref="N42">INDEX(PincodeZones!C:C,MATCH(1,(PincodeZones!A:A=C42)*(PincodeZones!B:B=D42),0))</f>
        <v>b</v>
      </c>
      <c r="O42" s="12">
        <f t="array" ref="O42">INDEX(RatesTable!E:E,MATCH(1,(RatesTable!B:B=G42)*(RatesTable!C:C=N42)*(RatesTable!D:D="fixed"),0))</f>
        <v>33</v>
      </c>
      <c r="P42" s="12">
        <f t="array" ref="P42">((M42-0.5)/0.5)*INDEX(RatesTable!E:E,MATCH(1,(RatesTable!B:B=G42)*(RatesTable!C:C=N42)*(RatesTable!D:D="additional"),0))</f>
        <v>0</v>
      </c>
      <c r="Q42" s="12">
        <f t="array" ref="Q42">IFNA(INDEX(RatesTable!E:E,MATCH(1,(RatesTable!B:B=I42)*(RatesTable!C:C=N42)*(RatesTable!D:D="fixed"),0)),0)</f>
        <v>0</v>
      </c>
      <c r="R42" s="13">
        <f t="array" ref="R42">((M42-0.5)/0.5)*IFNA(INDEX(RatesTable!E:E,MATCH(1,(RatesTable!B:B=I42)*(RatesTable!C:C=N42)*(RatesTable!D:D="additional"),0)),0)</f>
        <v>0</v>
      </c>
      <c r="S42" s="12">
        <f t="shared" si="8"/>
        <v>33</v>
      </c>
      <c r="T42" s="12" t="str">
        <f t="array" ref="T42">INDEX(Invoice!C:C,MATCH(B42,(Invoice!A:A),0))</f>
        <v>0.72</v>
      </c>
      <c r="U42" s="12">
        <f t="shared" si="9"/>
        <v>720</v>
      </c>
      <c r="V42" s="12">
        <f t="shared" si="10"/>
        <v>1</v>
      </c>
      <c r="W42" s="12" t="str">
        <f t="array" ref="W42">INDEX(Invoice!F:F,MATCH(B42,(Invoice!A:A),0))</f>
        <v>d</v>
      </c>
      <c r="X42" s="14">
        <f t="array" ref="X42">INDEX(Invoice!H:H,MATCH(B42,(Invoice!A:A),0))</f>
        <v>90.2</v>
      </c>
      <c r="Y42" s="15">
        <f t="shared" si="11"/>
        <v>-57.2</v>
      </c>
      <c r="Z42" s="16">
        <f t="shared" si="12"/>
        <v>-173.3333333</v>
      </c>
      <c r="AA42" s="16">
        <f t="shared" si="13"/>
        <v>66</v>
      </c>
      <c r="AB42" s="16">
        <f t="shared" si="14"/>
        <v>0</v>
      </c>
    </row>
    <row r="43" ht="15.75" customHeight="1">
      <c r="A43" s="11" t="str">
        <f>IFERROR(__xludf.DUMMYFUNCTION("""COMPUTED_VALUE"""),"2001811039")</f>
        <v>2001811039</v>
      </c>
      <c r="B43" s="11" t="str">
        <f t="array" ref="B43">INDEX(Invoice!A:A,MATCH(Calculations!A43,Invoice!B:B,0))</f>
        <v>1091117904860</v>
      </c>
      <c r="C43" s="12">
        <f t="array" ref="C43">INDEX(Invoice!D:D,MATCH(Calculations!A43,Invoice!B:B,0))</f>
        <v>121003</v>
      </c>
      <c r="D43" s="11" t="str">
        <f t="array" ref="D43">INDEX(Invoice!E:E,MATCH(Calculations!A43,Invoice!B:B,0))</f>
        <v>302020</v>
      </c>
      <c r="E43" s="12" t="str">
        <f t="array" ref="E43">INDEX(Invoice!G:G,MATCH(Calculations!A43,Invoice!B:B,0))</f>
        <v>Forward charges</v>
      </c>
      <c r="F43" s="12" t="str">
        <f t="shared" si="1"/>
        <v>Yes</v>
      </c>
      <c r="G43" s="13" t="str">
        <f t="shared" si="2"/>
        <v>fwd</v>
      </c>
      <c r="H43" s="13" t="str">
        <f t="shared" si="3"/>
        <v>No</v>
      </c>
      <c r="I43" s="12" t="str">
        <f t="shared" si="4"/>
        <v/>
      </c>
      <c r="J43" s="12">
        <f>SUMIF(OrderReport!A:A,A43,OrderReport!E:E)</f>
        <v>488</v>
      </c>
      <c r="K43" s="12">
        <f t="shared" si="5"/>
        <v>0.488</v>
      </c>
      <c r="L43" s="12">
        <f t="shared" si="6"/>
        <v>500</v>
      </c>
      <c r="M43" s="12">
        <f t="shared" si="7"/>
        <v>0.5</v>
      </c>
      <c r="N43" s="11" t="str">
        <f t="array" ref="N43">INDEX(PincodeZones!C:C,MATCH(1,(PincodeZones!A:A=C43)*(PincodeZones!B:B=D43),0))</f>
        <v>b</v>
      </c>
      <c r="O43" s="12">
        <f t="array" ref="O43">INDEX(RatesTable!E:E,MATCH(1,(RatesTable!B:B=G43)*(RatesTable!C:C=N43)*(RatesTable!D:D="fixed"),0))</f>
        <v>33</v>
      </c>
      <c r="P43" s="12">
        <f t="array" ref="P43">((M43-0.5)/0.5)*INDEX(RatesTable!E:E,MATCH(1,(RatesTable!B:B=G43)*(RatesTable!C:C=N43)*(RatesTable!D:D="additional"),0))</f>
        <v>0</v>
      </c>
      <c r="Q43" s="12">
        <f t="array" ref="Q43">IFNA(INDEX(RatesTable!E:E,MATCH(1,(RatesTable!B:B=I43)*(RatesTable!C:C=N43)*(RatesTable!D:D="fixed"),0)),0)</f>
        <v>0</v>
      </c>
      <c r="R43" s="13">
        <f t="array" ref="R43">((M43-0.5)/0.5)*IFNA(INDEX(RatesTable!E:E,MATCH(1,(RatesTable!B:B=I43)*(RatesTable!C:C=N43)*(RatesTable!D:D="additional"),0)),0)</f>
        <v>0</v>
      </c>
      <c r="S43" s="12">
        <f t="shared" si="8"/>
        <v>33</v>
      </c>
      <c r="T43" s="12" t="str">
        <f t="array" ref="T43">INDEX(Invoice!C:C,MATCH(B43,(Invoice!A:A),0))</f>
        <v>0.68</v>
      </c>
      <c r="U43" s="12">
        <f t="shared" si="9"/>
        <v>680</v>
      </c>
      <c r="V43" s="12">
        <f t="shared" si="10"/>
        <v>1</v>
      </c>
      <c r="W43" s="12" t="str">
        <f t="array" ref="W43">INDEX(Invoice!F:F,MATCH(B43,(Invoice!A:A),0))</f>
        <v>d</v>
      </c>
      <c r="X43" s="14">
        <f t="array" ref="X43">INDEX(Invoice!H:H,MATCH(B43,(Invoice!A:A),0))</f>
        <v>90.2</v>
      </c>
      <c r="Y43" s="15">
        <f t="shared" si="11"/>
        <v>-57.2</v>
      </c>
      <c r="Z43" s="16">
        <f t="shared" si="12"/>
        <v>-173.3333333</v>
      </c>
      <c r="AA43" s="16">
        <f t="shared" si="13"/>
        <v>67.62295082</v>
      </c>
      <c r="AB43" s="16">
        <f t="shared" si="14"/>
        <v>0</v>
      </c>
    </row>
    <row r="44" ht="15.75" customHeight="1">
      <c r="A44" s="11" t="str">
        <f>IFERROR(__xludf.DUMMYFUNCTION("""COMPUTED_VALUE"""),"2001810697")</f>
        <v>2001810697</v>
      </c>
      <c r="B44" s="11" t="str">
        <f t="array" ref="B44">INDEX(Invoice!A:A,MATCH(Calculations!A44,Invoice!B:B,0))</f>
        <v>1091117807140</v>
      </c>
      <c r="C44" s="12">
        <f t="array" ref="C44">INDEX(Invoice!D:D,MATCH(Calculations!A44,Invoice!B:B,0))</f>
        <v>121003</v>
      </c>
      <c r="D44" s="11" t="str">
        <f t="array" ref="D44">INDEX(Invoice!E:E,MATCH(Calculations!A44,Invoice!B:B,0))</f>
        <v>324008</v>
      </c>
      <c r="E44" s="12" t="str">
        <f t="array" ref="E44">INDEX(Invoice!G:G,MATCH(Calculations!A44,Invoice!B:B,0))</f>
        <v>Forward charges</v>
      </c>
      <c r="F44" s="12" t="str">
        <f t="shared" si="1"/>
        <v>Yes</v>
      </c>
      <c r="G44" s="13" t="str">
        <f t="shared" si="2"/>
        <v>fwd</v>
      </c>
      <c r="H44" s="13" t="str">
        <f t="shared" si="3"/>
        <v>No</v>
      </c>
      <c r="I44" s="12" t="str">
        <f t="shared" si="4"/>
        <v/>
      </c>
      <c r="J44" s="12">
        <f>SUMIF(OrderReport!A:A,A44,OrderReport!E:E)</f>
        <v>607</v>
      </c>
      <c r="K44" s="12">
        <f t="shared" si="5"/>
        <v>0.607</v>
      </c>
      <c r="L44" s="12">
        <f t="shared" si="6"/>
        <v>1000</v>
      </c>
      <c r="M44" s="12">
        <f t="shared" si="7"/>
        <v>1</v>
      </c>
      <c r="N44" s="11" t="str">
        <f t="array" ref="N44">INDEX(PincodeZones!C:C,MATCH(1,(PincodeZones!A:A=C44)*(PincodeZones!B:B=D44),0))</f>
        <v>b</v>
      </c>
      <c r="O44" s="12">
        <f t="array" ref="O44">INDEX(RatesTable!E:E,MATCH(1,(RatesTable!B:B=G44)*(RatesTable!C:C=N44)*(RatesTable!D:D="fixed"),0))</f>
        <v>33</v>
      </c>
      <c r="P44" s="12">
        <f t="array" ref="P44">((M44-0.5)/0.5)*INDEX(RatesTable!E:E,MATCH(1,(RatesTable!B:B=G44)*(RatesTable!C:C=N44)*(RatesTable!D:D="additional"),0))</f>
        <v>28.3</v>
      </c>
      <c r="Q44" s="12">
        <f t="array" ref="Q44">IFNA(INDEX(RatesTable!E:E,MATCH(1,(RatesTable!B:B=I44)*(RatesTable!C:C=N44)*(RatesTable!D:D="fixed"),0)),0)</f>
        <v>0</v>
      </c>
      <c r="R44" s="13">
        <f t="array" ref="R44">((M44-0.5)/0.5)*IFNA(INDEX(RatesTable!E:E,MATCH(1,(RatesTable!B:B=I44)*(RatesTable!C:C=N44)*(RatesTable!D:D="additional"),0)),0)</f>
        <v>0</v>
      </c>
      <c r="S44" s="12">
        <f t="shared" si="8"/>
        <v>61.3</v>
      </c>
      <c r="T44" s="12" t="str">
        <f t="array" ref="T44">INDEX(Invoice!C:C,MATCH(B44,(Invoice!A:A),0))</f>
        <v>2.27</v>
      </c>
      <c r="U44" s="12">
        <f t="shared" si="9"/>
        <v>2270</v>
      </c>
      <c r="V44" s="12">
        <f t="shared" si="10"/>
        <v>2.5</v>
      </c>
      <c r="W44" s="12" t="str">
        <f t="array" ref="W44">INDEX(Invoice!F:F,MATCH(B44,(Invoice!A:A),0))</f>
        <v>d</v>
      </c>
      <c r="X44" s="14">
        <f t="array" ref="X44">INDEX(Invoice!H:H,MATCH(B44,(Invoice!A:A),0))</f>
        <v>224.6</v>
      </c>
      <c r="Y44" s="15">
        <f t="shared" si="11"/>
        <v>-163.3</v>
      </c>
      <c r="Z44" s="16">
        <f t="shared" si="12"/>
        <v>-266.3947798</v>
      </c>
      <c r="AA44" s="16">
        <f t="shared" si="13"/>
        <v>100.9884679</v>
      </c>
      <c r="AB44" s="16">
        <f t="shared" si="14"/>
        <v>0</v>
      </c>
    </row>
    <row r="45" ht="15.75" customHeight="1">
      <c r="A45" s="11" t="str">
        <f>IFERROR(__xludf.DUMMYFUNCTION("""COMPUTED_VALUE"""),"2001810549")</f>
        <v>2001810549</v>
      </c>
      <c r="B45" s="11" t="str">
        <f t="array" ref="B45">INDEX(Invoice!A:A,MATCH(Calculations!A45,Invoice!B:B,0))</f>
        <v>1091117806263</v>
      </c>
      <c r="C45" s="12">
        <f t="array" ref="C45">INDEX(Invoice!D:D,MATCH(Calculations!A45,Invoice!B:B,0))</f>
        <v>121003</v>
      </c>
      <c r="D45" s="11" t="str">
        <f t="array" ref="D45">INDEX(Invoice!E:E,MATCH(Calculations!A45,Invoice!B:B,0))</f>
        <v>302017</v>
      </c>
      <c r="E45" s="12" t="str">
        <f t="array" ref="E45">INDEX(Invoice!G:G,MATCH(Calculations!A45,Invoice!B:B,0))</f>
        <v>Forward charges</v>
      </c>
      <c r="F45" s="12" t="str">
        <f t="shared" si="1"/>
        <v>Yes</v>
      </c>
      <c r="G45" s="13" t="str">
        <f t="shared" si="2"/>
        <v>fwd</v>
      </c>
      <c r="H45" s="13" t="str">
        <f t="shared" si="3"/>
        <v>No</v>
      </c>
      <c r="I45" s="12" t="str">
        <f t="shared" si="4"/>
        <v/>
      </c>
      <c r="J45" s="12">
        <f>SUMIF(OrderReport!A:A,A45,OrderReport!E:E)</f>
        <v>986</v>
      </c>
      <c r="K45" s="12">
        <f t="shared" si="5"/>
        <v>0.986</v>
      </c>
      <c r="L45" s="12">
        <f t="shared" si="6"/>
        <v>1000</v>
      </c>
      <c r="M45" s="12">
        <f t="shared" si="7"/>
        <v>1</v>
      </c>
      <c r="N45" s="11" t="str">
        <f t="array" ref="N45">INDEX(PincodeZones!C:C,MATCH(1,(PincodeZones!A:A=C45)*(PincodeZones!B:B=D45),0))</f>
        <v>b</v>
      </c>
      <c r="O45" s="12">
        <f t="array" ref="O45">INDEX(RatesTable!E:E,MATCH(1,(RatesTable!B:B=G45)*(RatesTable!C:C=N45)*(RatesTable!D:D="fixed"),0))</f>
        <v>33</v>
      </c>
      <c r="P45" s="12">
        <f t="array" ref="P45">((M45-0.5)/0.5)*INDEX(RatesTable!E:E,MATCH(1,(RatesTable!B:B=G45)*(RatesTable!C:C=N45)*(RatesTable!D:D="additional"),0))</f>
        <v>28.3</v>
      </c>
      <c r="Q45" s="12">
        <f t="array" ref="Q45">IFNA(INDEX(RatesTable!E:E,MATCH(1,(RatesTable!B:B=I45)*(RatesTable!C:C=N45)*(RatesTable!D:D="fixed"),0)),0)</f>
        <v>0</v>
      </c>
      <c r="R45" s="13">
        <f t="array" ref="R45">((M45-0.5)/0.5)*IFNA(INDEX(RatesTable!E:E,MATCH(1,(RatesTable!B:B=I45)*(RatesTable!C:C=N45)*(RatesTable!D:D="additional"),0)),0)</f>
        <v>0</v>
      </c>
      <c r="S45" s="12">
        <f t="shared" si="8"/>
        <v>61.3</v>
      </c>
      <c r="T45" s="12" t="str">
        <f t="array" ref="T45">INDEX(Invoice!C:C,MATCH(B45,(Invoice!A:A),0))</f>
        <v>1.86</v>
      </c>
      <c r="U45" s="12">
        <f t="shared" si="9"/>
        <v>1860</v>
      </c>
      <c r="V45" s="12">
        <f t="shared" si="10"/>
        <v>2</v>
      </c>
      <c r="W45" s="12" t="str">
        <f t="array" ref="W45">INDEX(Invoice!F:F,MATCH(B45,(Invoice!A:A),0))</f>
        <v>d</v>
      </c>
      <c r="X45" s="14">
        <f t="array" ref="X45">INDEX(Invoice!H:H,MATCH(B45,(Invoice!A:A),0))</f>
        <v>179.8</v>
      </c>
      <c r="Y45" s="15">
        <f t="shared" si="11"/>
        <v>-118.5</v>
      </c>
      <c r="Z45" s="16">
        <f t="shared" si="12"/>
        <v>-193.3115824</v>
      </c>
      <c r="AA45" s="16">
        <f t="shared" si="13"/>
        <v>62.1703854</v>
      </c>
      <c r="AB45" s="16">
        <f t="shared" si="14"/>
        <v>0</v>
      </c>
    </row>
    <row r="46" ht="15.75" customHeight="1">
      <c r="A46" s="11" t="str">
        <f>IFERROR(__xludf.DUMMYFUNCTION("""COMPUTED_VALUE"""),"2001810281")</f>
        <v>2001810281</v>
      </c>
      <c r="B46" s="11" t="str">
        <f t="array" ref="B46">INDEX(Invoice!A:A,MATCH(Calculations!A46,Invoice!B:B,0))</f>
        <v>1091117805390</v>
      </c>
      <c r="C46" s="12">
        <f t="array" ref="C46">INDEX(Invoice!D:D,MATCH(Calculations!A46,Invoice!B:B,0))</f>
        <v>121003</v>
      </c>
      <c r="D46" s="11" t="str">
        <f t="array" ref="D46">INDEX(Invoice!E:E,MATCH(Calculations!A46,Invoice!B:B,0))</f>
        <v>302018</v>
      </c>
      <c r="E46" s="12" t="str">
        <f t="array" ref="E46">INDEX(Invoice!G:G,MATCH(Calculations!A46,Invoice!B:B,0))</f>
        <v>Forward charges</v>
      </c>
      <c r="F46" s="12" t="str">
        <f t="shared" si="1"/>
        <v>Yes</v>
      </c>
      <c r="G46" s="13" t="str">
        <f t="shared" si="2"/>
        <v>fwd</v>
      </c>
      <c r="H46" s="13" t="str">
        <f t="shared" si="3"/>
        <v>No</v>
      </c>
      <c r="I46" s="12" t="str">
        <f t="shared" si="4"/>
        <v/>
      </c>
      <c r="J46" s="12">
        <f>SUMIF(OrderReport!A:A,A46,OrderReport!E:E)</f>
        <v>500</v>
      </c>
      <c r="K46" s="12">
        <f t="shared" si="5"/>
        <v>0.5</v>
      </c>
      <c r="L46" s="12">
        <f t="shared" si="6"/>
        <v>500</v>
      </c>
      <c r="M46" s="12">
        <f t="shared" si="7"/>
        <v>0.5</v>
      </c>
      <c r="N46" s="11" t="str">
        <f t="array" ref="N46">INDEX(PincodeZones!C:C,MATCH(1,(PincodeZones!A:A=C46)*(PincodeZones!B:B=D46),0))</f>
        <v>b</v>
      </c>
      <c r="O46" s="12">
        <f t="array" ref="O46">INDEX(RatesTable!E:E,MATCH(1,(RatesTable!B:B=G46)*(RatesTable!C:C=N46)*(RatesTable!D:D="fixed"),0))</f>
        <v>33</v>
      </c>
      <c r="P46" s="12">
        <f t="array" ref="P46">((M46-0.5)/0.5)*INDEX(RatesTable!E:E,MATCH(1,(RatesTable!B:B=G46)*(RatesTable!C:C=N46)*(RatesTable!D:D="additional"),0))</f>
        <v>0</v>
      </c>
      <c r="Q46" s="12">
        <f t="array" ref="Q46">IFNA(INDEX(RatesTable!E:E,MATCH(1,(RatesTable!B:B=I46)*(RatesTable!C:C=N46)*(RatesTable!D:D="fixed"),0)),0)</f>
        <v>0</v>
      </c>
      <c r="R46" s="13">
        <f t="array" ref="R46">((M46-0.5)/0.5)*IFNA(INDEX(RatesTable!E:E,MATCH(1,(RatesTable!B:B=I46)*(RatesTable!C:C=N46)*(RatesTable!D:D="additional"),0)),0)</f>
        <v>0</v>
      </c>
      <c r="S46" s="12">
        <f t="shared" si="8"/>
        <v>33</v>
      </c>
      <c r="T46" s="12" t="str">
        <f t="array" ref="T46">INDEX(Invoice!C:C,MATCH(B46,(Invoice!A:A),0))</f>
        <v>0.68</v>
      </c>
      <c r="U46" s="12">
        <f t="shared" si="9"/>
        <v>680</v>
      </c>
      <c r="V46" s="12">
        <f t="shared" si="10"/>
        <v>1</v>
      </c>
      <c r="W46" s="12" t="str">
        <f t="array" ref="W46">INDEX(Invoice!F:F,MATCH(B46,(Invoice!A:A),0))</f>
        <v>d</v>
      </c>
      <c r="X46" s="14">
        <f t="array" ref="X46">INDEX(Invoice!H:H,MATCH(B46,(Invoice!A:A),0))</f>
        <v>90.2</v>
      </c>
      <c r="Y46" s="15">
        <f t="shared" si="11"/>
        <v>-57.2</v>
      </c>
      <c r="Z46" s="16">
        <f t="shared" si="12"/>
        <v>-173.3333333</v>
      </c>
      <c r="AA46" s="16">
        <f t="shared" si="13"/>
        <v>66</v>
      </c>
      <c r="AB46" s="16">
        <f t="shared" si="14"/>
        <v>0</v>
      </c>
    </row>
    <row r="47" ht="15.75" customHeight="1">
      <c r="A47" s="11" t="str">
        <f>IFERROR(__xludf.DUMMYFUNCTION("""COMPUTED_VALUE"""),"2001810125")</f>
        <v>2001810125</v>
      </c>
      <c r="B47" s="11" t="str">
        <f t="array" ref="B47">INDEX(Invoice!A:A,MATCH(Calculations!A47,Invoice!B:B,0))</f>
        <v>1091117804314</v>
      </c>
      <c r="C47" s="12">
        <f t="array" ref="C47">INDEX(Invoice!D:D,MATCH(Calculations!A47,Invoice!B:B,0))</f>
        <v>121003</v>
      </c>
      <c r="D47" s="11" t="str">
        <f t="array" ref="D47">INDEX(Invoice!E:E,MATCH(Calculations!A47,Invoice!B:B,0))</f>
        <v>302004</v>
      </c>
      <c r="E47" s="12" t="str">
        <f t="array" ref="E47">INDEX(Invoice!G:G,MATCH(Calculations!A47,Invoice!B:B,0))</f>
        <v>Forward charges</v>
      </c>
      <c r="F47" s="12" t="str">
        <f t="shared" si="1"/>
        <v>Yes</v>
      </c>
      <c r="G47" s="13" t="str">
        <f t="shared" si="2"/>
        <v>fwd</v>
      </c>
      <c r="H47" s="13" t="str">
        <f t="shared" si="3"/>
        <v>No</v>
      </c>
      <c r="I47" s="12" t="str">
        <f t="shared" si="4"/>
        <v/>
      </c>
      <c r="J47" s="12">
        <f>SUMIF(OrderReport!A:A,A47,OrderReport!E:E)</f>
        <v>500</v>
      </c>
      <c r="K47" s="12">
        <f t="shared" si="5"/>
        <v>0.5</v>
      </c>
      <c r="L47" s="12">
        <f t="shared" si="6"/>
        <v>500</v>
      </c>
      <c r="M47" s="12">
        <f t="shared" si="7"/>
        <v>0.5</v>
      </c>
      <c r="N47" s="11" t="str">
        <f t="array" ref="N47">INDEX(PincodeZones!C:C,MATCH(1,(PincodeZones!A:A=C47)*(PincodeZones!B:B=D47),0))</f>
        <v>b</v>
      </c>
      <c r="O47" s="12">
        <f t="array" ref="O47">INDEX(RatesTable!E:E,MATCH(1,(RatesTable!B:B=G47)*(RatesTable!C:C=N47)*(RatesTable!D:D="fixed"),0))</f>
        <v>33</v>
      </c>
      <c r="P47" s="12">
        <f t="array" ref="P47">((M47-0.5)/0.5)*INDEX(RatesTable!E:E,MATCH(1,(RatesTable!B:B=G47)*(RatesTable!C:C=N47)*(RatesTable!D:D="additional"),0))</f>
        <v>0</v>
      </c>
      <c r="Q47" s="12">
        <f t="array" ref="Q47">IFNA(INDEX(RatesTable!E:E,MATCH(1,(RatesTable!B:B=I47)*(RatesTable!C:C=N47)*(RatesTable!D:D="fixed"),0)),0)</f>
        <v>0</v>
      </c>
      <c r="R47" s="13">
        <f t="array" ref="R47">((M47-0.5)/0.5)*IFNA(INDEX(RatesTable!E:E,MATCH(1,(RatesTable!B:B=I47)*(RatesTable!C:C=N47)*(RatesTable!D:D="additional"),0)),0)</f>
        <v>0</v>
      </c>
      <c r="S47" s="12">
        <f t="shared" si="8"/>
        <v>33</v>
      </c>
      <c r="T47" s="12" t="str">
        <f t="array" ref="T47">INDEX(Invoice!C:C,MATCH(B47,(Invoice!A:A),0))</f>
        <v>0.66</v>
      </c>
      <c r="U47" s="12">
        <f t="shared" si="9"/>
        <v>660</v>
      </c>
      <c r="V47" s="12">
        <f t="shared" si="10"/>
        <v>1</v>
      </c>
      <c r="W47" s="12" t="str">
        <f t="array" ref="W47">INDEX(Invoice!F:F,MATCH(B47,(Invoice!A:A),0))</f>
        <v>d</v>
      </c>
      <c r="X47" s="14">
        <f t="array" ref="X47">INDEX(Invoice!H:H,MATCH(B47,(Invoice!A:A),0))</f>
        <v>90.2</v>
      </c>
      <c r="Y47" s="15">
        <f t="shared" si="11"/>
        <v>-57.2</v>
      </c>
      <c r="Z47" s="16">
        <f t="shared" si="12"/>
        <v>-173.3333333</v>
      </c>
      <c r="AA47" s="16">
        <f t="shared" si="13"/>
        <v>66</v>
      </c>
      <c r="AB47" s="16">
        <f t="shared" si="14"/>
        <v>0</v>
      </c>
    </row>
    <row r="48" ht="15.75" customHeight="1">
      <c r="A48" s="11" t="str">
        <f>IFERROR(__xludf.DUMMYFUNCTION("""COMPUTED_VALUE"""),"2001810104")</f>
        <v>2001810104</v>
      </c>
      <c r="B48" s="11" t="str">
        <f t="array" ref="B48">INDEX(Invoice!A:A,MATCH(Calculations!A48,Invoice!B:B,0))</f>
        <v>1091117804200</v>
      </c>
      <c r="C48" s="12">
        <f t="array" ref="C48">INDEX(Invoice!D:D,MATCH(Calculations!A48,Invoice!B:B,0))</f>
        <v>121003</v>
      </c>
      <c r="D48" s="11" t="str">
        <f t="array" ref="D48">INDEX(Invoice!E:E,MATCH(Calculations!A48,Invoice!B:B,0))</f>
        <v>334004</v>
      </c>
      <c r="E48" s="12" t="str">
        <f t="array" ref="E48">INDEX(Invoice!G:G,MATCH(Calculations!A48,Invoice!B:B,0))</f>
        <v>Forward charges</v>
      </c>
      <c r="F48" s="12" t="str">
        <f t="shared" si="1"/>
        <v>Yes</v>
      </c>
      <c r="G48" s="13" t="str">
        <f t="shared" si="2"/>
        <v>fwd</v>
      </c>
      <c r="H48" s="13" t="str">
        <f t="shared" si="3"/>
        <v>No</v>
      </c>
      <c r="I48" s="12" t="str">
        <f t="shared" si="4"/>
        <v/>
      </c>
      <c r="J48" s="12">
        <f>SUMIF(OrderReport!A:A,A48,OrderReport!E:E)</f>
        <v>601</v>
      </c>
      <c r="K48" s="12">
        <f t="shared" si="5"/>
        <v>0.601</v>
      </c>
      <c r="L48" s="12">
        <f t="shared" si="6"/>
        <v>1000</v>
      </c>
      <c r="M48" s="12">
        <f t="shared" si="7"/>
        <v>1</v>
      </c>
      <c r="N48" s="11" t="str">
        <f t="array" ref="N48">INDEX(PincodeZones!C:C,MATCH(1,(PincodeZones!A:A=C48)*(PincodeZones!B:B=D48),0))</f>
        <v>b</v>
      </c>
      <c r="O48" s="12">
        <f t="array" ref="O48">INDEX(RatesTable!E:E,MATCH(1,(RatesTable!B:B=G48)*(RatesTable!C:C=N48)*(RatesTable!D:D="fixed"),0))</f>
        <v>33</v>
      </c>
      <c r="P48" s="12">
        <f t="array" ref="P48">((M48-0.5)/0.5)*INDEX(RatesTable!E:E,MATCH(1,(RatesTable!B:B=G48)*(RatesTable!C:C=N48)*(RatesTable!D:D="additional"),0))</f>
        <v>28.3</v>
      </c>
      <c r="Q48" s="12">
        <f t="array" ref="Q48">IFNA(INDEX(RatesTable!E:E,MATCH(1,(RatesTable!B:B=I48)*(RatesTable!C:C=N48)*(RatesTable!D:D="fixed"),0)),0)</f>
        <v>0</v>
      </c>
      <c r="R48" s="13">
        <f t="array" ref="R48">((M48-0.5)/0.5)*IFNA(INDEX(RatesTable!E:E,MATCH(1,(RatesTable!B:B=I48)*(RatesTable!C:C=N48)*(RatesTable!D:D="additional"),0)),0)</f>
        <v>0</v>
      </c>
      <c r="S48" s="12">
        <f t="shared" si="8"/>
        <v>61.3</v>
      </c>
      <c r="T48" s="12" t="str">
        <f t="array" ref="T48">INDEX(Invoice!C:C,MATCH(B48,(Invoice!A:A),0))</f>
        <v>0.76</v>
      </c>
      <c r="U48" s="12">
        <f t="shared" si="9"/>
        <v>760</v>
      </c>
      <c r="V48" s="12">
        <f t="shared" si="10"/>
        <v>1</v>
      </c>
      <c r="W48" s="12" t="str">
        <f t="array" ref="W48">INDEX(Invoice!F:F,MATCH(B48,(Invoice!A:A),0))</f>
        <v>d</v>
      </c>
      <c r="X48" s="14">
        <f t="array" ref="X48">INDEX(Invoice!H:H,MATCH(B48,(Invoice!A:A),0))</f>
        <v>90.2</v>
      </c>
      <c r="Y48" s="15">
        <f t="shared" si="11"/>
        <v>-28.9</v>
      </c>
      <c r="Z48" s="16">
        <f t="shared" si="12"/>
        <v>-47.1451876</v>
      </c>
      <c r="AA48" s="16">
        <f t="shared" si="13"/>
        <v>101.9966722</v>
      </c>
      <c r="AB48" s="16">
        <f t="shared" si="14"/>
        <v>0</v>
      </c>
    </row>
    <row r="49" ht="15.75" customHeight="1">
      <c r="A49" s="11" t="str">
        <f>IFERROR(__xludf.DUMMYFUNCTION("""COMPUTED_VALUE"""),"2001809934")</f>
        <v>2001809934</v>
      </c>
      <c r="B49" s="11" t="str">
        <f t="array" ref="B49">INDEX(Invoice!A:A,MATCH(Calculations!A49,Invoice!B:B,0))</f>
        <v>1091117803511</v>
      </c>
      <c r="C49" s="12">
        <f t="array" ref="C49">INDEX(Invoice!D:D,MATCH(Calculations!A49,Invoice!B:B,0))</f>
        <v>121003</v>
      </c>
      <c r="D49" s="11" t="str">
        <f t="array" ref="D49">INDEX(Invoice!E:E,MATCH(Calculations!A49,Invoice!B:B,0))</f>
        <v>302001</v>
      </c>
      <c r="E49" s="12" t="str">
        <f t="array" ref="E49">INDEX(Invoice!G:G,MATCH(Calculations!A49,Invoice!B:B,0))</f>
        <v>Forward charges</v>
      </c>
      <c r="F49" s="12" t="str">
        <f t="shared" si="1"/>
        <v>Yes</v>
      </c>
      <c r="G49" s="13" t="str">
        <f t="shared" si="2"/>
        <v>fwd</v>
      </c>
      <c r="H49" s="13" t="str">
        <f t="shared" si="3"/>
        <v>No</v>
      </c>
      <c r="I49" s="12" t="str">
        <f t="shared" si="4"/>
        <v/>
      </c>
      <c r="J49" s="12">
        <f>SUMIF(OrderReport!A:A,A49,OrderReport!E:E)</f>
        <v>361</v>
      </c>
      <c r="K49" s="12">
        <f t="shared" si="5"/>
        <v>0.361</v>
      </c>
      <c r="L49" s="12">
        <f t="shared" si="6"/>
        <v>500</v>
      </c>
      <c r="M49" s="12">
        <f t="shared" si="7"/>
        <v>0.5</v>
      </c>
      <c r="N49" s="11" t="str">
        <f t="array" ref="N49">INDEX(PincodeZones!C:C,MATCH(1,(PincodeZones!A:A=C49)*(PincodeZones!B:B=D49),0))</f>
        <v>b</v>
      </c>
      <c r="O49" s="12">
        <f t="array" ref="O49">INDEX(RatesTable!E:E,MATCH(1,(RatesTable!B:B=G49)*(RatesTable!C:C=N49)*(RatesTable!D:D="fixed"),0))</f>
        <v>33</v>
      </c>
      <c r="P49" s="12">
        <f t="array" ref="P49">((M49-0.5)/0.5)*INDEX(RatesTable!E:E,MATCH(1,(RatesTable!B:B=G49)*(RatesTable!C:C=N49)*(RatesTable!D:D="additional"),0))</f>
        <v>0</v>
      </c>
      <c r="Q49" s="12">
        <f t="array" ref="Q49">IFNA(INDEX(RatesTable!E:E,MATCH(1,(RatesTable!B:B=I49)*(RatesTable!C:C=N49)*(RatesTable!D:D="fixed"),0)),0)</f>
        <v>0</v>
      </c>
      <c r="R49" s="13">
        <f t="array" ref="R49">((M49-0.5)/0.5)*IFNA(INDEX(RatesTable!E:E,MATCH(1,(RatesTable!B:B=I49)*(RatesTable!C:C=N49)*(RatesTable!D:D="additional"),0)),0)</f>
        <v>0</v>
      </c>
      <c r="S49" s="12">
        <f t="shared" si="8"/>
        <v>33</v>
      </c>
      <c r="T49" s="12" t="str">
        <f t="array" ref="T49">INDEX(Invoice!C:C,MATCH(B49,(Invoice!A:A),0))</f>
        <v>0.82</v>
      </c>
      <c r="U49" s="12">
        <f t="shared" si="9"/>
        <v>820</v>
      </c>
      <c r="V49" s="12">
        <f t="shared" si="10"/>
        <v>1</v>
      </c>
      <c r="W49" s="12" t="str">
        <f t="array" ref="W49">INDEX(Invoice!F:F,MATCH(B49,(Invoice!A:A),0))</f>
        <v>d</v>
      </c>
      <c r="X49" s="14">
        <f t="array" ref="X49">INDEX(Invoice!H:H,MATCH(B49,(Invoice!A:A),0))</f>
        <v>90.2</v>
      </c>
      <c r="Y49" s="15">
        <f t="shared" si="11"/>
        <v>-57.2</v>
      </c>
      <c r="Z49" s="16">
        <f t="shared" si="12"/>
        <v>-173.3333333</v>
      </c>
      <c r="AA49" s="16">
        <f t="shared" si="13"/>
        <v>91.41274238</v>
      </c>
      <c r="AB49" s="16">
        <f t="shared" si="14"/>
        <v>0</v>
      </c>
    </row>
    <row r="50" ht="15.75" customHeight="1">
      <c r="A50" s="11" t="str">
        <f>IFERROR(__xludf.DUMMYFUNCTION("""COMPUTED_VALUE"""),"2001809917")</f>
        <v>2001809917</v>
      </c>
      <c r="B50" s="11" t="str">
        <f t="array" ref="B50">INDEX(Invoice!A:A,MATCH(Calculations!A50,Invoice!B:B,0))</f>
        <v>1091121482593</v>
      </c>
      <c r="C50" s="12">
        <f t="array" ref="C50">INDEX(Invoice!D:D,MATCH(Calculations!A50,Invoice!B:B,0))</f>
        <v>121003</v>
      </c>
      <c r="D50" s="11" t="str">
        <f t="array" ref="D50">INDEX(Invoice!E:E,MATCH(Calculations!A50,Invoice!B:B,0))</f>
        <v>831006</v>
      </c>
      <c r="E50" s="12" t="str">
        <f t="array" ref="E50">INDEX(Invoice!G:G,MATCH(Calculations!A50,Invoice!B:B,0))</f>
        <v>Forward and RTO charges</v>
      </c>
      <c r="F50" s="12" t="str">
        <f t="shared" si="1"/>
        <v>Yes</v>
      </c>
      <c r="G50" s="13" t="str">
        <f t="shared" si="2"/>
        <v>fwd</v>
      </c>
      <c r="H50" s="13" t="str">
        <f t="shared" si="3"/>
        <v>Yes</v>
      </c>
      <c r="I50" s="12" t="str">
        <f t="shared" si="4"/>
        <v>rto</v>
      </c>
      <c r="J50" s="12">
        <f>SUMIF(OrderReport!A:A,A50,OrderReport!E:E)</f>
        <v>630</v>
      </c>
      <c r="K50" s="12">
        <f t="shared" si="5"/>
        <v>0.63</v>
      </c>
      <c r="L50" s="12">
        <f t="shared" si="6"/>
        <v>1000</v>
      </c>
      <c r="M50" s="12">
        <f t="shared" si="7"/>
        <v>1</v>
      </c>
      <c r="N50" s="11" t="str">
        <f t="array" ref="N50">INDEX(PincodeZones!C:C,MATCH(1,(PincodeZones!A:A=C50)*(PincodeZones!B:B=D50),0))</f>
        <v>d</v>
      </c>
      <c r="O50" s="12">
        <f t="array" ref="O50">INDEX(RatesTable!E:E,MATCH(1,(RatesTable!B:B=G50)*(RatesTable!C:C=N50)*(RatesTable!D:D="fixed"),0))</f>
        <v>45.4</v>
      </c>
      <c r="P50" s="12">
        <f t="array" ref="P50">((M50-0.5)/0.5)*INDEX(RatesTable!E:E,MATCH(1,(RatesTable!B:B=G50)*(RatesTable!C:C=N50)*(RatesTable!D:D="additional"),0))</f>
        <v>44.8</v>
      </c>
      <c r="Q50" s="12">
        <f t="array" ref="Q50">IFNA(INDEX(RatesTable!E:E,MATCH(1,(RatesTable!B:B=I50)*(RatesTable!C:C=N50)*(RatesTable!D:D="fixed"),0)),0)</f>
        <v>41.3</v>
      </c>
      <c r="R50" s="13">
        <f t="array" ref="R50">((M50-0.5)/0.5)*IFNA(INDEX(RatesTable!E:E,MATCH(1,(RatesTable!B:B=I50)*(RatesTable!C:C=N50)*(RatesTable!D:D="additional"),0)),0)</f>
        <v>44.8</v>
      </c>
      <c r="S50" s="12">
        <f t="shared" si="8"/>
        <v>176.3</v>
      </c>
      <c r="T50" s="12" t="str">
        <f t="array" ref="T50">INDEX(Invoice!C:C,MATCH(B50,(Invoice!A:A),0))</f>
        <v>0.6</v>
      </c>
      <c r="U50" s="12">
        <f t="shared" si="9"/>
        <v>600</v>
      </c>
      <c r="V50" s="12">
        <f t="shared" si="10"/>
        <v>1</v>
      </c>
      <c r="W50" s="12" t="str">
        <f t="array" ref="W50">INDEX(Invoice!F:F,MATCH(B50,(Invoice!A:A),0))</f>
        <v>d</v>
      </c>
      <c r="X50" s="14">
        <f t="array" ref="X50">INDEX(Invoice!H:H,MATCH(B50,(Invoice!A:A),0))</f>
        <v>172.8</v>
      </c>
      <c r="Y50" s="15">
        <f t="shared" si="11"/>
        <v>3.5</v>
      </c>
      <c r="Z50" s="16">
        <f t="shared" si="12"/>
        <v>1.985252411</v>
      </c>
      <c r="AA50" s="16">
        <f t="shared" si="13"/>
        <v>143.1746032</v>
      </c>
      <c r="AB50" s="16">
        <f t="shared" si="14"/>
        <v>136.6666667</v>
      </c>
    </row>
    <row r="51" ht="15.75" customHeight="1">
      <c r="A51" s="11" t="str">
        <f>IFERROR(__xludf.DUMMYFUNCTION("""COMPUTED_VALUE"""),"2001809820")</f>
        <v>2001809820</v>
      </c>
      <c r="B51" s="11" t="str">
        <f t="array" ref="B51">INDEX(Invoice!A:A,MATCH(Calculations!A51,Invoice!B:B,0))</f>
        <v>1091117795623</v>
      </c>
      <c r="C51" s="12">
        <f t="array" ref="C51">INDEX(Invoice!D:D,MATCH(Calculations!A51,Invoice!B:B,0))</f>
        <v>121003</v>
      </c>
      <c r="D51" s="11" t="str">
        <f t="array" ref="D51">INDEX(Invoice!E:E,MATCH(Calculations!A51,Invoice!B:B,0))</f>
        <v>360005</v>
      </c>
      <c r="E51" s="12" t="str">
        <f t="array" ref="E51">INDEX(Invoice!G:G,MATCH(Calculations!A51,Invoice!B:B,0))</f>
        <v>Forward charges</v>
      </c>
      <c r="F51" s="12" t="str">
        <f t="shared" si="1"/>
        <v>Yes</v>
      </c>
      <c r="G51" s="13" t="str">
        <f t="shared" si="2"/>
        <v>fwd</v>
      </c>
      <c r="H51" s="13" t="str">
        <f t="shared" si="3"/>
        <v>No</v>
      </c>
      <c r="I51" s="12" t="str">
        <f t="shared" si="4"/>
        <v/>
      </c>
      <c r="J51" s="12">
        <f>SUMIF(OrderReport!A:A,A51,OrderReport!E:E)</f>
        <v>3080</v>
      </c>
      <c r="K51" s="12">
        <f t="shared" si="5"/>
        <v>3.08</v>
      </c>
      <c r="L51" s="12">
        <f t="shared" si="6"/>
        <v>3500</v>
      </c>
      <c r="M51" s="12">
        <f t="shared" si="7"/>
        <v>3.5</v>
      </c>
      <c r="N51" s="11" t="str">
        <f t="array" ref="N51">INDEX(PincodeZones!C:C,MATCH(1,(PincodeZones!A:A=C51)*(PincodeZones!B:B=D51),0))</f>
        <v>d</v>
      </c>
      <c r="O51" s="12">
        <f t="array" ref="O51">INDEX(RatesTable!E:E,MATCH(1,(RatesTable!B:B=G51)*(RatesTable!C:C=N51)*(RatesTable!D:D="fixed"),0))</f>
        <v>45.4</v>
      </c>
      <c r="P51" s="12">
        <f t="array" ref="P51">((M51-0.5)/0.5)*INDEX(RatesTable!E:E,MATCH(1,(RatesTable!B:B=G51)*(RatesTable!C:C=N51)*(RatesTable!D:D="additional"),0))</f>
        <v>268.8</v>
      </c>
      <c r="Q51" s="12">
        <f t="array" ref="Q51">IFNA(INDEX(RatesTable!E:E,MATCH(1,(RatesTable!B:B=I51)*(RatesTable!C:C=N51)*(RatesTable!D:D="fixed"),0)),0)</f>
        <v>0</v>
      </c>
      <c r="R51" s="13">
        <f t="array" ref="R51">((M51-0.5)/0.5)*IFNA(INDEX(RatesTable!E:E,MATCH(1,(RatesTable!B:B=I51)*(RatesTable!C:C=N51)*(RatesTable!D:D="additional"),0)),0)</f>
        <v>0</v>
      </c>
      <c r="S51" s="12">
        <f t="shared" si="8"/>
        <v>314.2</v>
      </c>
      <c r="T51" s="12" t="str">
        <f t="array" ref="T51">INDEX(Invoice!C:C,MATCH(B51,(Invoice!A:A),0))</f>
        <v>3</v>
      </c>
      <c r="U51" s="12">
        <f t="shared" si="9"/>
        <v>3000</v>
      </c>
      <c r="V51" s="12">
        <f t="shared" si="10"/>
        <v>3</v>
      </c>
      <c r="W51" s="12" t="str">
        <f t="array" ref="W51">INDEX(Invoice!F:F,MATCH(B51,(Invoice!A:A),0))</f>
        <v>d</v>
      </c>
      <c r="X51" s="14">
        <f t="array" ref="X51">INDEX(Invoice!H:H,MATCH(B51,(Invoice!A:A),0))</f>
        <v>269.4</v>
      </c>
      <c r="Y51" s="15">
        <f t="shared" si="11"/>
        <v>44.8</v>
      </c>
      <c r="Z51" s="16">
        <f t="shared" si="12"/>
        <v>14.25843412</v>
      </c>
      <c r="AA51" s="16">
        <f t="shared" si="13"/>
        <v>102.012987</v>
      </c>
      <c r="AB51" s="16">
        <f t="shared" si="14"/>
        <v>0</v>
      </c>
    </row>
    <row r="52" ht="15.75" customHeight="1">
      <c r="A52" s="11" t="str">
        <f>IFERROR(__xludf.DUMMYFUNCTION("""COMPUTED_VALUE"""),"2001809794")</f>
        <v>2001809794</v>
      </c>
      <c r="B52" s="11" t="str">
        <f t="array" ref="B52">INDEX(Invoice!A:A,MATCH(Calculations!A52,Invoice!B:B,0))</f>
        <v>1091117795531</v>
      </c>
      <c r="C52" s="12">
        <f t="array" ref="C52">INDEX(Invoice!D:D,MATCH(Calculations!A52,Invoice!B:B,0))</f>
        <v>121003</v>
      </c>
      <c r="D52" s="11" t="str">
        <f t="array" ref="D52">INDEX(Invoice!E:E,MATCH(Calculations!A52,Invoice!B:B,0))</f>
        <v>580007</v>
      </c>
      <c r="E52" s="12" t="str">
        <f t="array" ref="E52">INDEX(Invoice!G:G,MATCH(Calculations!A52,Invoice!B:B,0))</f>
        <v>Forward charges</v>
      </c>
      <c r="F52" s="12" t="str">
        <f t="shared" si="1"/>
        <v>Yes</v>
      </c>
      <c r="G52" s="13" t="str">
        <f t="shared" si="2"/>
        <v>fwd</v>
      </c>
      <c r="H52" s="13" t="str">
        <f t="shared" si="3"/>
        <v>No</v>
      </c>
      <c r="I52" s="12" t="str">
        <f t="shared" si="4"/>
        <v/>
      </c>
      <c r="J52" s="12">
        <f>SUMIF(OrderReport!A:A,A52,OrderReport!E:E)</f>
        <v>1517</v>
      </c>
      <c r="K52" s="12">
        <f t="shared" si="5"/>
        <v>1.517</v>
      </c>
      <c r="L52" s="12">
        <f t="shared" si="6"/>
        <v>2000</v>
      </c>
      <c r="M52" s="12">
        <f t="shared" si="7"/>
        <v>2</v>
      </c>
      <c r="N52" s="11" t="str">
        <f t="array" ref="N52">INDEX(PincodeZones!C:C,MATCH(1,(PincodeZones!A:A=C52)*(PincodeZones!B:B=D52),0))</f>
        <v>d</v>
      </c>
      <c r="O52" s="12">
        <f t="array" ref="O52">INDEX(RatesTable!E:E,MATCH(1,(RatesTable!B:B=G52)*(RatesTable!C:C=N52)*(RatesTable!D:D="fixed"),0))</f>
        <v>45.4</v>
      </c>
      <c r="P52" s="12">
        <f t="array" ref="P52">((M52-0.5)/0.5)*INDEX(RatesTable!E:E,MATCH(1,(RatesTable!B:B=G52)*(RatesTable!C:C=N52)*(RatesTable!D:D="additional"),0))</f>
        <v>134.4</v>
      </c>
      <c r="Q52" s="12">
        <f t="array" ref="Q52">IFNA(INDEX(RatesTable!E:E,MATCH(1,(RatesTable!B:B=I52)*(RatesTable!C:C=N52)*(RatesTable!D:D="fixed"),0)),0)</f>
        <v>0</v>
      </c>
      <c r="R52" s="13">
        <f t="array" ref="R52">((M52-0.5)/0.5)*IFNA(INDEX(RatesTable!E:E,MATCH(1,(RatesTable!B:B=I52)*(RatesTable!C:C=N52)*(RatesTable!D:D="additional"),0)),0)</f>
        <v>0</v>
      </c>
      <c r="S52" s="12">
        <f t="shared" si="8"/>
        <v>179.8</v>
      </c>
      <c r="T52" s="12" t="str">
        <f t="array" ref="T52">INDEX(Invoice!C:C,MATCH(B52,(Invoice!A:A),0))</f>
        <v>1.5</v>
      </c>
      <c r="U52" s="12">
        <f t="shared" si="9"/>
        <v>1500</v>
      </c>
      <c r="V52" s="12">
        <f t="shared" si="10"/>
        <v>1.5</v>
      </c>
      <c r="W52" s="12" t="str">
        <f t="array" ref="W52">INDEX(Invoice!F:F,MATCH(B52,(Invoice!A:A),0))</f>
        <v>d</v>
      </c>
      <c r="X52" s="14">
        <f t="array" ref="X52">INDEX(Invoice!H:H,MATCH(B52,(Invoice!A:A),0))</f>
        <v>135</v>
      </c>
      <c r="Y52" s="15">
        <f t="shared" si="11"/>
        <v>44.8</v>
      </c>
      <c r="Z52" s="16">
        <f t="shared" si="12"/>
        <v>24.91657397</v>
      </c>
      <c r="AA52" s="16">
        <f t="shared" si="13"/>
        <v>118.5234015</v>
      </c>
      <c r="AB52" s="16">
        <f t="shared" si="14"/>
        <v>0</v>
      </c>
    </row>
    <row r="53" ht="15.75" customHeight="1">
      <c r="A53" s="11" t="str">
        <f>IFERROR(__xludf.DUMMYFUNCTION("""COMPUTED_VALUE"""),"2001809592")</f>
        <v>2001809592</v>
      </c>
      <c r="B53" s="11" t="str">
        <f t="array" ref="B53">INDEX(Invoice!A:A,MATCH(Calculations!A53,Invoice!B:B,0))</f>
        <v>1091117616121</v>
      </c>
      <c r="C53" s="12">
        <f t="array" ref="C53">INDEX(Invoice!D:D,MATCH(Calculations!A53,Invoice!B:B,0))</f>
        <v>121003</v>
      </c>
      <c r="D53" s="11" t="str">
        <f t="array" ref="D53">INDEX(Invoice!E:E,MATCH(Calculations!A53,Invoice!B:B,0))</f>
        <v>244713</v>
      </c>
      <c r="E53" s="12" t="str">
        <f t="array" ref="E53">INDEX(Invoice!G:G,MATCH(Calculations!A53,Invoice!B:B,0))</f>
        <v>Forward charges</v>
      </c>
      <c r="F53" s="12" t="str">
        <f t="shared" si="1"/>
        <v>Yes</v>
      </c>
      <c r="G53" s="13" t="str">
        <f t="shared" si="2"/>
        <v>fwd</v>
      </c>
      <c r="H53" s="13" t="str">
        <f t="shared" si="3"/>
        <v>No</v>
      </c>
      <c r="I53" s="12" t="str">
        <f t="shared" si="4"/>
        <v/>
      </c>
      <c r="J53" s="12">
        <f>SUMIF(OrderReport!A:A,A53,OrderReport!E:E)</f>
        <v>1505</v>
      </c>
      <c r="K53" s="12">
        <f t="shared" si="5"/>
        <v>1.505</v>
      </c>
      <c r="L53" s="12">
        <f t="shared" si="6"/>
        <v>2000</v>
      </c>
      <c r="M53" s="12">
        <f t="shared" si="7"/>
        <v>2</v>
      </c>
      <c r="N53" s="11" t="str">
        <f t="array" ref="N53">INDEX(PincodeZones!C:C,MATCH(1,(PincodeZones!A:A=C53)*(PincodeZones!B:B=D53),0))</f>
        <v>b</v>
      </c>
      <c r="O53" s="12">
        <f t="array" ref="O53">INDEX(RatesTable!E:E,MATCH(1,(RatesTable!B:B=G53)*(RatesTable!C:C=N53)*(RatesTable!D:D="fixed"),0))</f>
        <v>33</v>
      </c>
      <c r="P53" s="12">
        <f t="array" ref="P53">((M53-0.5)/0.5)*INDEX(RatesTable!E:E,MATCH(1,(RatesTable!B:B=G53)*(RatesTable!C:C=N53)*(RatesTable!D:D="additional"),0))</f>
        <v>84.9</v>
      </c>
      <c r="Q53" s="12">
        <f t="array" ref="Q53">IFNA(INDEX(RatesTable!E:E,MATCH(1,(RatesTable!B:B=I53)*(RatesTable!C:C=N53)*(RatesTable!D:D="fixed"),0)),0)</f>
        <v>0</v>
      </c>
      <c r="R53" s="13">
        <f t="array" ref="R53">((M53-0.5)/0.5)*IFNA(INDEX(RatesTable!E:E,MATCH(1,(RatesTable!B:B=I53)*(RatesTable!C:C=N53)*(RatesTable!D:D="additional"),0)),0)</f>
        <v>0</v>
      </c>
      <c r="S53" s="12">
        <f t="shared" si="8"/>
        <v>117.9</v>
      </c>
      <c r="T53" s="12" t="str">
        <f t="array" ref="T53">INDEX(Invoice!C:C,MATCH(B53,(Invoice!A:A),0))</f>
        <v>1.5</v>
      </c>
      <c r="U53" s="12">
        <f t="shared" si="9"/>
        <v>1500</v>
      </c>
      <c r="V53" s="12">
        <f t="shared" si="10"/>
        <v>1.5</v>
      </c>
      <c r="W53" s="12" t="str">
        <f t="array" ref="W53">INDEX(Invoice!F:F,MATCH(B53,(Invoice!A:A),0))</f>
        <v>b</v>
      </c>
      <c r="X53" s="14">
        <f t="array" ref="X53">INDEX(Invoice!H:H,MATCH(B53,(Invoice!A:A),0))</f>
        <v>89.6</v>
      </c>
      <c r="Y53" s="15">
        <f t="shared" si="11"/>
        <v>28.3</v>
      </c>
      <c r="Z53" s="16">
        <f t="shared" si="12"/>
        <v>24.00339271</v>
      </c>
      <c r="AA53" s="16">
        <f t="shared" si="13"/>
        <v>78.33887043</v>
      </c>
      <c r="AB53" s="16">
        <f t="shared" si="14"/>
        <v>0</v>
      </c>
    </row>
    <row r="54" ht="15.75" customHeight="1">
      <c r="A54" s="11" t="str">
        <f>IFERROR(__xludf.DUMMYFUNCTION("""COMPUTED_VALUE"""),"2001809383")</f>
        <v>2001809383</v>
      </c>
      <c r="B54" s="11" t="str">
        <f t="array" ref="B54">INDEX(Invoice!A:A,MATCH(Calculations!A54,Invoice!B:B,0))</f>
        <v>1091117614452</v>
      </c>
      <c r="C54" s="12">
        <f t="array" ref="C54">INDEX(Invoice!D:D,MATCH(Calculations!A54,Invoice!B:B,0))</f>
        <v>121003</v>
      </c>
      <c r="D54" s="11" t="str">
        <f t="array" ref="D54">INDEX(Invoice!E:E,MATCH(Calculations!A54,Invoice!B:B,0))</f>
        <v>303702</v>
      </c>
      <c r="E54" s="12" t="str">
        <f t="array" ref="E54">INDEX(Invoice!G:G,MATCH(Calculations!A54,Invoice!B:B,0))</f>
        <v>Forward and RTO charges</v>
      </c>
      <c r="F54" s="12" t="str">
        <f t="shared" si="1"/>
        <v>Yes</v>
      </c>
      <c r="G54" s="13" t="str">
        <f t="shared" si="2"/>
        <v>fwd</v>
      </c>
      <c r="H54" s="13" t="str">
        <f t="shared" si="3"/>
        <v>Yes</v>
      </c>
      <c r="I54" s="12" t="str">
        <f t="shared" si="4"/>
        <v>rto</v>
      </c>
      <c r="J54" s="12">
        <f>SUMIF(OrderReport!A:A,A54,OrderReport!E:E)</f>
        <v>607</v>
      </c>
      <c r="K54" s="12">
        <f t="shared" si="5"/>
        <v>0.607</v>
      </c>
      <c r="L54" s="12">
        <f t="shared" si="6"/>
        <v>1000</v>
      </c>
      <c r="M54" s="12">
        <f t="shared" si="7"/>
        <v>1</v>
      </c>
      <c r="N54" s="11" t="str">
        <f t="array" ref="N54">INDEX(PincodeZones!C:C,MATCH(1,(PincodeZones!A:A=C54)*(PincodeZones!B:B=D54),0))</f>
        <v>b</v>
      </c>
      <c r="O54" s="12">
        <f t="array" ref="O54">INDEX(RatesTable!E:E,MATCH(1,(RatesTable!B:B=G54)*(RatesTable!C:C=N54)*(RatesTable!D:D="fixed"),0))</f>
        <v>33</v>
      </c>
      <c r="P54" s="12">
        <f t="array" ref="P54">((M54-0.5)/0.5)*INDEX(RatesTable!E:E,MATCH(1,(RatesTable!B:B=G54)*(RatesTable!C:C=N54)*(RatesTable!D:D="additional"),0))</f>
        <v>28.3</v>
      </c>
      <c r="Q54" s="12">
        <f t="array" ref="Q54">IFNA(INDEX(RatesTable!E:E,MATCH(1,(RatesTable!B:B=I54)*(RatesTable!C:C=N54)*(RatesTable!D:D="fixed"),0)),0)</f>
        <v>20.5</v>
      </c>
      <c r="R54" s="13">
        <f t="array" ref="R54">((M54-0.5)/0.5)*IFNA(INDEX(RatesTable!E:E,MATCH(1,(RatesTable!B:B=I54)*(RatesTable!C:C=N54)*(RatesTable!D:D="additional"),0)),0)</f>
        <v>28.3</v>
      </c>
      <c r="S54" s="12">
        <f t="shared" si="8"/>
        <v>110.1</v>
      </c>
      <c r="T54" s="12" t="str">
        <f t="array" ref="T54">INDEX(Invoice!C:C,MATCH(B54,(Invoice!A:A),0))</f>
        <v>0.5</v>
      </c>
      <c r="U54" s="12">
        <f t="shared" si="9"/>
        <v>500</v>
      </c>
      <c r="V54" s="12">
        <f t="shared" si="10"/>
        <v>0.5</v>
      </c>
      <c r="W54" s="12" t="str">
        <f t="array" ref="W54">INDEX(Invoice!F:F,MATCH(B54,(Invoice!A:A),0))</f>
        <v>d</v>
      </c>
      <c r="X54" s="14">
        <f t="array" ref="X54">INDEX(Invoice!H:H,MATCH(B54,(Invoice!A:A),0))</f>
        <v>86.7</v>
      </c>
      <c r="Y54" s="15">
        <f t="shared" si="11"/>
        <v>23.4</v>
      </c>
      <c r="Z54" s="16">
        <f t="shared" si="12"/>
        <v>21.25340599</v>
      </c>
      <c r="AA54" s="16">
        <f t="shared" si="13"/>
        <v>100.9884679</v>
      </c>
      <c r="AB54" s="16">
        <f t="shared" si="14"/>
        <v>80.39538715</v>
      </c>
    </row>
    <row r="55" ht="15.75" customHeight="1">
      <c r="A55" s="11" t="str">
        <f>IFERROR(__xludf.DUMMYFUNCTION("""COMPUTED_VALUE"""),"2001809270")</f>
        <v>2001809270</v>
      </c>
      <c r="B55" s="11" t="str">
        <f t="array" ref="B55">INDEX(Invoice!A:A,MATCH(Calculations!A55,Invoice!B:B,0))</f>
        <v>1091117613962</v>
      </c>
      <c r="C55" s="12">
        <f t="array" ref="C55">INDEX(Invoice!D:D,MATCH(Calculations!A55,Invoice!B:B,0))</f>
        <v>121003</v>
      </c>
      <c r="D55" s="11" t="str">
        <f t="array" ref="D55">INDEX(Invoice!E:E,MATCH(Calculations!A55,Invoice!B:B,0))</f>
        <v>324005</v>
      </c>
      <c r="E55" s="12" t="str">
        <f t="array" ref="E55">INDEX(Invoice!G:G,MATCH(Calculations!A55,Invoice!B:B,0))</f>
        <v>Forward charges</v>
      </c>
      <c r="F55" s="12" t="str">
        <f t="shared" si="1"/>
        <v>Yes</v>
      </c>
      <c r="G55" s="13" t="str">
        <f t="shared" si="2"/>
        <v>fwd</v>
      </c>
      <c r="H55" s="13" t="str">
        <f t="shared" si="3"/>
        <v>No</v>
      </c>
      <c r="I55" s="12" t="str">
        <f t="shared" si="4"/>
        <v/>
      </c>
      <c r="J55" s="12">
        <f>SUMIF(OrderReport!A:A,A55,OrderReport!E:E)</f>
        <v>500</v>
      </c>
      <c r="K55" s="12">
        <f t="shared" si="5"/>
        <v>0.5</v>
      </c>
      <c r="L55" s="12">
        <f t="shared" si="6"/>
        <v>500</v>
      </c>
      <c r="M55" s="12">
        <f t="shared" si="7"/>
        <v>0.5</v>
      </c>
      <c r="N55" s="11" t="str">
        <f t="array" ref="N55">INDEX(PincodeZones!C:C,MATCH(1,(PincodeZones!A:A=C55)*(PincodeZones!B:B=D55),0))</f>
        <v>b</v>
      </c>
      <c r="O55" s="12">
        <f t="array" ref="O55">INDEX(RatesTable!E:E,MATCH(1,(RatesTable!B:B=G55)*(RatesTable!C:C=N55)*(RatesTable!D:D="fixed"),0))</f>
        <v>33</v>
      </c>
      <c r="P55" s="12">
        <f t="array" ref="P55">((M55-0.5)/0.5)*INDEX(RatesTable!E:E,MATCH(1,(RatesTable!B:B=G55)*(RatesTable!C:C=N55)*(RatesTable!D:D="additional"),0))</f>
        <v>0</v>
      </c>
      <c r="Q55" s="12">
        <f t="array" ref="Q55">IFNA(INDEX(RatesTable!E:E,MATCH(1,(RatesTable!B:B=I55)*(RatesTable!C:C=N55)*(RatesTable!D:D="fixed"),0)),0)</f>
        <v>0</v>
      </c>
      <c r="R55" s="13">
        <f t="array" ref="R55">((M55-0.5)/0.5)*IFNA(INDEX(RatesTable!E:E,MATCH(1,(RatesTable!B:B=I55)*(RatesTable!C:C=N55)*(RatesTable!D:D="additional"),0)),0)</f>
        <v>0</v>
      </c>
      <c r="S55" s="12">
        <f t="shared" si="8"/>
        <v>33</v>
      </c>
      <c r="T55" s="12" t="str">
        <f t="array" ref="T55">INDEX(Invoice!C:C,MATCH(B55,(Invoice!A:A),0))</f>
        <v>0.68</v>
      </c>
      <c r="U55" s="12">
        <f t="shared" si="9"/>
        <v>680</v>
      </c>
      <c r="V55" s="12">
        <f t="shared" si="10"/>
        <v>1</v>
      </c>
      <c r="W55" s="12" t="str">
        <f t="array" ref="W55">INDEX(Invoice!F:F,MATCH(B55,(Invoice!A:A),0))</f>
        <v>d</v>
      </c>
      <c r="X55" s="14">
        <f t="array" ref="X55">INDEX(Invoice!H:H,MATCH(B55,(Invoice!A:A),0))</f>
        <v>90.2</v>
      </c>
      <c r="Y55" s="15">
        <f t="shared" si="11"/>
        <v>-57.2</v>
      </c>
      <c r="Z55" s="16">
        <f t="shared" si="12"/>
        <v>-173.3333333</v>
      </c>
      <c r="AA55" s="16">
        <f t="shared" si="13"/>
        <v>66</v>
      </c>
      <c r="AB55" s="16">
        <f t="shared" si="14"/>
        <v>0</v>
      </c>
    </row>
    <row r="56" ht="15.75" customHeight="1">
      <c r="A56" s="11" t="str">
        <f>IFERROR(__xludf.DUMMYFUNCTION("""COMPUTED_VALUE"""),"2001808992")</f>
        <v>2001808992</v>
      </c>
      <c r="B56" s="11" t="str">
        <f t="array" ref="B56">INDEX(Invoice!A:A,MATCH(Calculations!A56,Invoice!B:B,0))</f>
        <v>1091117611501</v>
      </c>
      <c r="C56" s="12">
        <f t="array" ref="C56">INDEX(Invoice!D:D,MATCH(Calculations!A56,Invoice!B:B,0))</f>
        <v>121003</v>
      </c>
      <c r="D56" s="11" t="str">
        <f t="array" ref="D56">INDEX(Invoice!E:E,MATCH(Calculations!A56,Invoice!B:B,0))</f>
        <v>342014</v>
      </c>
      <c r="E56" s="12" t="str">
        <f t="array" ref="E56">INDEX(Invoice!G:G,MATCH(Calculations!A56,Invoice!B:B,0))</f>
        <v>Forward charges</v>
      </c>
      <c r="F56" s="12" t="str">
        <f t="shared" si="1"/>
        <v>Yes</v>
      </c>
      <c r="G56" s="13" t="str">
        <f t="shared" si="2"/>
        <v>fwd</v>
      </c>
      <c r="H56" s="13" t="str">
        <f t="shared" si="3"/>
        <v>No</v>
      </c>
      <c r="I56" s="12" t="str">
        <f t="shared" si="4"/>
        <v/>
      </c>
      <c r="J56" s="12">
        <f>SUMIF(OrderReport!A:A,A56,OrderReport!E:E)</f>
        <v>500</v>
      </c>
      <c r="K56" s="12">
        <f t="shared" si="5"/>
        <v>0.5</v>
      </c>
      <c r="L56" s="12">
        <f t="shared" si="6"/>
        <v>500</v>
      </c>
      <c r="M56" s="12">
        <f t="shared" si="7"/>
        <v>0.5</v>
      </c>
      <c r="N56" s="11" t="str">
        <f t="array" ref="N56">INDEX(PincodeZones!C:C,MATCH(1,(PincodeZones!A:A=C56)*(PincodeZones!B:B=D56),0))</f>
        <v>b</v>
      </c>
      <c r="O56" s="12">
        <f t="array" ref="O56">INDEX(RatesTable!E:E,MATCH(1,(RatesTable!B:B=G56)*(RatesTable!C:C=N56)*(RatesTable!D:D="fixed"),0))</f>
        <v>33</v>
      </c>
      <c r="P56" s="12">
        <f t="array" ref="P56">((M56-0.5)/0.5)*INDEX(RatesTable!E:E,MATCH(1,(RatesTable!B:B=G56)*(RatesTable!C:C=N56)*(RatesTable!D:D="additional"),0))</f>
        <v>0</v>
      </c>
      <c r="Q56" s="12">
        <f t="array" ref="Q56">IFNA(INDEX(RatesTable!E:E,MATCH(1,(RatesTable!B:B=I56)*(RatesTable!C:C=N56)*(RatesTable!D:D="fixed"),0)),0)</f>
        <v>0</v>
      </c>
      <c r="R56" s="13">
        <f t="array" ref="R56">((M56-0.5)/0.5)*IFNA(INDEX(RatesTable!E:E,MATCH(1,(RatesTable!B:B=I56)*(RatesTable!C:C=N56)*(RatesTable!D:D="additional"),0)),0)</f>
        <v>0</v>
      </c>
      <c r="S56" s="12">
        <f t="shared" si="8"/>
        <v>33</v>
      </c>
      <c r="T56" s="12" t="str">
        <f t="array" ref="T56">INDEX(Invoice!C:C,MATCH(B56,(Invoice!A:A),0))</f>
        <v>0.72</v>
      </c>
      <c r="U56" s="12">
        <f t="shared" si="9"/>
        <v>720</v>
      </c>
      <c r="V56" s="12">
        <f t="shared" si="10"/>
        <v>1</v>
      </c>
      <c r="W56" s="12" t="str">
        <f t="array" ref="W56">INDEX(Invoice!F:F,MATCH(B56,(Invoice!A:A),0))</f>
        <v>d</v>
      </c>
      <c r="X56" s="14">
        <f t="array" ref="X56">INDEX(Invoice!H:H,MATCH(B56,(Invoice!A:A),0))</f>
        <v>90.2</v>
      </c>
      <c r="Y56" s="15">
        <f t="shared" si="11"/>
        <v>-57.2</v>
      </c>
      <c r="Z56" s="16">
        <f t="shared" si="12"/>
        <v>-173.3333333</v>
      </c>
      <c r="AA56" s="16">
        <f t="shared" si="13"/>
        <v>66</v>
      </c>
      <c r="AB56" s="16">
        <f t="shared" si="14"/>
        <v>0</v>
      </c>
    </row>
    <row r="57" ht="15.75" customHeight="1">
      <c r="A57" s="11" t="str">
        <f>IFERROR(__xludf.DUMMYFUNCTION("""COMPUTED_VALUE"""),"2001808883")</f>
        <v>2001808883</v>
      </c>
      <c r="B57" s="11" t="str">
        <f t="array" ref="B57">INDEX(Invoice!A:A,MATCH(Calculations!A57,Invoice!B:B,0))</f>
        <v>1091117438074</v>
      </c>
      <c r="C57" s="12">
        <f t="array" ref="C57">INDEX(Invoice!D:D,MATCH(Calculations!A57,Invoice!B:B,0))</f>
        <v>121003</v>
      </c>
      <c r="D57" s="11" t="str">
        <f t="array" ref="D57">INDEX(Invoice!E:E,MATCH(Calculations!A57,Invoice!B:B,0))</f>
        <v>302012</v>
      </c>
      <c r="E57" s="12" t="str">
        <f t="array" ref="E57">INDEX(Invoice!G:G,MATCH(Calculations!A57,Invoice!B:B,0))</f>
        <v>Forward charges</v>
      </c>
      <c r="F57" s="12" t="str">
        <f t="shared" si="1"/>
        <v>Yes</v>
      </c>
      <c r="G57" s="13" t="str">
        <f t="shared" si="2"/>
        <v>fwd</v>
      </c>
      <c r="H57" s="13" t="str">
        <f t="shared" si="3"/>
        <v>No</v>
      </c>
      <c r="I57" s="12" t="str">
        <f t="shared" si="4"/>
        <v/>
      </c>
      <c r="J57" s="12">
        <f>SUMIF(OrderReport!A:A,A57,OrderReport!E:E)</f>
        <v>500</v>
      </c>
      <c r="K57" s="12">
        <f t="shared" si="5"/>
        <v>0.5</v>
      </c>
      <c r="L57" s="12">
        <f t="shared" si="6"/>
        <v>500</v>
      </c>
      <c r="M57" s="12">
        <f t="shared" si="7"/>
        <v>0.5</v>
      </c>
      <c r="N57" s="11" t="str">
        <f t="array" ref="N57">INDEX(PincodeZones!C:C,MATCH(1,(PincodeZones!A:A=C57)*(PincodeZones!B:B=D57),0))</f>
        <v>b</v>
      </c>
      <c r="O57" s="12">
        <f t="array" ref="O57">INDEX(RatesTable!E:E,MATCH(1,(RatesTable!B:B=G57)*(RatesTable!C:C=N57)*(RatesTable!D:D="fixed"),0))</f>
        <v>33</v>
      </c>
      <c r="P57" s="12">
        <f t="array" ref="P57">((M57-0.5)/0.5)*INDEX(RatesTable!E:E,MATCH(1,(RatesTable!B:B=G57)*(RatesTable!C:C=N57)*(RatesTable!D:D="additional"),0))</f>
        <v>0</v>
      </c>
      <c r="Q57" s="12">
        <f t="array" ref="Q57">IFNA(INDEX(RatesTable!E:E,MATCH(1,(RatesTable!B:B=I57)*(RatesTable!C:C=N57)*(RatesTable!D:D="fixed"),0)),0)</f>
        <v>0</v>
      </c>
      <c r="R57" s="13">
        <f t="array" ref="R57">((M57-0.5)/0.5)*IFNA(INDEX(RatesTable!E:E,MATCH(1,(RatesTable!B:B=I57)*(RatesTable!C:C=N57)*(RatesTable!D:D="additional"),0)),0)</f>
        <v>0</v>
      </c>
      <c r="S57" s="12">
        <f t="shared" si="8"/>
        <v>33</v>
      </c>
      <c r="T57" s="12" t="str">
        <f t="array" ref="T57">INDEX(Invoice!C:C,MATCH(B57,(Invoice!A:A),0))</f>
        <v>0.72</v>
      </c>
      <c r="U57" s="12">
        <f t="shared" si="9"/>
        <v>720</v>
      </c>
      <c r="V57" s="12">
        <f t="shared" si="10"/>
        <v>1</v>
      </c>
      <c r="W57" s="12" t="str">
        <f t="array" ref="W57">INDEX(Invoice!F:F,MATCH(B57,(Invoice!A:A),0))</f>
        <v>d</v>
      </c>
      <c r="X57" s="14">
        <f t="array" ref="X57">INDEX(Invoice!H:H,MATCH(B57,(Invoice!A:A),0))</f>
        <v>90.2</v>
      </c>
      <c r="Y57" s="15">
        <f t="shared" si="11"/>
        <v>-57.2</v>
      </c>
      <c r="Z57" s="16">
        <f t="shared" si="12"/>
        <v>-173.3333333</v>
      </c>
      <c r="AA57" s="16">
        <f t="shared" si="13"/>
        <v>66</v>
      </c>
      <c r="AB57" s="16">
        <f t="shared" si="14"/>
        <v>0</v>
      </c>
    </row>
    <row r="58" ht="15.75" customHeight="1">
      <c r="A58" s="11" t="str">
        <f>IFERROR(__xludf.DUMMYFUNCTION("""COMPUTED_VALUE"""),"2001808837")</f>
        <v>2001808837</v>
      </c>
      <c r="B58" s="11" t="str">
        <f t="array" ref="B58">INDEX(Invoice!A:A,MATCH(Calculations!A58,Invoice!B:B,0))</f>
        <v>1091117437890</v>
      </c>
      <c r="C58" s="12">
        <f t="array" ref="C58">INDEX(Invoice!D:D,MATCH(Calculations!A58,Invoice!B:B,0))</f>
        <v>121003</v>
      </c>
      <c r="D58" s="11" t="str">
        <f t="array" ref="D58">INDEX(Invoice!E:E,MATCH(Calculations!A58,Invoice!B:B,0))</f>
        <v>302031</v>
      </c>
      <c r="E58" s="12" t="str">
        <f t="array" ref="E58">INDEX(Invoice!G:G,MATCH(Calculations!A58,Invoice!B:B,0))</f>
        <v>Forward charges</v>
      </c>
      <c r="F58" s="12" t="str">
        <f t="shared" si="1"/>
        <v>Yes</v>
      </c>
      <c r="G58" s="13" t="str">
        <f t="shared" si="2"/>
        <v>fwd</v>
      </c>
      <c r="H58" s="13" t="str">
        <f t="shared" si="3"/>
        <v>No</v>
      </c>
      <c r="I58" s="12" t="str">
        <f t="shared" si="4"/>
        <v/>
      </c>
      <c r="J58" s="12">
        <f>SUMIF(OrderReport!A:A,A58,OrderReport!E:E)</f>
        <v>500</v>
      </c>
      <c r="K58" s="12">
        <f t="shared" si="5"/>
        <v>0.5</v>
      </c>
      <c r="L58" s="12">
        <f t="shared" si="6"/>
        <v>500</v>
      </c>
      <c r="M58" s="12">
        <f t="shared" si="7"/>
        <v>0.5</v>
      </c>
      <c r="N58" s="11" t="str">
        <f t="array" ref="N58">INDEX(PincodeZones!C:C,MATCH(1,(PincodeZones!A:A=C58)*(PincodeZones!B:B=D58),0))</f>
        <v>b</v>
      </c>
      <c r="O58" s="12">
        <f t="array" ref="O58">INDEX(RatesTable!E:E,MATCH(1,(RatesTable!B:B=G58)*(RatesTable!C:C=N58)*(RatesTable!D:D="fixed"),0))</f>
        <v>33</v>
      </c>
      <c r="P58" s="12">
        <f t="array" ref="P58">((M58-0.5)/0.5)*INDEX(RatesTable!E:E,MATCH(1,(RatesTable!B:B=G58)*(RatesTable!C:C=N58)*(RatesTable!D:D="additional"),0))</f>
        <v>0</v>
      </c>
      <c r="Q58" s="12">
        <f t="array" ref="Q58">IFNA(INDEX(RatesTable!E:E,MATCH(1,(RatesTable!B:B=I58)*(RatesTable!C:C=N58)*(RatesTable!D:D="fixed"),0)),0)</f>
        <v>0</v>
      </c>
      <c r="R58" s="13">
        <f t="array" ref="R58">((M58-0.5)/0.5)*IFNA(INDEX(RatesTable!E:E,MATCH(1,(RatesTable!B:B=I58)*(RatesTable!C:C=N58)*(RatesTable!D:D="additional"),0)),0)</f>
        <v>0</v>
      </c>
      <c r="S58" s="12">
        <f t="shared" si="8"/>
        <v>33</v>
      </c>
      <c r="T58" s="12" t="str">
        <f t="array" ref="T58">INDEX(Invoice!C:C,MATCH(B58,(Invoice!A:A),0))</f>
        <v>0.67</v>
      </c>
      <c r="U58" s="12">
        <f t="shared" si="9"/>
        <v>670</v>
      </c>
      <c r="V58" s="12">
        <f t="shared" si="10"/>
        <v>1</v>
      </c>
      <c r="W58" s="12" t="str">
        <f t="array" ref="W58">INDEX(Invoice!F:F,MATCH(B58,(Invoice!A:A),0))</f>
        <v>d</v>
      </c>
      <c r="X58" s="14">
        <f t="array" ref="X58">INDEX(Invoice!H:H,MATCH(B58,(Invoice!A:A),0))</f>
        <v>90.2</v>
      </c>
      <c r="Y58" s="15">
        <f t="shared" si="11"/>
        <v>-57.2</v>
      </c>
      <c r="Z58" s="16">
        <f t="shared" si="12"/>
        <v>-173.3333333</v>
      </c>
      <c r="AA58" s="16">
        <f t="shared" si="13"/>
        <v>66</v>
      </c>
      <c r="AB58" s="16">
        <f t="shared" si="14"/>
        <v>0</v>
      </c>
    </row>
    <row r="59" ht="15.75" customHeight="1">
      <c r="A59" s="11" t="str">
        <f>IFERROR(__xludf.DUMMYFUNCTION("""COMPUTED_VALUE"""),"2001808832")</f>
        <v>2001808832</v>
      </c>
      <c r="B59" s="11" t="str">
        <f t="array" ref="B59">INDEX(Invoice!A:A,MATCH(Calculations!A59,Invoice!B:B,0))</f>
        <v>1091117437864</v>
      </c>
      <c r="C59" s="12">
        <f t="array" ref="C59">INDEX(Invoice!D:D,MATCH(Calculations!A59,Invoice!B:B,0))</f>
        <v>121003</v>
      </c>
      <c r="D59" s="11" t="str">
        <f t="array" ref="D59">INDEX(Invoice!E:E,MATCH(Calculations!A59,Invoice!B:B,0))</f>
        <v>334001</v>
      </c>
      <c r="E59" s="12" t="str">
        <f t="array" ref="E59">INDEX(Invoice!G:G,MATCH(Calculations!A59,Invoice!B:B,0))</f>
        <v>Forward charges</v>
      </c>
      <c r="F59" s="12" t="str">
        <f t="shared" si="1"/>
        <v>Yes</v>
      </c>
      <c r="G59" s="13" t="str">
        <f t="shared" si="2"/>
        <v>fwd</v>
      </c>
      <c r="H59" s="13" t="str">
        <f t="shared" si="3"/>
        <v>No</v>
      </c>
      <c r="I59" s="12" t="str">
        <f t="shared" si="4"/>
        <v/>
      </c>
      <c r="J59" s="12">
        <f>SUMIF(OrderReport!A:A,A59,OrderReport!E:E)</f>
        <v>600</v>
      </c>
      <c r="K59" s="12">
        <f t="shared" si="5"/>
        <v>0.6</v>
      </c>
      <c r="L59" s="12">
        <f t="shared" si="6"/>
        <v>1000</v>
      </c>
      <c r="M59" s="12">
        <f t="shared" si="7"/>
        <v>1</v>
      </c>
      <c r="N59" s="11" t="str">
        <f t="array" ref="N59">INDEX(PincodeZones!C:C,MATCH(1,(PincodeZones!A:A=C59)*(PincodeZones!B:B=D59),0))</f>
        <v>b</v>
      </c>
      <c r="O59" s="12">
        <f t="array" ref="O59">INDEX(RatesTable!E:E,MATCH(1,(RatesTable!B:B=G59)*(RatesTable!C:C=N59)*(RatesTable!D:D="fixed"),0))</f>
        <v>33</v>
      </c>
      <c r="P59" s="12">
        <f t="array" ref="P59">((M59-0.5)/0.5)*INDEX(RatesTable!E:E,MATCH(1,(RatesTable!B:B=G59)*(RatesTable!C:C=N59)*(RatesTable!D:D="additional"),0))</f>
        <v>28.3</v>
      </c>
      <c r="Q59" s="12">
        <f t="array" ref="Q59">IFNA(INDEX(RatesTable!E:E,MATCH(1,(RatesTable!B:B=I59)*(RatesTable!C:C=N59)*(RatesTable!D:D="fixed"),0)),0)</f>
        <v>0</v>
      </c>
      <c r="R59" s="13">
        <f t="array" ref="R59">((M59-0.5)/0.5)*IFNA(INDEX(RatesTable!E:E,MATCH(1,(RatesTable!B:B=I59)*(RatesTable!C:C=N59)*(RatesTable!D:D="additional"),0)),0)</f>
        <v>0</v>
      </c>
      <c r="S59" s="12">
        <f t="shared" si="8"/>
        <v>61.3</v>
      </c>
      <c r="T59" s="12" t="str">
        <f t="array" ref="T59">INDEX(Invoice!C:C,MATCH(B59,(Invoice!A:A),0))</f>
        <v>2.47</v>
      </c>
      <c r="U59" s="12">
        <f t="shared" si="9"/>
        <v>2470</v>
      </c>
      <c r="V59" s="12">
        <f t="shared" si="10"/>
        <v>2.5</v>
      </c>
      <c r="W59" s="12" t="str">
        <f t="array" ref="W59">INDEX(Invoice!F:F,MATCH(B59,(Invoice!A:A),0))</f>
        <v>d</v>
      </c>
      <c r="X59" s="14">
        <f t="array" ref="X59">INDEX(Invoice!H:H,MATCH(B59,(Invoice!A:A),0))</f>
        <v>224.6</v>
      </c>
      <c r="Y59" s="15">
        <f t="shared" si="11"/>
        <v>-163.3</v>
      </c>
      <c r="Z59" s="16">
        <f t="shared" si="12"/>
        <v>-266.3947798</v>
      </c>
      <c r="AA59" s="16">
        <f t="shared" si="13"/>
        <v>102.1666667</v>
      </c>
      <c r="AB59" s="16">
        <f t="shared" si="14"/>
        <v>0</v>
      </c>
    </row>
    <row r="60" ht="15.75" customHeight="1">
      <c r="A60" s="11" t="str">
        <f>IFERROR(__xludf.DUMMYFUNCTION("""COMPUTED_VALUE"""),"2001808801")</f>
        <v>2001808801</v>
      </c>
      <c r="B60" s="11" t="str">
        <f t="array" ref="B60">INDEX(Invoice!A:A,MATCH(Calculations!A60,Invoice!B:B,0))</f>
        <v>1091117437680</v>
      </c>
      <c r="C60" s="12">
        <f t="array" ref="C60">INDEX(Invoice!D:D,MATCH(Calculations!A60,Invoice!B:B,0))</f>
        <v>121003</v>
      </c>
      <c r="D60" s="11" t="str">
        <f t="array" ref="D60">INDEX(Invoice!E:E,MATCH(Calculations!A60,Invoice!B:B,0))</f>
        <v>335001</v>
      </c>
      <c r="E60" s="12" t="str">
        <f t="array" ref="E60">INDEX(Invoice!G:G,MATCH(Calculations!A60,Invoice!B:B,0))</f>
        <v>Forward charges</v>
      </c>
      <c r="F60" s="12" t="str">
        <f t="shared" si="1"/>
        <v>Yes</v>
      </c>
      <c r="G60" s="13" t="str">
        <f t="shared" si="2"/>
        <v>fwd</v>
      </c>
      <c r="H60" s="13" t="str">
        <f t="shared" si="3"/>
        <v>No</v>
      </c>
      <c r="I60" s="12" t="str">
        <f t="shared" si="4"/>
        <v/>
      </c>
      <c r="J60" s="12">
        <f>SUMIF(OrderReport!A:A,A60,OrderReport!E:E)</f>
        <v>731</v>
      </c>
      <c r="K60" s="12">
        <f t="shared" si="5"/>
        <v>0.731</v>
      </c>
      <c r="L60" s="12">
        <f t="shared" si="6"/>
        <v>1000</v>
      </c>
      <c r="M60" s="12">
        <f t="shared" si="7"/>
        <v>1</v>
      </c>
      <c r="N60" s="11" t="str">
        <f t="array" ref="N60">INDEX(PincodeZones!C:C,MATCH(1,(PincodeZones!A:A=C60)*(PincodeZones!B:B=D60),0))</f>
        <v>b</v>
      </c>
      <c r="O60" s="12">
        <f t="array" ref="O60">INDEX(RatesTable!E:E,MATCH(1,(RatesTable!B:B=G60)*(RatesTable!C:C=N60)*(RatesTable!D:D="fixed"),0))</f>
        <v>33</v>
      </c>
      <c r="P60" s="12">
        <f t="array" ref="P60">((M60-0.5)/0.5)*INDEX(RatesTable!E:E,MATCH(1,(RatesTable!B:B=G60)*(RatesTable!C:C=N60)*(RatesTable!D:D="additional"),0))</f>
        <v>28.3</v>
      </c>
      <c r="Q60" s="12">
        <f t="array" ref="Q60">IFNA(INDEX(RatesTable!E:E,MATCH(1,(RatesTable!B:B=I60)*(RatesTable!C:C=N60)*(RatesTable!D:D="fixed"),0)),0)</f>
        <v>0</v>
      </c>
      <c r="R60" s="13">
        <f t="array" ref="R60">((M60-0.5)/0.5)*IFNA(INDEX(RatesTable!E:E,MATCH(1,(RatesTable!B:B=I60)*(RatesTable!C:C=N60)*(RatesTable!D:D="additional"),0)),0)</f>
        <v>0</v>
      </c>
      <c r="S60" s="12">
        <f t="shared" si="8"/>
        <v>61.3</v>
      </c>
      <c r="T60" s="12" t="str">
        <f t="array" ref="T60">INDEX(Invoice!C:C,MATCH(B60,(Invoice!A:A),0))</f>
        <v>0.8</v>
      </c>
      <c r="U60" s="12">
        <f t="shared" si="9"/>
        <v>800</v>
      </c>
      <c r="V60" s="12">
        <f t="shared" si="10"/>
        <v>1</v>
      </c>
      <c r="W60" s="12" t="str">
        <f t="array" ref="W60">INDEX(Invoice!F:F,MATCH(B60,(Invoice!A:A),0))</f>
        <v>d</v>
      </c>
      <c r="X60" s="14">
        <f t="array" ref="X60">INDEX(Invoice!H:H,MATCH(B60,(Invoice!A:A),0))</f>
        <v>90.2</v>
      </c>
      <c r="Y60" s="15">
        <f t="shared" si="11"/>
        <v>-28.9</v>
      </c>
      <c r="Z60" s="16">
        <f t="shared" si="12"/>
        <v>-47.1451876</v>
      </c>
      <c r="AA60" s="16">
        <f t="shared" si="13"/>
        <v>83.85772914</v>
      </c>
      <c r="AB60" s="16">
        <f t="shared" si="14"/>
        <v>0</v>
      </c>
    </row>
    <row r="61" ht="15.75" customHeight="1">
      <c r="A61" s="11" t="str">
        <f>IFERROR(__xludf.DUMMYFUNCTION("""COMPUTED_VALUE"""),"2001808739")</f>
        <v>2001808739</v>
      </c>
      <c r="B61" s="11" t="str">
        <f t="array" ref="B61">INDEX(Invoice!A:A,MATCH(Calculations!A61,Invoice!B:B,0))</f>
        <v>1091117437293</v>
      </c>
      <c r="C61" s="12">
        <f t="array" ref="C61">INDEX(Invoice!D:D,MATCH(Calculations!A61,Invoice!B:B,0))</f>
        <v>121003</v>
      </c>
      <c r="D61" s="11" t="str">
        <f t="array" ref="D61">INDEX(Invoice!E:E,MATCH(Calculations!A61,Invoice!B:B,0))</f>
        <v>342012</v>
      </c>
      <c r="E61" s="12" t="str">
        <f t="array" ref="E61">INDEX(Invoice!G:G,MATCH(Calculations!A61,Invoice!B:B,0))</f>
        <v>Forward charges</v>
      </c>
      <c r="F61" s="12" t="str">
        <f t="shared" si="1"/>
        <v>Yes</v>
      </c>
      <c r="G61" s="13" t="str">
        <f t="shared" si="2"/>
        <v>fwd</v>
      </c>
      <c r="H61" s="13" t="str">
        <f t="shared" si="3"/>
        <v>No</v>
      </c>
      <c r="I61" s="12" t="str">
        <f t="shared" si="4"/>
        <v/>
      </c>
      <c r="J61" s="12">
        <f>SUMIF(OrderReport!A:A,A61,OrderReport!E:E)</f>
        <v>220</v>
      </c>
      <c r="K61" s="12">
        <f t="shared" si="5"/>
        <v>0.22</v>
      </c>
      <c r="L61" s="12">
        <f t="shared" si="6"/>
        <v>500</v>
      </c>
      <c r="M61" s="12">
        <f t="shared" si="7"/>
        <v>0.5</v>
      </c>
      <c r="N61" s="11" t="str">
        <f t="array" ref="N61">INDEX(PincodeZones!C:C,MATCH(1,(PincodeZones!A:A=C61)*(PincodeZones!B:B=D61),0))</f>
        <v>b</v>
      </c>
      <c r="O61" s="12">
        <f t="array" ref="O61">INDEX(RatesTable!E:E,MATCH(1,(RatesTable!B:B=G61)*(RatesTable!C:C=N61)*(RatesTable!D:D="fixed"),0))</f>
        <v>33</v>
      </c>
      <c r="P61" s="12">
        <f t="array" ref="P61">((M61-0.5)/0.5)*INDEX(RatesTable!E:E,MATCH(1,(RatesTable!B:B=G61)*(RatesTable!C:C=N61)*(RatesTable!D:D="additional"),0))</f>
        <v>0</v>
      </c>
      <c r="Q61" s="12">
        <f t="array" ref="Q61">IFNA(INDEX(RatesTable!E:E,MATCH(1,(RatesTable!B:B=I61)*(RatesTable!C:C=N61)*(RatesTable!D:D="fixed"),0)),0)</f>
        <v>0</v>
      </c>
      <c r="R61" s="13">
        <f t="array" ref="R61">((M61-0.5)/0.5)*IFNA(INDEX(RatesTable!E:E,MATCH(1,(RatesTable!B:B=I61)*(RatesTable!C:C=N61)*(RatesTable!D:D="additional"),0)),0)</f>
        <v>0</v>
      </c>
      <c r="S61" s="12">
        <f t="shared" si="8"/>
        <v>33</v>
      </c>
      <c r="T61" s="12" t="str">
        <f t="array" ref="T61">INDEX(Invoice!C:C,MATCH(B61,(Invoice!A:A),0))</f>
        <v>1.63</v>
      </c>
      <c r="U61" s="12">
        <f t="shared" si="9"/>
        <v>1630</v>
      </c>
      <c r="V61" s="12">
        <f t="shared" si="10"/>
        <v>2</v>
      </c>
      <c r="W61" s="12" t="str">
        <f t="array" ref="W61">INDEX(Invoice!F:F,MATCH(B61,(Invoice!A:A),0))</f>
        <v>d</v>
      </c>
      <c r="X61" s="14">
        <f t="array" ref="X61">INDEX(Invoice!H:H,MATCH(B61,(Invoice!A:A),0))</f>
        <v>179.8</v>
      </c>
      <c r="Y61" s="15">
        <f t="shared" si="11"/>
        <v>-146.8</v>
      </c>
      <c r="Z61" s="16">
        <f t="shared" si="12"/>
        <v>-444.8484848</v>
      </c>
      <c r="AA61" s="16">
        <f t="shared" si="13"/>
        <v>150</v>
      </c>
      <c r="AB61" s="16">
        <f t="shared" si="14"/>
        <v>0</v>
      </c>
    </row>
    <row r="62" ht="15.75" customHeight="1">
      <c r="A62" s="11" t="str">
        <f>IFERROR(__xludf.DUMMYFUNCTION("""COMPUTED_VALUE"""),"2001808679")</f>
        <v>2001808679</v>
      </c>
      <c r="B62" s="11" t="str">
        <f t="array" ref="B62">INDEX(Invoice!A:A,MATCH(Calculations!A62,Invoice!B:B,0))</f>
        <v>1091117437035</v>
      </c>
      <c r="C62" s="12">
        <f t="array" ref="C62">INDEX(Invoice!D:D,MATCH(Calculations!A62,Invoice!B:B,0))</f>
        <v>121003</v>
      </c>
      <c r="D62" s="11" t="str">
        <f t="array" ref="D62">INDEX(Invoice!E:E,MATCH(Calculations!A62,Invoice!B:B,0))</f>
        <v>303903</v>
      </c>
      <c r="E62" s="12" t="str">
        <f t="array" ref="E62">INDEX(Invoice!G:G,MATCH(Calculations!A62,Invoice!B:B,0))</f>
        <v>Forward charges</v>
      </c>
      <c r="F62" s="12" t="str">
        <f t="shared" si="1"/>
        <v>Yes</v>
      </c>
      <c r="G62" s="13" t="str">
        <f t="shared" si="2"/>
        <v>fwd</v>
      </c>
      <c r="H62" s="13" t="str">
        <f t="shared" si="3"/>
        <v>No</v>
      </c>
      <c r="I62" s="12" t="str">
        <f t="shared" si="4"/>
        <v/>
      </c>
      <c r="J62" s="12">
        <f>SUMIF(OrderReport!A:A,A62,OrderReport!E:E)</f>
        <v>500</v>
      </c>
      <c r="K62" s="12">
        <f t="shared" si="5"/>
        <v>0.5</v>
      </c>
      <c r="L62" s="12">
        <f t="shared" si="6"/>
        <v>500</v>
      </c>
      <c r="M62" s="12">
        <f t="shared" si="7"/>
        <v>0.5</v>
      </c>
      <c r="N62" s="11" t="str">
        <f t="array" ref="N62">INDEX(PincodeZones!C:C,MATCH(1,(PincodeZones!A:A=C62)*(PincodeZones!B:B=D62),0))</f>
        <v>b</v>
      </c>
      <c r="O62" s="12">
        <f t="array" ref="O62">INDEX(RatesTable!E:E,MATCH(1,(RatesTable!B:B=G62)*(RatesTable!C:C=N62)*(RatesTable!D:D="fixed"),0))</f>
        <v>33</v>
      </c>
      <c r="P62" s="12">
        <f t="array" ref="P62">((M62-0.5)/0.5)*INDEX(RatesTable!E:E,MATCH(1,(RatesTable!B:B=G62)*(RatesTable!C:C=N62)*(RatesTable!D:D="additional"),0))</f>
        <v>0</v>
      </c>
      <c r="Q62" s="12">
        <f t="array" ref="Q62">IFNA(INDEX(RatesTable!E:E,MATCH(1,(RatesTable!B:B=I62)*(RatesTable!C:C=N62)*(RatesTable!D:D="fixed"),0)),0)</f>
        <v>0</v>
      </c>
      <c r="R62" s="13">
        <f t="array" ref="R62">((M62-0.5)/0.5)*IFNA(INDEX(RatesTable!E:E,MATCH(1,(RatesTable!B:B=I62)*(RatesTable!C:C=N62)*(RatesTable!D:D="additional"),0)),0)</f>
        <v>0</v>
      </c>
      <c r="S62" s="12">
        <f t="shared" si="8"/>
        <v>33</v>
      </c>
      <c r="T62" s="12" t="str">
        <f t="array" ref="T62">INDEX(Invoice!C:C,MATCH(B62,(Invoice!A:A),0))</f>
        <v>0.72</v>
      </c>
      <c r="U62" s="12">
        <f t="shared" si="9"/>
        <v>720</v>
      </c>
      <c r="V62" s="12">
        <f t="shared" si="10"/>
        <v>1</v>
      </c>
      <c r="W62" s="12" t="str">
        <f t="array" ref="W62">INDEX(Invoice!F:F,MATCH(B62,(Invoice!A:A),0))</f>
        <v>d</v>
      </c>
      <c r="X62" s="14">
        <f t="array" ref="X62">INDEX(Invoice!H:H,MATCH(B62,(Invoice!A:A),0))</f>
        <v>90.2</v>
      </c>
      <c r="Y62" s="15">
        <f t="shared" si="11"/>
        <v>-57.2</v>
      </c>
      <c r="Z62" s="16">
        <f t="shared" si="12"/>
        <v>-173.3333333</v>
      </c>
      <c r="AA62" s="16">
        <f t="shared" si="13"/>
        <v>66</v>
      </c>
      <c r="AB62" s="16">
        <f t="shared" si="14"/>
        <v>0</v>
      </c>
    </row>
    <row r="63" ht="15.75" customHeight="1">
      <c r="A63" s="11" t="str">
        <f>IFERROR(__xludf.DUMMYFUNCTION("""COMPUTED_VALUE"""),"2001808675")</f>
        <v>2001808675</v>
      </c>
      <c r="B63" s="11" t="str">
        <f t="array" ref="B63">INDEX(Invoice!A:A,MATCH(Calculations!A63,Invoice!B:B,0))</f>
        <v>1091117437050</v>
      </c>
      <c r="C63" s="12">
        <f t="array" ref="C63">INDEX(Invoice!D:D,MATCH(Calculations!A63,Invoice!B:B,0))</f>
        <v>121003</v>
      </c>
      <c r="D63" s="11" t="str">
        <f t="array" ref="D63">INDEX(Invoice!E:E,MATCH(Calculations!A63,Invoice!B:B,0))</f>
        <v>226010</v>
      </c>
      <c r="E63" s="12" t="str">
        <f t="array" ref="E63">INDEX(Invoice!G:G,MATCH(Calculations!A63,Invoice!B:B,0))</f>
        <v>Forward charges</v>
      </c>
      <c r="F63" s="12" t="str">
        <f t="shared" si="1"/>
        <v>Yes</v>
      </c>
      <c r="G63" s="13" t="str">
        <f t="shared" si="2"/>
        <v>fwd</v>
      </c>
      <c r="H63" s="13" t="str">
        <f t="shared" si="3"/>
        <v>No</v>
      </c>
      <c r="I63" s="12" t="str">
        <f t="shared" si="4"/>
        <v/>
      </c>
      <c r="J63" s="12">
        <f>SUMIF(OrderReport!A:A,A63,OrderReport!E:E)</f>
        <v>1183</v>
      </c>
      <c r="K63" s="12">
        <f t="shared" si="5"/>
        <v>1.183</v>
      </c>
      <c r="L63" s="12">
        <f t="shared" si="6"/>
        <v>1500</v>
      </c>
      <c r="M63" s="12">
        <f t="shared" si="7"/>
        <v>1.5</v>
      </c>
      <c r="N63" s="11" t="str">
        <f t="array" ref="N63">INDEX(PincodeZones!C:C,MATCH(1,(PincodeZones!A:A=C63)*(PincodeZones!B:B=D63),0))</f>
        <v>b</v>
      </c>
      <c r="O63" s="12">
        <f t="array" ref="O63">INDEX(RatesTable!E:E,MATCH(1,(RatesTable!B:B=G63)*(RatesTable!C:C=N63)*(RatesTable!D:D="fixed"),0))</f>
        <v>33</v>
      </c>
      <c r="P63" s="12">
        <f t="array" ref="P63">((M63-0.5)/0.5)*INDEX(RatesTable!E:E,MATCH(1,(RatesTable!B:B=G63)*(RatesTable!C:C=N63)*(RatesTable!D:D="additional"),0))</f>
        <v>56.6</v>
      </c>
      <c r="Q63" s="12">
        <f t="array" ref="Q63">IFNA(INDEX(RatesTable!E:E,MATCH(1,(RatesTable!B:B=I63)*(RatesTable!C:C=N63)*(RatesTable!D:D="fixed"),0)),0)</f>
        <v>0</v>
      </c>
      <c r="R63" s="13">
        <f t="array" ref="R63">((M63-0.5)/0.5)*IFNA(INDEX(RatesTable!E:E,MATCH(1,(RatesTable!B:B=I63)*(RatesTable!C:C=N63)*(RatesTable!D:D="additional"),0)),0)</f>
        <v>0</v>
      </c>
      <c r="S63" s="12">
        <f t="shared" si="8"/>
        <v>89.6</v>
      </c>
      <c r="T63" s="12" t="str">
        <f t="array" ref="T63">INDEX(Invoice!C:C,MATCH(B63,(Invoice!A:A),0))</f>
        <v>1.2</v>
      </c>
      <c r="U63" s="12">
        <f t="shared" si="9"/>
        <v>1200</v>
      </c>
      <c r="V63" s="12">
        <f t="shared" si="10"/>
        <v>1.5</v>
      </c>
      <c r="W63" s="12" t="str">
        <f t="array" ref="W63">INDEX(Invoice!F:F,MATCH(B63,(Invoice!A:A),0))</f>
        <v>b</v>
      </c>
      <c r="X63" s="14">
        <f t="array" ref="X63">INDEX(Invoice!H:H,MATCH(B63,(Invoice!A:A),0))</f>
        <v>89.6</v>
      </c>
      <c r="Y63" s="15">
        <f t="shared" si="11"/>
        <v>0</v>
      </c>
      <c r="Z63" s="16">
        <f t="shared" si="12"/>
        <v>0</v>
      </c>
      <c r="AA63" s="16">
        <f t="shared" si="13"/>
        <v>75.73964497</v>
      </c>
      <c r="AB63" s="16">
        <f t="shared" si="14"/>
        <v>0</v>
      </c>
    </row>
    <row r="64" ht="15.75" customHeight="1">
      <c r="A64" s="11" t="str">
        <f>IFERROR(__xludf.DUMMYFUNCTION("""COMPUTED_VALUE"""),"2001808585")</f>
        <v>2001808585</v>
      </c>
      <c r="B64" s="11" t="str">
        <f t="array" ref="B64">INDEX(Invoice!A:A,MATCH(Calculations!A64,Invoice!B:B,0))</f>
        <v>1091117436652</v>
      </c>
      <c r="C64" s="12">
        <f t="array" ref="C64">INDEX(Invoice!D:D,MATCH(Calculations!A64,Invoice!B:B,0))</f>
        <v>121003</v>
      </c>
      <c r="D64" s="11" t="str">
        <f t="array" ref="D64">INDEX(Invoice!E:E,MATCH(Calculations!A64,Invoice!B:B,0))</f>
        <v>175101</v>
      </c>
      <c r="E64" s="12" t="str">
        <f t="array" ref="E64">INDEX(Invoice!G:G,MATCH(Calculations!A64,Invoice!B:B,0))</f>
        <v>Forward charges</v>
      </c>
      <c r="F64" s="12" t="str">
        <f t="shared" si="1"/>
        <v>Yes</v>
      </c>
      <c r="G64" s="13" t="str">
        <f t="shared" si="2"/>
        <v>fwd</v>
      </c>
      <c r="H64" s="13" t="str">
        <f t="shared" si="3"/>
        <v>No</v>
      </c>
      <c r="I64" s="12" t="str">
        <f t="shared" si="4"/>
        <v/>
      </c>
      <c r="J64" s="12">
        <f>SUMIF(OrderReport!A:A,A64,OrderReport!E:E)</f>
        <v>500</v>
      </c>
      <c r="K64" s="12">
        <f t="shared" si="5"/>
        <v>0.5</v>
      </c>
      <c r="L64" s="12">
        <f t="shared" si="6"/>
        <v>500</v>
      </c>
      <c r="M64" s="12">
        <f t="shared" si="7"/>
        <v>0.5</v>
      </c>
      <c r="N64" s="11" t="str">
        <f t="array" ref="N64">INDEX(PincodeZones!C:C,MATCH(1,(PincodeZones!A:A=C64)*(PincodeZones!B:B=D64),0))</f>
        <v>e</v>
      </c>
      <c r="O64" s="12">
        <f t="array" ref="O64">INDEX(RatesTable!E:E,MATCH(1,(RatesTable!B:B=G64)*(RatesTable!C:C=N64)*(RatesTable!D:D="fixed"),0))</f>
        <v>56.6</v>
      </c>
      <c r="P64" s="12">
        <f t="array" ref="P64">((M64-0.5)/0.5)*INDEX(RatesTable!E:E,MATCH(1,(RatesTable!B:B=G64)*(RatesTable!C:C=N64)*(RatesTable!D:D="additional"),0))</f>
        <v>0</v>
      </c>
      <c r="Q64" s="12">
        <f t="array" ref="Q64">IFNA(INDEX(RatesTable!E:E,MATCH(1,(RatesTable!B:B=I64)*(RatesTable!C:C=N64)*(RatesTable!D:D="fixed"),0)),0)</f>
        <v>0</v>
      </c>
      <c r="R64" s="13">
        <f t="array" ref="R64">((M64-0.5)/0.5)*IFNA(INDEX(RatesTable!E:E,MATCH(1,(RatesTable!B:B=I64)*(RatesTable!C:C=N64)*(RatesTable!D:D="additional"),0)),0)</f>
        <v>0</v>
      </c>
      <c r="S64" s="12">
        <f t="shared" si="8"/>
        <v>56.6</v>
      </c>
      <c r="T64" s="12" t="str">
        <f t="array" ref="T64">INDEX(Invoice!C:C,MATCH(B64,(Invoice!A:A),0))</f>
        <v>0.72</v>
      </c>
      <c r="U64" s="12">
        <f t="shared" si="9"/>
        <v>720</v>
      </c>
      <c r="V64" s="12">
        <f t="shared" si="10"/>
        <v>1</v>
      </c>
      <c r="W64" s="12" t="str">
        <f t="array" ref="W64">INDEX(Invoice!F:F,MATCH(B64,(Invoice!A:A),0))</f>
        <v>b</v>
      </c>
      <c r="X64" s="14">
        <f t="array" ref="X64">INDEX(Invoice!H:H,MATCH(B64,(Invoice!A:A),0))</f>
        <v>61.3</v>
      </c>
      <c r="Y64" s="15">
        <f t="shared" si="11"/>
        <v>-4.7</v>
      </c>
      <c r="Z64" s="16">
        <f t="shared" si="12"/>
        <v>-8.303886926</v>
      </c>
      <c r="AA64" s="16">
        <f t="shared" si="13"/>
        <v>113.2</v>
      </c>
      <c r="AB64" s="16">
        <f t="shared" si="14"/>
        <v>0</v>
      </c>
    </row>
    <row r="65" ht="15.75" customHeight="1">
      <c r="A65" s="11" t="str">
        <f>IFERROR(__xludf.DUMMYFUNCTION("""COMPUTED_VALUE"""),"2001808542")</f>
        <v>2001808542</v>
      </c>
      <c r="B65" s="11" t="str">
        <f t="array" ref="B65">INDEX(Invoice!A:A,MATCH(Calculations!A65,Invoice!B:B,0))</f>
        <v>1091117436464</v>
      </c>
      <c r="C65" s="12">
        <f t="array" ref="C65">INDEX(Invoice!D:D,MATCH(Calculations!A65,Invoice!B:B,0))</f>
        <v>121003</v>
      </c>
      <c r="D65" s="11" t="str">
        <f t="array" ref="D65">INDEX(Invoice!E:E,MATCH(Calculations!A65,Invoice!B:B,0))</f>
        <v>416010</v>
      </c>
      <c r="E65" s="12" t="str">
        <f t="array" ref="E65">INDEX(Invoice!G:G,MATCH(Calculations!A65,Invoice!B:B,0))</f>
        <v>Forward charges</v>
      </c>
      <c r="F65" s="12" t="str">
        <f t="shared" si="1"/>
        <v>Yes</v>
      </c>
      <c r="G65" s="13" t="str">
        <f t="shared" si="2"/>
        <v>fwd</v>
      </c>
      <c r="H65" s="13" t="str">
        <f t="shared" si="3"/>
        <v>No</v>
      </c>
      <c r="I65" s="12" t="str">
        <f t="shared" si="4"/>
        <v/>
      </c>
      <c r="J65" s="12">
        <f>SUMIF(OrderReport!A:A,A65,OrderReport!E:E)</f>
        <v>734</v>
      </c>
      <c r="K65" s="12">
        <f t="shared" si="5"/>
        <v>0.734</v>
      </c>
      <c r="L65" s="12">
        <f t="shared" si="6"/>
        <v>1000</v>
      </c>
      <c r="M65" s="12">
        <f t="shared" si="7"/>
        <v>1</v>
      </c>
      <c r="N65" s="11" t="str">
        <f t="array" ref="N65">INDEX(PincodeZones!C:C,MATCH(1,(PincodeZones!A:A=C65)*(PincodeZones!B:B=D65),0))</f>
        <v>d</v>
      </c>
      <c r="O65" s="12">
        <f t="array" ref="O65">INDEX(RatesTable!E:E,MATCH(1,(RatesTable!B:B=G65)*(RatesTable!C:C=N65)*(RatesTable!D:D="fixed"),0))</f>
        <v>45.4</v>
      </c>
      <c r="P65" s="12">
        <f t="array" ref="P65">((M65-0.5)/0.5)*INDEX(RatesTable!E:E,MATCH(1,(RatesTable!B:B=G65)*(RatesTable!C:C=N65)*(RatesTable!D:D="additional"),0))</f>
        <v>44.8</v>
      </c>
      <c r="Q65" s="12">
        <f t="array" ref="Q65">IFNA(INDEX(RatesTable!E:E,MATCH(1,(RatesTable!B:B=I65)*(RatesTable!C:C=N65)*(RatesTable!D:D="fixed"),0)),0)</f>
        <v>0</v>
      </c>
      <c r="R65" s="13">
        <f t="array" ref="R65">((M65-0.5)/0.5)*IFNA(INDEX(RatesTable!E:E,MATCH(1,(RatesTable!B:B=I65)*(RatesTable!C:C=N65)*(RatesTable!D:D="additional"),0)),0)</f>
        <v>0</v>
      </c>
      <c r="S65" s="12">
        <f t="shared" si="8"/>
        <v>90.2</v>
      </c>
      <c r="T65" s="12" t="str">
        <f t="array" ref="T65">INDEX(Invoice!C:C,MATCH(B65,(Invoice!A:A),0))</f>
        <v>0.86</v>
      </c>
      <c r="U65" s="12">
        <f t="shared" si="9"/>
        <v>860</v>
      </c>
      <c r="V65" s="12">
        <f t="shared" si="10"/>
        <v>1</v>
      </c>
      <c r="W65" s="12" t="str">
        <f t="array" ref="W65">INDEX(Invoice!F:F,MATCH(B65,(Invoice!A:A),0))</f>
        <v>d</v>
      </c>
      <c r="X65" s="14">
        <f t="array" ref="X65">INDEX(Invoice!H:H,MATCH(B65,(Invoice!A:A),0))</f>
        <v>90.2</v>
      </c>
      <c r="Y65" s="15">
        <f t="shared" si="11"/>
        <v>0</v>
      </c>
      <c r="Z65" s="16">
        <f t="shared" si="12"/>
        <v>0</v>
      </c>
      <c r="AA65" s="16">
        <f t="shared" si="13"/>
        <v>122.8882834</v>
      </c>
      <c r="AB65" s="16">
        <f t="shared" si="14"/>
        <v>0</v>
      </c>
    </row>
    <row r="66" ht="15.75" customHeight="1">
      <c r="A66" s="11" t="str">
        <f>IFERROR(__xludf.DUMMYFUNCTION("""COMPUTED_VALUE"""),"2001808507")</f>
        <v>2001808507</v>
      </c>
      <c r="B66" s="11" t="str">
        <f t="array" ref="B66">INDEX(Invoice!A:A,MATCH(Calculations!A66,Invoice!B:B,0))</f>
        <v>1091117436383</v>
      </c>
      <c r="C66" s="12">
        <f t="array" ref="C66">INDEX(Invoice!D:D,MATCH(Calculations!A66,Invoice!B:B,0))</f>
        <v>121003</v>
      </c>
      <c r="D66" s="11" t="str">
        <f t="array" ref="D66">INDEX(Invoice!E:E,MATCH(Calculations!A66,Invoice!B:B,0))</f>
        <v>208002</v>
      </c>
      <c r="E66" s="12" t="str">
        <f t="array" ref="E66">INDEX(Invoice!G:G,MATCH(Calculations!A66,Invoice!B:B,0))</f>
        <v>Forward charges</v>
      </c>
      <c r="F66" s="12" t="str">
        <f t="shared" si="1"/>
        <v>Yes</v>
      </c>
      <c r="G66" s="13" t="str">
        <f t="shared" si="2"/>
        <v>fwd</v>
      </c>
      <c r="H66" s="13" t="str">
        <f t="shared" si="3"/>
        <v>No</v>
      </c>
      <c r="I66" s="12" t="str">
        <f t="shared" si="4"/>
        <v/>
      </c>
      <c r="J66" s="12">
        <f>SUMIF(OrderReport!A:A,A66,OrderReport!E:E)</f>
        <v>607</v>
      </c>
      <c r="K66" s="12">
        <f t="shared" si="5"/>
        <v>0.607</v>
      </c>
      <c r="L66" s="12">
        <f t="shared" si="6"/>
        <v>1000</v>
      </c>
      <c r="M66" s="12">
        <f t="shared" si="7"/>
        <v>1</v>
      </c>
      <c r="N66" s="11" t="str">
        <f t="array" ref="N66">INDEX(PincodeZones!C:C,MATCH(1,(PincodeZones!A:A=C66)*(PincodeZones!B:B=D66),0))</f>
        <v>b</v>
      </c>
      <c r="O66" s="12">
        <f t="array" ref="O66">INDEX(RatesTable!E:E,MATCH(1,(RatesTable!B:B=G66)*(RatesTable!C:C=N66)*(RatesTable!D:D="fixed"),0))</f>
        <v>33</v>
      </c>
      <c r="P66" s="12">
        <f t="array" ref="P66">((M66-0.5)/0.5)*INDEX(RatesTable!E:E,MATCH(1,(RatesTable!B:B=G66)*(RatesTable!C:C=N66)*(RatesTable!D:D="additional"),0))</f>
        <v>28.3</v>
      </c>
      <c r="Q66" s="12">
        <f t="array" ref="Q66">IFNA(INDEX(RatesTable!E:E,MATCH(1,(RatesTable!B:B=I66)*(RatesTable!C:C=N66)*(RatesTable!D:D="fixed"),0)),0)</f>
        <v>0</v>
      </c>
      <c r="R66" s="13">
        <f t="array" ref="R66">((M66-0.5)/0.5)*IFNA(INDEX(RatesTable!E:E,MATCH(1,(RatesTable!B:B=I66)*(RatesTable!C:C=N66)*(RatesTable!D:D="additional"),0)),0)</f>
        <v>0</v>
      </c>
      <c r="S66" s="12">
        <f t="shared" si="8"/>
        <v>61.3</v>
      </c>
      <c r="T66" s="12" t="str">
        <f t="array" ref="T66">INDEX(Invoice!C:C,MATCH(B66,(Invoice!A:A),0))</f>
        <v>0.79</v>
      </c>
      <c r="U66" s="12">
        <f t="shared" si="9"/>
        <v>790</v>
      </c>
      <c r="V66" s="12">
        <f t="shared" si="10"/>
        <v>1</v>
      </c>
      <c r="W66" s="12" t="str">
        <f t="array" ref="W66">INDEX(Invoice!F:F,MATCH(B66,(Invoice!A:A),0))</f>
        <v>b</v>
      </c>
      <c r="X66" s="14">
        <f t="array" ref="X66">INDEX(Invoice!H:H,MATCH(B66,(Invoice!A:A),0))</f>
        <v>61.3</v>
      </c>
      <c r="Y66" s="15">
        <f t="shared" si="11"/>
        <v>0</v>
      </c>
      <c r="Z66" s="16">
        <f t="shared" si="12"/>
        <v>0</v>
      </c>
      <c r="AA66" s="16">
        <f t="shared" si="13"/>
        <v>100.9884679</v>
      </c>
      <c r="AB66" s="16">
        <f t="shared" si="14"/>
        <v>0</v>
      </c>
    </row>
    <row r="67" ht="15.75" customHeight="1">
      <c r="A67" s="11" t="str">
        <f>IFERROR(__xludf.DUMMYFUNCTION("""COMPUTED_VALUE"""),"2001808475")</f>
        <v>2001808475</v>
      </c>
      <c r="B67" s="11" t="str">
        <f t="array" ref="B67">INDEX(Invoice!A:A,MATCH(Calculations!A67,Invoice!B:B,0))</f>
        <v>1091117436346</v>
      </c>
      <c r="C67" s="12">
        <f t="array" ref="C67">INDEX(Invoice!D:D,MATCH(Calculations!A67,Invoice!B:B,0))</f>
        <v>121003</v>
      </c>
      <c r="D67" s="11" t="str">
        <f t="array" ref="D67">INDEX(Invoice!E:E,MATCH(Calculations!A67,Invoice!B:B,0))</f>
        <v>335001</v>
      </c>
      <c r="E67" s="12" t="str">
        <f t="array" ref="E67">INDEX(Invoice!G:G,MATCH(Calculations!A67,Invoice!B:B,0))</f>
        <v>Forward charges</v>
      </c>
      <c r="F67" s="12" t="str">
        <f t="shared" si="1"/>
        <v>Yes</v>
      </c>
      <c r="G67" s="13" t="str">
        <f t="shared" si="2"/>
        <v>fwd</v>
      </c>
      <c r="H67" s="13" t="str">
        <f t="shared" si="3"/>
        <v>No</v>
      </c>
      <c r="I67" s="12" t="str">
        <f t="shared" si="4"/>
        <v/>
      </c>
      <c r="J67" s="12">
        <f>SUMIF(OrderReport!A:A,A67,OrderReport!E:E)</f>
        <v>500</v>
      </c>
      <c r="K67" s="12">
        <f t="shared" si="5"/>
        <v>0.5</v>
      </c>
      <c r="L67" s="12">
        <f t="shared" si="6"/>
        <v>500</v>
      </c>
      <c r="M67" s="12">
        <f t="shared" si="7"/>
        <v>0.5</v>
      </c>
      <c r="N67" s="11" t="str">
        <f t="array" ref="N67">INDEX(PincodeZones!C:C,MATCH(1,(PincodeZones!A:A=C67)*(PincodeZones!B:B=D67),0))</f>
        <v>b</v>
      </c>
      <c r="O67" s="12">
        <f t="array" ref="O67">INDEX(RatesTable!E:E,MATCH(1,(RatesTable!B:B=G67)*(RatesTable!C:C=N67)*(RatesTable!D:D="fixed"),0))</f>
        <v>33</v>
      </c>
      <c r="P67" s="12">
        <f t="array" ref="P67">((M67-0.5)/0.5)*INDEX(RatesTable!E:E,MATCH(1,(RatesTable!B:B=G67)*(RatesTable!C:C=N67)*(RatesTable!D:D="additional"),0))</f>
        <v>0</v>
      </c>
      <c r="Q67" s="12">
        <f t="array" ref="Q67">IFNA(INDEX(RatesTable!E:E,MATCH(1,(RatesTable!B:B=I67)*(RatesTable!C:C=N67)*(RatesTable!D:D="fixed"),0)),0)</f>
        <v>0</v>
      </c>
      <c r="R67" s="13">
        <f t="array" ref="R67">((M67-0.5)/0.5)*IFNA(INDEX(RatesTable!E:E,MATCH(1,(RatesTable!B:B=I67)*(RatesTable!C:C=N67)*(RatesTable!D:D="additional"),0)),0)</f>
        <v>0</v>
      </c>
      <c r="S67" s="12">
        <f t="shared" si="8"/>
        <v>33</v>
      </c>
      <c r="T67" s="12" t="str">
        <f t="array" ref="T67">INDEX(Invoice!C:C,MATCH(B67,(Invoice!A:A),0))</f>
        <v>0.7</v>
      </c>
      <c r="U67" s="12">
        <f t="shared" si="9"/>
        <v>700</v>
      </c>
      <c r="V67" s="12">
        <f t="shared" si="10"/>
        <v>1</v>
      </c>
      <c r="W67" s="12" t="str">
        <f t="array" ref="W67">INDEX(Invoice!F:F,MATCH(B67,(Invoice!A:A),0))</f>
        <v>d</v>
      </c>
      <c r="X67" s="14">
        <f t="array" ref="X67">INDEX(Invoice!H:H,MATCH(B67,(Invoice!A:A),0))</f>
        <v>90.2</v>
      </c>
      <c r="Y67" s="15">
        <f t="shared" si="11"/>
        <v>-57.2</v>
      </c>
      <c r="Z67" s="16">
        <f t="shared" si="12"/>
        <v>-173.3333333</v>
      </c>
      <c r="AA67" s="16">
        <f t="shared" si="13"/>
        <v>66</v>
      </c>
      <c r="AB67" s="16">
        <f t="shared" si="14"/>
        <v>0</v>
      </c>
    </row>
    <row r="68" ht="15.75" customHeight="1">
      <c r="A68" s="11" t="str">
        <f>IFERROR(__xludf.DUMMYFUNCTION("""COMPUTED_VALUE"""),"2001808295")</f>
        <v>2001808295</v>
      </c>
      <c r="B68" s="11" t="str">
        <f t="array" ref="B68">INDEX(Invoice!A:A,MATCH(Calculations!A68,Invoice!B:B,0))</f>
        <v>1091117435661</v>
      </c>
      <c r="C68" s="12">
        <f t="array" ref="C68">INDEX(Invoice!D:D,MATCH(Calculations!A68,Invoice!B:B,0))</f>
        <v>121003</v>
      </c>
      <c r="D68" s="11" t="str">
        <f t="array" ref="D68">INDEX(Invoice!E:E,MATCH(Calculations!A68,Invoice!B:B,0))</f>
        <v>673002</v>
      </c>
      <c r="E68" s="12" t="str">
        <f t="array" ref="E68">INDEX(Invoice!G:G,MATCH(Calculations!A68,Invoice!B:B,0))</f>
        <v>Forward and RTO charges</v>
      </c>
      <c r="F68" s="12" t="str">
        <f t="shared" si="1"/>
        <v>Yes</v>
      </c>
      <c r="G68" s="13" t="str">
        <f t="shared" si="2"/>
        <v>fwd</v>
      </c>
      <c r="H68" s="13" t="str">
        <f t="shared" si="3"/>
        <v>Yes</v>
      </c>
      <c r="I68" s="12" t="str">
        <f t="shared" si="4"/>
        <v>rto</v>
      </c>
      <c r="J68" s="12">
        <f>SUMIF(OrderReport!A:A,A68,OrderReport!E:E)</f>
        <v>245</v>
      </c>
      <c r="K68" s="12">
        <f t="shared" si="5"/>
        <v>0.245</v>
      </c>
      <c r="L68" s="12">
        <f t="shared" si="6"/>
        <v>500</v>
      </c>
      <c r="M68" s="12">
        <f t="shared" si="7"/>
        <v>0.5</v>
      </c>
      <c r="N68" s="11" t="str">
        <f t="array" ref="N68">INDEX(PincodeZones!C:C,MATCH(1,(PincodeZones!A:A=C68)*(PincodeZones!B:B=D68),0))</f>
        <v>e</v>
      </c>
      <c r="O68" s="12">
        <f t="array" ref="O68">INDEX(RatesTable!E:E,MATCH(1,(RatesTable!B:B=G68)*(RatesTable!C:C=N68)*(RatesTable!D:D="fixed"),0))</f>
        <v>56.6</v>
      </c>
      <c r="P68" s="12">
        <f t="array" ref="P68">((M68-0.5)/0.5)*INDEX(RatesTable!E:E,MATCH(1,(RatesTable!B:B=G68)*(RatesTable!C:C=N68)*(RatesTable!D:D="additional"),0))</f>
        <v>0</v>
      </c>
      <c r="Q68" s="12">
        <f t="array" ref="Q68">IFNA(INDEX(RatesTable!E:E,MATCH(1,(RatesTable!B:B=I68)*(RatesTable!C:C=N68)*(RatesTable!D:D="fixed"),0)),0)</f>
        <v>50.7</v>
      </c>
      <c r="R68" s="13">
        <f t="array" ref="R68">((M68-0.5)/0.5)*IFNA(INDEX(RatesTable!E:E,MATCH(1,(RatesTable!B:B=I68)*(RatesTable!C:C=N68)*(RatesTable!D:D="additional"),0)),0)</f>
        <v>0</v>
      </c>
      <c r="S68" s="12">
        <f t="shared" si="8"/>
        <v>107.3</v>
      </c>
      <c r="T68" s="12" t="str">
        <f t="array" ref="T68">INDEX(Invoice!C:C,MATCH(B68,(Invoice!A:A),0))</f>
        <v>0.2</v>
      </c>
      <c r="U68" s="12">
        <f t="shared" si="9"/>
        <v>200</v>
      </c>
      <c r="V68" s="12">
        <f t="shared" si="10"/>
        <v>0.5</v>
      </c>
      <c r="W68" s="12" t="str">
        <f t="array" ref="W68">INDEX(Invoice!F:F,MATCH(B68,(Invoice!A:A),0))</f>
        <v>e</v>
      </c>
      <c r="X68" s="14">
        <f t="array" ref="X68">INDEX(Invoice!H:H,MATCH(B68,(Invoice!A:A),0))</f>
        <v>107.3</v>
      </c>
      <c r="Y68" s="15">
        <f t="shared" si="11"/>
        <v>0</v>
      </c>
      <c r="Z68" s="16">
        <f t="shared" si="12"/>
        <v>0</v>
      </c>
      <c r="AA68" s="16">
        <f t="shared" si="13"/>
        <v>231.0204082</v>
      </c>
      <c r="AB68" s="16">
        <f t="shared" si="14"/>
        <v>206.9387755</v>
      </c>
    </row>
    <row r="69" ht="15.75" customHeight="1">
      <c r="A69" s="11" t="str">
        <f>IFERROR(__xludf.DUMMYFUNCTION("""COMPUTED_VALUE"""),"2001808286")</f>
        <v>2001808286</v>
      </c>
      <c r="B69" s="11" t="str">
        <f t="array" ref="B69">INDEX(Invoice!A:A,MATCH(Calculations!A69,Invoice!B:B,0))</f>
        <v>1091117435602</v>
      </c>
      <c r="C69" s="12">
        <f t="array" ref="C69">INDEX(Invoice!D:D,MATCH(Calculations!A69,Invoice!B:B,0))</f>
        <v>121003</v>
      </c>
      <c r="D69" s="11" t="str">
        <f t="array" ref="D69">INDEX(Invoice!E:E,MATCH(Calculations!A69,Invoice!B:B,0))</f>
        <v>302031</v>
      </c>
      <c r="E69" s="12" t="str">
        <f t="array" ref="E69">INDEX(Invoice!G:G,MATCH(Calculations!A69,Invoice!B:B,0))</f>
        <v>Forward charges</v>
      </c>
      <c r="F69" s="12" t="str">
        <f t="shared" si="1"/>
        <v>Yes</v>
      </c>
      <c r="G69" s="13" t="str">
        <f t="shared" si="2"/>
        <v>fwd</v>
      </c>
      <c r="H69" s="13" t="str">
        <f t="shared" si="3"/>
        <v>No</v>
      </c>
      <c r="I69" s="12" t="str">
        <f t="shared" si="4"/>
        <v/>
      </c>
      <c r="J69" s="12">
        <f>SUMIF(OrderReport!A:A,A69,OrderReport!E:E)</f>
        <v>601</v>
      </c>
      <c r="K69" s="12">
        <f t="shared" si="5"/>
        <v>0.601</v>
      </c>
      <c r="L69" s="12">
        <f t="shared" si="6"/>
        <v>1000</v>
      </c>
      <c r="M69" s="12">
        <f t="shared" si="7"/>
        <v>1</v>
      </c>
      <c r="N69" s="11" t="str">
        <f t="array" ref="N69">INDEX(PincodeZones!C:C,MATCH(1,(PincodeZones!A:A=C69)*(PincodeZones!B:B=D69),0))</f>
        <v>b</v>
      </c>
      <c r="O69" s="12">
        <f t="array" ref="O69">INDEX(RatesTable!E:E,MATCH(1,(RatesTable!B:B=G69)*(RatesTable!C:C=N69)*(RatesTable!D:D="fixed"),0))</f>
        <v>33</v>
      </c>
      <c r="P69" s="12">
        <f t="array" ref="P69">((M69-0.5)/0.5)*INDEX(RatesTable!E:E,MATCH(1,(RatesTable!B:B=G69)*(RatesTable!C:C=N69)*(RatesTable!D:D="additional"),0))</f>
        <v>28.3</v>
      </c>
      <c r="Q69" s="12">
        <f t="array" ref="Q69">IFNA(INDEX(RatesTable!E:E,MATCH(1,(RatesTable!B:B=I69)*(RatesTable!C:C=N69)*(RatesTable!D:D="fixed"),0)),0)</f>
        <v>0</v>
      </c>
      <c r="R69" s="13">
        <f t="array" ref="R69">((M69-0.5)/0.5)*IFNA(INDEX(RatesTable!E:E,MATCH(1,(RatesTable!B:B=I69)*(RatesTable!C:C=N69)*(RatesTable!D:D="additional"),0)),0)</f>
        <v>0</v>
      </c>
      <c r="S69" s="12">
        <f t="shared" si="8"/>
        <v>61.3</v>
      </c>
      <c r="T69" s="12" t="str">
        <f t="array" ref="T69">INDEX(Invoice!C:C,MATCH(B69,(Invoice!A:A),0))</f>
        <v>0.77</v>
      </c>
      <c r="U69" s="12">
        <f t="shared" si="9"/>
        <v>770</v>
      </c>
      <c r="V69" s="12">
        <f t="shared" si="10"/>
        <v>1</v>
      </c>
      <c r="W69" s="12" t="str">
        <f t="array" ref="W69">INDEX(Invoice!F:F,MATCH(B69,(Invoice!A:A),0))</f>
        <v>d</v>
      </c>
      <c r="X69" s="14">
        <f t="array" ref="X69">INDEX(Invoice!H:H,MATCH(B69,(Invoice!A:A),0))</f>
        <v>90.2</v>
      </c>
      <c r="Y69" s="15">
        <f t="shared" si="11"/>
        <v>-28.9</v>
      </c>
      <c r="Z69" s="16">
        <f t="shared" si="12"/>
        <v>-47.1451876</v>
      </c>
      <c r="AA69" s="16">
        <f t="shared" si="13"/>
        <v>101.9966722</v>
      </c>
      <c r="AB69" s="16">
        <f t="shared" si="14"/>
        <v>0</v>
      </c>
    </row>
    <row r="70" ht="15.75" customHeight="1">
      <c r="A70" s="11" t="str">
        <f>IFERROR(__xludf.DUMMYFUNCTION("""COMPUTED_VALUE"""),"2001808207")</f>
        <v>2001808207</v>
      </c>
      <c r="B70" s="11" t="str">
        <f t="array" ref="B70">INDEX(Invoice!A:A,MATCH(Calculations!A70,Invoice!B:B,0))</f>
        <v>1091117435370</v>
      </c>
      <c r="C70" s="12">
        <f t="array" ref="C70">INDEX(Invoice!D:D,MATCH(Calculations!A70,Invoice!B:B,0))</f>
        <v>121003</v>
      </c>
      <c r="D70" s="11" t="str">
        <f t="array" ref="D70">INDEX(Invoice!E:E,MATCH(Calculations!A70,Invoice!B:B,0))</f>
        <v>495671</v>
      </c>
      <c r="E70" s="12" t="str">
        <f t="array" ref="E70">INDEX(Invoice!G:G,MATCH(Calculations!A70,Invoice!B:B,0))</f>
        <v>Forward charges</v>
      </c>
      <c r="F70" s="12" t="str">
        <f t="shared" si="1"/>
        <v>Yes</v>
      </c>
      <c r="G70" s="13" t="str">
        <f t="shared" si="2"/>
        <v>fwd</v>
      </c>
      <c r="H70" s="13" t="str">
        <f t="shared" si="3"/>
        <v>No</v>
      </c>
      <c r="I70" s="12" t="str">
        <f t="shared" si="4"/>
        <v/>
      </c>
      <c r="J70" s="12">
        <f>SUMIF(OrderReport!A:A,A70,OrderReport!E:E)</f>
        <v>607</v>
      </c>
      <c r="K70" s="12">
        <f t="shared" si="5"/>
        <v>0.607</v>
      </c>
      <c r="L70" s="12">
        <f t="shared" si="6"/>
        <v>1000</v>
      </c>
      <c r="M70" s="12">
        <f t="shared" si="7"/>
        <v>1</v>
      </c>
      <c r="N70" s="11" t="str">
        <f t="array" ref="N70">INDEX(PincodeZones!C:C,MATCH(1,(PincodeZones!A:A=C70)*(PincodeZones!B:B=D70),0))</f>
        <v>d</v>
      </c>
      <c r="O70" s="12">
        <f t="array" ref="O70">INDEX(RatesTable!E:E,MATCH(1,(RatesTable!B:B=G70)*(RatesTable!C:C=N70)*(RatesTable!D:D="fixed"),0))</f>
        <v>45.4</v>
      </c>
      <c r="P70" s="12">
        <f t="array" ref="P70">((M70-0.5)/0.5)*INDEX(RatesTable!E:E,MATCH(1,(RatesTable!B:B=G70)*(RatesTable!C:C=N70)*(RatesTable!D:D="additional"),0))</f>
        <v>44.8</v>
      </c>
      <c r="Q70" s="12">
        <f t="array" ref="Q70">IFNA(INDEX(RatesTable!E:E,MATCH(1,(RatesTable!B:B=I70)*(RatesTable!C:C=N70)*(RatesTable!D:D="fixed"),0)),0)</f>
        <v>0</v>
      </c>
      <c r="R70" s="13">
        <f t="array" ref="R70">((M70-0.5)/0.5)*IFNA(INDEX(RatesTable!E:E,MATCH(1,(RatesTable!B:B=I70)*(RatesTable!C:C=N70)*(RatesTable!D:D="additional"),0)),0)</f>
        <v>0</v>
      </c>
      <c r="S70" s="12">
        <f t="shared" si="8"/>
        <v>90.2</v>
      </c>
      <c r="T70" s="12" t="str">
        <f t="array" ref="T70">INDEX(Invoice!C:C,MATCH(B70,(Invoice!A:A),0))</f>
        <v>0.79</v>
      </c>
      <c r="U70" s="12">
        <f t="shared" si="9"/>
        <v>790</v>
      </c>
      <c r="V70" s="12">
        <f t="shared" si="10"/>
        <v>1</v>
      </c>
      <c r="W70" s="12" t="str">
        <f t="array" ref="W70">INDEX(Invoice!F:F,MATCH(B70,(Invoice!A:A),0))</f>
        <v>d</v>
      </c>
      <c r="X70" s="14">
        <f t="array" ref="X70">INDEX(Invoice!H:H,MATCH(B70,(Invoice!A:A),0))</f>
        <v>90.2</v>
      </c>
      <c r="Y70" s="15">
        <f t="shared" si="11"/>
        <v>0</v>
      </c>
      <c r="Z70" s="16">
        <f t="shared" si="12"/>
        <v>0</v>
      </c>
      <c r="AA70" s="16">
        <f t="shared" si="13"/>
        <v>148.5996705</v>
      </c>
      <c r="AB70" s="16">
        <f t="shared" si="14"/>
        <v>0</v>
      </c>
    </row>
    <row r="71" ht="15.75" customHeight="1">
      <c r="A71" s="11" t="str">
        <f>IFERROR(__xludf.DUMMYFUNCTION("""COMPUTED_VALUE"""),"2001808118")</f>
        <v>2001808118</v>
      </c>
      <c r="B71" s="11" t="str">
        <f t="array" ref="B71">INDEX(Invoice!A:A,MATCH(Calculations!A71,Invoice!B:B,0))</f>
        <v>1091117435134</v>
      </c>
      <c r="C71" s="12">
        <f t="array" ref="C71">INDEX(Invoice!D:D,MATCH(Calculations!A71,Invoice!B:B,0))</f>
        <v>121003</v>
      </c>
      <c r="D71" s="11" t="str">
        <f t="array" ref="D71">INDEX(Invoice!E:E,MATCH(Calculations!A71,Invoice!B:B,0))</f>
        <v>140301</v>
      </c>
      <c r="E71" s="12" t="str">
        <f t="array" ref="E71">INDEX(Invoice!G:G,MATCH(Calculations!A71,Invoice!B:B,0))</f>
        <v>Forward charges</v>
      </c>
      <c r="F71" s="12" t="str">
        <f t="shared" si="1"/>
        <v>Yes</v>
      </c>
      <c r="G71" s="13" t="str">
        <f t="shared" si="2"/>
        <v>fwd</v>
      </c>
      <c r="H71" s="13" t="str">
        <f t="shared" si="3"/>
        <v>No</v>
      </c>
      <c r="I71" s="12" t="str">
        <f t="shared" si="4"/>
        <v/>
      </c>
      <c r="J71" s="12">
        <f>SUMIF(OrderReport!A:A,A71,OrderReport!E:E)</f>
        <v>343</v>
      </c>
      <c r="K71" s="12">
        <f t="shared" si="5"/>
        <v>0.343</v>
      </c>
      <c r="L71" s="12">
        <f t="shared" si="6"/>
        <v>500</v>
      </c>
      <c r="M71" s="12">
        <f t="shared" si="7"/>
        <v>0.5</v>
      </c>
      <c r="N71" s="11" t="str">
        <f t="array" ref="N71">INDEX(PincodeZones!C:C,MATCH(1,(PincodeZones!A:A=C71)*(PincodeZones!B:B=D71),0))</f>
        <v>b</v>
      </c>
      <c r="O71" s="12">
        <f t="array" ref="O71">INDEX(RatesTable!E:E,MATCH(1,(RatesTable!B:B=G71)*(RatesTable!C:C=N71)*(RatesTable!D:D="fixed"),0))</f>
        <v>33</v>
      </c>
      <c r="P71" s="12">
        <f t="array" ref="P71">((M71-0.5)/0.5)*INDEX(RatesTable!E:E,MATCH(1,(RatesTable!B:B=G71)*(RatesTable!C:C=N71)*(RatesTable!D:D="additional"),0))</f>
        <v>0</v>
      </c>
      <c r="Q71" s="12">
        <f t="array" ref="Q71">IFNA(INDEX(RatesTable!E:E,MATCH(1,(RatesTable!B:B=I71)*(RatesTable!C:C=N71)*(RatesTable!D:D="fixed"),0)),0)</f>
        <v>0</v>
      </c>
      <c r="R71" s="13">
        <f t="array" ref="R71">((M71-0.5)/0.5)*IFNA(INDEX(RatesTable!E:E,MATCH(1,(RatesTable!B:B=I71)*(RatesTable!C:C=N71)*(RatesTable!D:D="additional"),0)),0)</f>
        <v>0</v>
      </c>
      <c r="S71" s="12">
        <f t="shared" si="8"/>
        <v>33</v>
      </c>
      <c r="T71" s="12" t="str">
        <f t="array" ref="T71">INDEX(Invoice!C:C,MATCH(B71,(Invoice!A:A),0))</f>
        <v>0.5</v>
      </c>
      <c r="U71" s="12">
        <f t="shared" si="9"/>
        <v>500</v>
      </c>
      <c r="V71" s="12">
        <f t="shared" si="10"/>
        <v>0.5</v>
      </c>
      <c r="W71" s="12" t="str">
        <f t="array" ref="W71">INDEX(Invoice!F:F,MATCH(B71,(Invoice!A:A),0))</f>
        <v>b</v>
      </c>
      <c r="X71" s="14">
        <f t="array" ref="X71">INDEX(Invoice!H:H,MATCH(B71,(Invoice!A:A),0))</f>
        <v>33</v>
      </c>
      <c r="Y71" s="15">
        <f t="shared" si="11"/>
        <v>0</v>
      </c>
      <c r="Z71" s="16">
        <f t="shared" si="12"/>
        <v>0</v>
      </c>
      <c r="AA71" s="16">
        <f t="shared" si="13"/>
        <v>96.20991254</v>
      </c>
      <c r="AB71" s="16">
        <f t="shared" si="14"/>
        <v>0</v>
      </c>
    </row>
    <row r="72" ht="15.75" customHeight="1">
      <c r="A72" s="11" t="str">
        <f>IFERROR(__xludf.DUMMYFUNCTION("""COMPUTED_VALUE"""),"2001808102")</f>
        <v>2001808102</v>
      </c>
      <c r="B72" s="11" t="str">
        <f t="array" ref="B72">INDEX(Invoice!A:A,MATCH(Calculations!A72,Invoice!B:B,0))</f>
        <v>1091117435005</v>
      </c>
      <c r="C72" s="12">
        <f t="array" ref="C72">INDEX(Invoice!D:D,MATCH(Calculations!A72,Invoice!B:B,0))</f>
        <v>121003</v>
      </c>
      <c r="D72" s="11" t="str">
        <f t="array" ref="D72">INDEX(Invoice!E:E,MATCH(Calculations!A72,Invoice!B:B,0))</f>
        <v>463106</v>
      </c>
      <c r="E72" s="12" t="str">
        <f t="array" ref="E72">INDEX(Invoice!G:G,MATCH(Calculations!A72,Invoice!B:B,0))</f>
        <v>Forward charges</v>
      </c>
      <c r="F72" s="12" t="str">
        <f t="shared" si="1"/>
        <v>Yes</v>
      </c>
      <c r="G72" s="13" t="str">
        <f t="shared" si="2"/>
        <v>fwd</v>
      </c>
      <c r="H72" s="13" t="str">
        <f t="shared" si="3"/>
        <v>No</v>
      </c>
      <c r="I72" s="12" t="str">
        <f t="shared" si="4"/>
        <v/>
      </c>
      <c r="J72" s="12">
        <f>SUMIF(OrderReport!A:A,A72,OrderReport!E:E)</f>
        <v>1157</v>
      </c>
      <c r="K72" s="12">
        <f t="shared" si="5"/>
        <v>1.157</v>
      </c>
      <c r="L72" s="12">
        <f t="shared" si="6"/>
        <v>1500</v>
      </c>
      <c r="M72" s="12">
        <f t="shared" si="7"/>
        <v>1.5</v>
      </c>
      <c r="N72" s="11" t="str">
        <f t="array" ref="N72">INDEX(PincodeZones!C:C,MATCH(1,(PincodeZones!A:A=C72)*(PincodeZones!B:B=D72),0))</f>
        <v>d</v>
      </c>
      <c r="O72" s="12">
        <f t="array" ref="O72">INDEX(RatesTable!E:E,MATCH(1,(RatesTable!B:B=G72)*(RatesTable!C:C=N72)*(RatesTable!D:D="fixed"),0))</f>
        <v>45.4</v>
      </c>
      <c r="P72" s="12">
        <f t="array" ref="P72">((M72-0.5)/0.5)*INDEX(RatesTable!E:E,MATCH(1,(RatesTable!B:B=G72)*(RatesTable!C:C=N72)*(RatesTable!D:D="additional"),0))</f>
        <v>89.6</v>
      </c>
      <c r="Q72" s="12">
        <f t="array" ref="Q72">IFNA(INDEX(RatesTable!E:E,MATCH(1,(RatesTable!B:B=I72)*(RatesTable!C:C=N72)*(RatesTable!D:D="fixed"),0)),0)</f>
        <v>0</v>
      </c>
      <c r="R72" s="13">
        <f t="array" ref="R72">((M72-0.5)/0.5)*IFNA(INDEX(RatesTable!E:E,MATCH(1,(RatesTable!B:B=I72)*(RatesTable!C:C=N72)*(RatesTable!D:D="additional"),0)),0)</f>
        <v>0</v>
      </c>
      <c r="S72" s="12">
        <f t="shared" si="8"/>
        <v>135</v>
      </c>
      <c r="T72" s="12" t="str">
        <f t="array" ref="T72">INDEX(Invoice!C:C,MATCH(B72,(Invoice!A:A),0))</f>
        <v>1.28</v>
      </c>
      <c r="U72" s="12">
        <f t="shared" si="9"/>
        <v>1280</v>
      </c>
      <c r="V72" s="12">
        <f t="shared" si="10"/>
        <v>1.5</v>
      </c>
      <c r="W72" s="12" t="str">
        <f t="array" ref="W72">INDEX(Invoice!F:F,MATCH(B72,(Invoice!A:A),0))</f>
        <v>d</v>
      </c>
      <c r="X72" s="14">
        <f t="array" ref="X72">INDEX(Invoice!H:H,MATCH(B72,(Invoice!A:A),0))</f>
        <v>135</v>
      </c>
      <c r="Y72" s="15">
        <f t="shared" si="11"/>
        <v>0</v>
      </c>
      <c r="Z72" s="16">
        <f t="shared" si="12"/>
        <v>0</v>
      </c>
      <c r="AA72" s="16">
        <f t="shared" si="13"/>
        <v>116.6810717</v>
      </c>
      <c r="AB72" s="16">
        <f t="shared" si="14"/>
        <v>0</v>
      </c>
    </row>
    <row r="73" ht="15.75" customHeight="1">
      <c r="A73" s="11" t="str">
        <f>IFERROR(__xludf.DUMMYFUNCTION("""COMPUTED_VALUE"""),"2001807981")</f>
        <v>2001807981</v>
      </c>
      <c r="B73" s="11" t="str">
        <f t="array" ref="B73">INDEX(Invoice!A:A,MATCH(Calculations!A73,Invoice!B:B,0))</f>
        <v>1091117327570</v>
      </c>
      <c r="C73" s="12">
        <f t="array" ref="C73">INDEX(Invoice!D:D,MATCH(Calculations!A73,Invoice!B:B,0))</f>
        <v>121003</v>
      </c>
      <c r="D73" s="11" t="str">
        <f t="array" ref="D73">INDEX(Invoice!E:E,MATCH(Calculations!A73,Invoice!B:B,0))</f>
        <v>332715</v>
      </c>
      <c r="E73" s="12" t="str">
        <f t="array" ref="E73">INDEX(Invoice!G:G,MATCH(Calculations!A73,Invoice!B:B,0))</f>
        <v>Forward charges</v>
      </c>
      <c r="F73" s="12" t="str">
        <f t="shared" si="1"/>
        <v>Yes</v>
      </c>
      <c r="G73" s="13" t="str">
        <f t="shared" si="2"/>
        <v>fwd</v>
      </c>
      <c r="H73" s="13" t="str">
        <f t="shared" si="3"/>
        <v>No</v>
      </c>
      <c r="I73" s="12" t="str">
        <f t="shared" si="4"/>
        <v/>
      </c>
      <c r="J73" s="12">
        <f>SUMIF(OrderReport!A:A,A73,OrderReport!E:E)</f>
        <v>500</v>
      </c>
      <c r="K73" s="12">
        <f t="shared" si="5"/>
        <v>0.5</v>
      </c>
      <c r="L73" s="12">
        <f t="shared" si="6"/>
        <v>500</v>
      </c>
      <c r="M73" s="12">
        <f t="shared" si="7"/>
        <v>0.5</v>
      </c>
      <c r="N73" s="11" t="str">
        <f t="array" ref="N73">INDEX(PincodeZones!C:C,MATCH(1,(PincodeZones!A:A=C73)*(PincodeZones!B:B=D73),0))</f>
        <v>b</v>
      </c>
      <c r="O73" s="12">
        <f t="array" ref="O73">INDEX(RatesTable!E:E,MATCH(1,(RatesTable!B:B=G73)*(RatesTable!C:C=N73)*(RatesTable!D:D="fixed"),0))</f>
        <v>33</v>
      </c>
      <c r="P73" s="12">
        <f t="array" ref="P73">((M73-0.5)/0.5)*INDEX(RatesTable!E:E,MATCH(1,(RatesTable!B:B=G73)*(RatesTable!C:C=N73)*(RatesTable!D:D="additional"),0))</f>
        <v>0</v>
      </c>
      <c r="Q73" s="12">
        <f t="array" ref="Q73">IFNA(INDEX(RatesTable!E:E,MATCH(1,(RatesTable!B:B=I73)*(RatesTable!C:C=N73)*(RatesTable!D:D="fixed"),0)),0)</f>
        <v>0</v>
      </c>
      <c r="R73" s="13">
        <f t="array" ref="R73">((M73-0.5)/0.5)*IFNA(INDEX(RatesTable!E:E,MATCH(1,(RatesTable!B:B=I73)*(RatesTable!C:C=N73)*(RatesTable!D:D="additional"),0)),0)</f>
        <v>0</v>
      </c>
      <c r="S73" s="12">
        <f t="shared" si="8"/>
        <v>33</v>
      </c>
      <c r="T73" s="12" t="str">
        <f t="array" ref="T73">INDEX(Invoice!C:C,MATCH(B73,(Invoice!A:A),0))</f>
        <v>0.5</v>
      </c>
      <c r="U73" s="12">
        <f t="shared" si="9"/>
        <v>500</v>
      </c>
      <c r="V73" s="12">
        <f t="shared" si="10"/>
        <v>0.5</v>
      </c>
      <c r="W73" s="12" t="str">
        <f t="array" ref="W73">INDEX(Invoice!F:F,MATCH(B73,(Invoice!A:A),0))</f>
        <v>d</v>
      </c>
      <c r="X73" s="14">
        <f t="array" ref="X73">INDEX(Invoice!H:H,MATCH(B73,(Invoice!A:A),0))</f>
        <v>45.4</v>
      </c>
      <c r="Y73" s="15">
        <f t="shared" si="11"/>
        <v>-12.4</v>
      </c>
      <c r="Z73" s="16">
        <f t="shared" si="12"/>
        <v>-37.57575758</v>
      </c>
      <c r="AA73" s="16">
        <f t="shared" si="13"/>
        <v>66</v>
      </c>
      <c r="AB73" s="16">
        <f t="shared" si="14"/>
        <v>0</v>
      </c>
    </row>
    <row r="74" ht="15.75" customHeight="1">
      <c r="A74" s="11" t="str">
        <f>IFERROR(__xludf.DUMMYFUNCTION("""COMPUTED_VALUE"""),"2001807976")</f>
        <v>2001807976</v>
      </c>
      <c r="B74" s="11" t="str">
        <f t="array" ref="B74">INDEX(Invoice!A:A,MATCH(Calculations!A74,Invoice!B:B,0))</f>
        <v>1091117327496</v>
      </c>
      <c r="C74" s="12">
        <f t="array" ref="C74">INDEX(Invoice!D:D,MATCH(Calculations!A74,Invoice!B:B,0))</f>
        <v>121003</v>
      </c>
      <c r="D74" s="11" t="str">
        <f t="array" ref="D74">INDEX(Invoice!E:E,MATCH(Calculations!A74,Invoice!B:B,0))</f>
        <v>400705</v>
      </c>
      <c r="E74" s="12" t="str">
        <f t="array" ref="E74">INDEX(Invoice!G:G,MATCH(Calculations!A74,Invoice!B:B,0))</f>
        <v>Forward and RTO charges</v>
      </c>
      <c r="F74" s="12" t="str">
        <f t="shared" si="1"/>
        <v>Yes</v>
      </c>
      <c r="G74" s="13" t="str">
        <f t="shared" si="2"/>
        <v>fwd</v>
      </c>
      <c r="H74" s="13" t="str">
        <f t="shared" si="3"/>
        <v>Yes</v>
      </c>
      <c r="I74" s="12" t="str">
        <f t="shared" si="4"/>
        <v>rto</v>
      </c>
      <c r="J74" s="12">
        <f>SUMIF(OrderReport!A:A,A74,OrderReport!E:E)</f>
        <v>721</v>
      </c>
      <c r="K74" s="12">
        <f t="shared" si="5"/>
        <v>0.721</v>
      </c>
      <c r="L74" s="12">
        <f t="shared" si="6"/>
        <v>1000</v>
      </c>
      <c r="M74" s="12">
        <f t="shared" si="7"/>
        <v>1</v>
      </c>
      <c r="N74" s="11" t="str">
        <f t="array" ref="N74">INDEX(PincodeZones!C:C,MATCH(1,(PincodeZones!A:A=C74)*(PincodeZones!B:B=D74),0))</f>
        <v>d</v>
      </c>
      <c r="O74" s="12">
        <f t="array" ref="O74">INDEX(RatesTable!E:E,MATCH(1,(RatesTable!B:B=G74)*(RatesTable!C:C=N74)*(RatesTable!D:D="fixed"),0))</f>
        <v>45.4</v>
      </c>
      <c r="P74" s="12">
        <f t="array" ref="P74">((M74-0.5)/0.5)*INDEX(RatesTable!E:E,MATCH(1,(RatesTable!B:B=G74)*(RatesTable!C:C=N74)*(RatesTable!D:D="additional"),0))</f>
        <v>44.8</v>
      </c>
      <c r="Q74" s="12">
        <f t="array" ref="Q74">IFNA(INDEX(RatesTable!E:E,MATCH(1,(RatesTable!B:B=I74)*(RatesTable!C:C=N74)*(RatesTable!D:D="fixed"),0)),0)</f>
        <v>41.3</v>
      </c>
      <c r="R74" s="13">
        <f t="array" ref="R74">((M74-0.5)/0.5)*IFNA(INDEX(RatesTable!E:E,MATCH(1,(RatesTable!B:B=I74)*(RatesTable!C:C=N74)*(RatesTable!D:D="additional"),0)),0)</f>
        <v>44.8</v>
      </c>
      <c r="S74" s="12">
        <f t="shared" si="8"/>
        <v>176.3</v>
      </c>
      <c r="T74" s="12" t="str">
        <f t="array" ref="T74">INDEX(Invoice!C:C,MATCH(B74,(Invoice!A:A),0))</f>
        <v>0.7</v>
      </c>
      <c r="U74" s="12">
        <f t="shared" si="9"/>
        <v>700</v>
      </c>
      <c r="V74" s="12">
        <f t="shared" si="10"/>
        <v>1</v>
      </c>
      <c r="W74" s="12" t="str">
        <f t="array" ref="W74">INDEX(Invoice!F:F,MATCH(B74,(Invoice!A:A),0))</f>
        <v>d</v>
      </c>
      <c r="X74" s="14">
        <f t="array" ref="X74">INDEX(Invoice!H:H,MATCH(B74,(Invoice!A:A),0))</f>
        <v>172.8</v>
      </c>
      <c r="Y74" s="15">
        <f t="shared" si="11"/>
        <v>3.5</v>
      </c>
      <c r="Z74" s="16">
        <f t="shared" si="12"/>
        <v>1.985252411</v>
      </c>
      <c r="AA74" s="16">
        <f t="shared" si="13"/>
        <v>125.1040222</v>
      </c>
      <c r="AB74" s="16">
        <f t="shared" si="14"/>
        <v>119.4174757</v>
      </c>
    </row>
    <row r="75" ht="15.75" customHeight="1">
      <c r="A75" s="11" t="str">
        <f>IFERROR(__xludf.DUMMYFUNCTION("""COMPUTED_VALUE"""),"2001807970")</f>
        <v>2001807970</v>
      </c>
      <c r="B75" s="11" t="str">
        <f t="array" ref="B75">INDEX(Invoice!A:A,MATCH(Calculations!A75,Invoice!B:B,0))</f>
        <v>1091117327474</v>
      </c>
      <c r="C75" s="12">
        <f t="array" ref="C75">INDEX(Invoice!D:D,MATCH(Calculations!A75,Invoice!B:B,0))</f>
        <v>121003</v>
      </c>
      <c r="D75" s="11" t="str">
        <f t="array" ref="D75">INDEX(Invoice!E:E,MATCH(Calculations!A75,Invoice!B:B,0))</f>
        <v>302019</v>
      </c>
      <c r="E75" s="12" t="str">
        <f t="array" ref="E75">INDEX(Invoice!G:G,MATCH(Calculations!A75,Invoice!B:B,0))</f>
        <v>Forward charges</v>
      </c>
      <c r="F75" s="12" t="str">
        <f t="shared" si="1"/>
        <v>Yes</v>
      </c>
      <c r="G75" s="13" t="str">
        <f t="shared" si="2"/>
        <v>fwd</v>
      </c>
      <c r="H75" s="13" t="str">
        <f t="shared" si="3"/>
        <v>No</v>
      </c>
      <c r="I75" s="12" t="str">
        <f t="shared" si="4"/>
        <v/>
      </c>
      <c r="J75" s="12">
        <f>SUMIF(OrderReport!A:A,A75,OrderReport!E:E)</f>
        <v>765</v>
      </c>
      <c r="K75" s="12">
        <f t="shared" si="5"/>
        <v>0.765</v>
      </c>
      <c r="L75" s="12">
        <f t="shared" si="6"/>
        <v>1000</v>
      </c>
      <c r="M75" s="12">
        <f t="shared" si="7"/>
        <v>1</v>
      </c>
      <c r="N75" s="11" t="str">
        <f t="array" ref="N75">INDEX(PincodeZones!C:C,MATCH(1,(PincodeZones!A:A=C75)*(PincodeZones!B:B=D75),0))</f>
        <v>b</v>
      </c>
      <c r="O75" s="12">
        <f t="array" ref="O75">INDEX(RatesTable!E:E,MATCH(1,(RatesTable!B:B=G75)*(RatesTable!C:C=N75)*(RatesTable!D:D="fixed"),0))</f>
        <v>33</v>
      </c>
      <c r="P75" s="12">
        <f t="array" ref="P75">((M75-0.5)/0.5)*INDEX(RatesTable!E:E,MATCH(1,(RatesTable!B:B=G75)*(RatesTable!C:C=N75)*(RatesTable!D:D="additional"),0))</f>
        <v>28.3</v>
      </c>
      <c r="Q75" s="12">
        <f t="array" ref="Q75">IFNA(INDEX(RatesTable!E:E,MATCH(1,(RatesTable!B:B=I75)*(RatesTable!C:C=N75)*(RatesTable!D:D="fixed"),0)),0)</f>
        <v>0</v>
      </c>
      <c r="R75" s="13">
        <f t="array" ref="R75">((M75-0.5)/0.5)*IFNA(INDEX(RatesTable!E:E,MATCH(1,(RatesTable!B:B=I75)*(RatesTable!C:C=N75)*(RatesTable!D:D="additional"),0)),0)</f>
        <v>0</v>
      </c>
      <c r="S75" s="12">
        <f t="shared" si="8"/>
        <v>61.3</v>
      </c>
      <c r="T75" s="12" t="str">
        <f t="array" ref="T75">INDEX(Invoice!C:C,MATCH(B75,(Invoice!A:A),0))</f>
        <v>4.13</v>
      </c>
      <c r="U75" s="12">
        <f t="shared" si="9"/>
        <v>4130</v>
      </c>
      <c r="V75" s="12">
        <f t="shared" si="10"/>
        <v>4.5</v>
      </c>
      <c r="W75" s="12" t="str">
        <f t="array" ref="W75">INDEX(Invoice!F:F,MATCH(B75,(Invoice!A:A),0))</f>
        <v>d</v>
      </c>
      <c r="X75" s="14">
        <f t="array" ref="X75">INDEX(Invoice!H:H,MATCH(B75,(Invoice!A:A),0))</f>
        <v>403.8</v>
      </c>
      <c r="Y75" s="15">
        <f t="shared" si="11"/>
        <v>-342.5</v>
      </c>
      <c r="Z75" s="16">
        <f t="shared" si="12"/>
        <v>-558.7275693</v>
      </c>
      <c r="AA75" s="16">
        <f t="shared" si="13"/>
        <v>80.13071895</v>
      </c>
      <c r="AB75" s="16">
        <f t="shared" si="14"/>
        <v>0</v>
      </c>
    </row>
    <row r="76" ht="15.75" customHeight="1">
      <c r="A76" s="11" t="str">
        <f>IFERROR(__xludf.DUMMYFUNCTION("""COMPUTED_VALUE"""),"2001807960")</f>
        <v>2001807960</v>
      </c>
      <c r="B76" s="11" t="str">
        <f t="array" ref="B76">INDEX(Invoice!A:A,MATCH(Calculations!A76,Invoice!B:B,0))</f>
        <v>1091117327312</v>
      </c>
      <c r="C76" s="12">
        <f t="array" ref="C76">INDEX(Invoice!D:D,MATCH(Calculations!A76,Invoice!B:B,0))</f>
        <v>121003</v>
      </c>
      <c r="D76" s="11" t="str">
        <f t="array" ref="D76">INDEX(Invoice!E:E,MATCH(Calculations!A76,Invoice!B:B,0))</f>
        <v>485001</v>
      </c>
      <c r="E76" s="12" t="str">
        <f t="array" ref="E76">INDEX(Invoice!G:G,MATCH(Calculations!A76,Invoice!B:B,0))</f>
        <v>Forward charges</v>
      </c>
      <c r="F76" s="12" t="str">
        <f t="shared" si="1"/>
        <v>Yes</v>
      </c>
      <c r="G76" s="13" t="str">
        <f t="shared" si="2"/>
        <v>fwd</v>
      </c>
      <c r="H76" s="13" t="str">
        <f t="shared" si="3"/>
        <v>No</v>
      </c>
      <c r="I76" s="12" t="str">
        <f t="shared" si="4"/>
        <v/>
      </c>
      <c r="J76" s="12">
        <f>SUMIF(OrderReport!A:A,A76,OrderReport!E:E)</f>
        <v>930</v>
      </c>
      <c r="K76" s="12">
        <f t="shared" si="5"/>
        <v>0.93</v>
      </c>
      <c r="L76" s="12">
        <f t="shared" si="6"/>
        <v>1000</v>
      </c>
      <c r="M76" s="12">
        <f t="shared" si="7"/>
        <v>1</v>
      </c>
      <c r="N76" s="11" t="str">
        <f t="array" ref="N76">INDEX(PincodeZones!C:C,MATCH(1,(PincodeZones!A:A=C76)*(PincodeZones!B:B=D76),0))</f>
        <v>d</v>
      </c>
      <c r="O76" s="12">
        <f t="array" ref="O76">INDEX(RatesTable!E:E,MATCH(1,(RatesTable!B:B=G76)*(RatesTable!C:C=N76)*(RatesTable!D:D="fixed"),0))</f>
        <v>45.4</v>
      </c>
      <c r="P76" s="12">
        <f t="array" ref="P76">((M76-0.5)/0.5)*INDEX(RatesTable!E:E,MATCH(1,(RatesTable!B:B=G76)*(RatesTable!C:C=N76)*(RatesTable!D:D="additional"),0))</f>
        <v>44.8</v>
      </c>
      <c r="Q76" s="12">
        <f t="array" ref="Q76">IFNA(INDEX(RatesTable!E:E,MATCH(1,(RatesTable!B:B=I76)*(RatesTable!C:C=N76)*(RatesTable!D:D="fixed"),0)),0)</f>
        <v>0</v>
      </c>
      <c r="R76" s="13">
        <f t="array" ref="R76">((M76-0.5)/0.5)*IFNA(INDEX(RatesTable!E:E,MATCH(1,(RatesTable!B:B=I76)*(RatesTable!C:C=N76)*(RatesTable!D:D="additional"),0)),0)</f>
        <v>0</v>
      </c>
      <c r="S76" s="12">
        <f t="shared" si="8"/>
        <v>90.2</v>
      </c>
      <c r="T76" s="12" t="str">
        <f t="array" ref="T76">INDEX(Invoice!C:C,MATCH(B76,(Invoice!A:A),0))</f>
        <v>1</v>
      </c>
      <c r="U76" s="12">
        <f t="shared" si="9"/>
        <v>1000</v>
      </c>
      <c r="V76" s="12">
        <f t="shared" si="10"/>
        <v>1</v>
      </c>
      <c r="W76" s="12" t="str">
        <f t="array" ref="W76">INDEX(Invoice!F:F,MATCH(B76,(Invoice!A:A),0))</f>
        <v>d</v>
      </c>
      <c r="X76" s="14">
        <f t="array" ref="X76">INDEX(Invoice!H:H,MATCH(B76,(Invoice!A:A),0))</f>
        <v>90.2</v>
      </c>
      <c r="Y76" s="15">
        <f t="shared" si="11"/>
        <v>0</v>
      </c>
      <c r="Z76" s="16">
        <f t="shared" si="12"/>
        <v>0</v>
      </c>
      <c r="AA76" s="16">
        <f t="shared" si="13"/>
        <v>96.98924731</v>
      </c>
      <c r="AB76" s="16">
        <f t="shared" si="14"/>
        <v>0</v>
      </c>
    </row>
    <row r="77" ht="15.75" customHeight="1">
      <c r="A77" s="11" t="str">
        <f>IFERROR(__xludf.DUMMYFUNCTION("""COMPUTED_VALUE"""),"2001807956")</f>
        <v>2001807956</v>
      </c>
      <c r="B77" s="11" t="str">
        <f t="array" ref="B77">INDEX(Invoice!A:A,MATCH(Calculations!A77,Invoice!B:B,0))</f>
        <v>1091117327275</v>
      </c>
      <c r="C77" s="12">
        <f t="array" ref="C77">INDEX(Invoice!D:D,MATCH(Calculations!A77,Invoice!B:B,0))</f>
        <v>121003</v>
      </c>
      <c r="D77" s="11" t="str">
        <f t="array" ref="D77">INDEX(Invoice!E:E,MATCH(Calculations!A77,Invoice!B:B,0))</f>
        <v>248006</v>
      </c>
      <c r="E77" s="12" t="str">
        <f t="array" ref="E77">INDEX(Invoice!G:G,MATCH(Calculations!A77,Invoice!B:B,0))</f>
        <v>Forward charges</v>
      </c>
      <c r="F77" s="12" t="str">
        <f t="shared" si="1"/>
        <v>Yes</v>
      </c>
      <c r="G77" s="13" t="str">
        <f t="shared" si="2"/>
        <v>fwd</v>
      </c>
      <c r="H77" s="13" t="str">
        <f t="shared" si="3"/>
        <v>No</v>
      </c>
      <c r="I77" s="12" t="str">
        <f t="shared" si="4"/>
        <v/>
      </c>
      <c r="J77" s="12">
        <f>SUMIF(OrderReport!A:A,A77,OrderReport!E:E)</f>
        <v>1080</v>
      </c>
      <c r="K77" s="12">
        <f t="shared" si="5"/>
        <v>1.08</v>
      </c>
      <c r="L77" s="12">
        <f t="shared" si="6"/>
        <v>1500</v>
      </c>
      <c r="M77" s="12">
        <f t="shared" si="7"/>
        <v>1.5</v>
      </c>
      <c r="N77" s="11" t="str">
        <f t="array" ref="N77">INDEX(PincodeZones!C:C,MATCH(1,(PincodeZones!A:A=C77)*(PincodeZones!B:B=D77),0))</f>
        <v>b</v>
      </c>
      <c r="O77" s="12">
        <f t="array" ref="O77">INDEX(RatesTable!E:E,MATCH(1,(RatesTable!B:B=G77)*(RatesTable!C:C=N77)*(RatesTable!D:D="fixed"),0))</f>
        <v>33</v>
      </c>
      <c r="P77" s="12">
        <f t="array" ref="P77">((M77-0.5)/0.5)*INDEX(RatesTable!E:E,MATCH(1,(RatesTable!B:B=G77)*(RatesTable!C:C=N77)*(RatesTable!D:D="additional"),0))</f>
        <v>56.6</v>
      </c>
      <c r="Q77" s="12">
        <f t="array" ref="Q77">IFNA(INDEX(RatesTable!E:E,MATCH(1,(RatesTable!B:B=I77)*(RatesTable!C:C=N77)*(RatesTable!D:D="fixed"),0)),0)</f>
        <v>0</v>
      </c>
      <c r="R77" s="13">
        <f t="array" ref="R77">((M77-0.5)/0.5)*IFNA(INDEX(RatesTable!E:E,MATCH(1,(RatesTable!B:B=I77)*(RatesTable!C:C=N77)*(RatesTable!D:D="additional"),0)),0)</f>
        <v>0</v>
      </c>
      <c r="S77" s="12">
        <f t="shared" si="8"/>
        <v>89.6</v>
      </c>
      <c r="T77" s="12" t="str">
        <f t="array" ref="T77">INDEX(Invoice!C:C,MATCH(B77,(Invoice!A:A),0))</f>
        <v>1.08</v>
      </c>
      <c r="U77" s="12">
        <f t="shared" si="9"/>
        <v>1080</v>
      </c>
      <c r="V77" s="12">
        <f t="shared" si="10"/>
        <v>1.5</v>
      </c>
      <c r="W77" s="12" t="str">
        <f t="array" ref="W77">INDEX(Invoice!F:F,MATCH(B77,(Invoice!A:A),0))</f>
        <v>b</v>
      </c>
      <c r="X77" s="14">
        <f t="array" ref="X77">INDEX(Invoice!H:H,MATCH(B77,(Invoice!A:A),0))</f>
        <v>89.6</v>
      </c>
      <c r="Y77" s="15">
        <f t="shared" si="11"/>
        <v>0</v>
      </c>
      <c r="Z77" s="16">
        <f t="shared" si="12"/>
        <v>0</v>
      </c>
      <c r="AA77" s="16">
        <f t="shared" si="13"/>
        <v>82.96296296</v>
      </c>
      <c r="AB77" s="16">
        <f t="shared" si="14"/>
        <v>0</v>
      </c>
    </row>
    <row r="78" ht="15.75" customHeight="1">
      <c r="A78" s="11" t="str">
        <f>IFERROR(__xludf.DUMMYFUNCTION("""COMPUTED_VALUE"""),"2001807931")</f>
        <v>2001807931</v>
      </c>
      <c r="B78" s="11" t="str">
        <f t="array" ref="B78">INDEX(Invoice!A:A,MATCH(Calculations!A78,Invoice!B:B,0))</f>
        <v>1091117327172</v>
      </c>
      <c r="C78" s="12">
        <f t="array" ref="C78">INDEX(Invoice!D:D,MATCH(Calculations!A78,Invoice!B:B,0))</f>
        <v>121003</v>
      </c>
      <c r="D78" s="11" t="str">
        <f t="array" ref="D78">INDEX(Invoice!E:E,MATCH(Calculations!A78,Invoice!B:B,0))</f>
        <v>441601</v>
      </c>
      <c r="E78" s="12" t="str">
        <f t="array" ref="E78">INDEX(Invoice!G:G,MATCH(Calculations!A78,Invoice!B:B,0))</f>
        <v>Forward charges</v>
      </c>
      <c r="F78" s="12" t="str">
        <f t="shared" si="1"/>
        <v>Yes</v>
      </c>
      <c r="G78" s="13" t="str">
        <f t="shared" si="2"/>
        <v>fwd</v>
      </c>
      <c r="H78" s="13" t="str">
        <f t="shared" si="3"/>
        <v>No</v>
      </c>
      <c r="I78" s="12" t="str">
        <f t="shared" si="4"/>
        <v/>
      </c>
      <c r="J78" s="12">
        <f>SUMIF(OrderReport!A:A,A78,OrderReport!E:E)</f>
        <v>607</v>
      </c>
      <c r="K78" s="12">
        <f t="shared" si="5"/>
        <v>0.607</v>
      </c>
      <c r="L78" s="12">
        <f t="shared" si="6"/>
        <v>1000</v>
      </c>
      <c r="M78" s="12">
        <f t="shared" si="7"/>
        <v>1</v>
      </c>
      <c r="N78" s="11" t="str">
        <f t="array" ref="N78">INDEX(PincodeZones!C:C,MATCH(1,(PincodeZones!A:A=C78)*(PincodeZones!B:B=D78),0))</f>
        <v>d</v>
      </c>
      <c r="O78" s="12">
        <f t="array" ref="O78">INDEX(RatesTable!E:E,MATCH(1,(RatesTable!B:B=G78)*(RatesTable!C:C=N78)*(RatesTable!D:D="fixed"),0))</f>
        <v>45.4</v>
      </c>
      <c r="P78" s="12">
        <f t="array" ref="P78">((M78-0.5)/0.5)*INDEX(RatesTable!E:E,MATCH(1,(RatesTable!B:B=G78)*(RatesTable!C:C=N78)*(RatesTable!D:D="additional"),0))</f>
        <v>44.8</v>
      </c>
      <c r="Q78" s="12">
        <f t="array" ref="Q78">IFNA(INDEX(RatesTable!E:E,MATCH(1,(RatesTable!B:B=I78)*(RatesTable!C:C=N78)*(RatesTable!D:D="fixed"),0)),0)</f>
        <v>0</v>
      </c>
      <c r="R78" s="13">
        <f t="array" ref="R78">((M78-0.5)/0.5)*IFNA(INDEX(RatesTable!E:E,MATCH(1,(RatesTable!B:B=I78)*(RatesTable!C:C=N78)*(RatesTable!D:D="additional"),0)),0)</f>
        <v>0</v>
      </c>
      <c r="S78" s="12">
        <f t="shared" si="8"/>
        <v>90.2</v>
      </c>
      <c r="T78" s="12" t="str">
        <f t="array" ref="T78">INDEX(Invoice!C:C,MATCH(B78,(Invoice!A:A),0))</f>
        <v>0.72</v>
      </c>
      <c r="U78" s="12">
        <f t="shared" si="9"/>
        <v>720</v>
      </c>
      <c r="V78" s="12">
        <f t="shared" si="10"/>
        <v>1</v>
      </c>
      <c r="W78" s="12" t="str">
        <f t="array" ref="W78">INDEX(Invoice!F:F,MATCH(B78,(Invoice!A:A),0))</f>
        <v>d</v>
      </c>
      <c r="X78" s="14">
        <f t="array" ref="X78">INDEX(Invoice!H:H,MATCH(B78,(Invoice!A:A),0))</f>
        <v>90.2</v>
      </c>
      <c r="Y78" s="15">
        <f t="shared" si="11"/>
        <v>0</v>
      </c>
      <c r="Z78" s="16">
        <f t="shared" si="12"/>
        <v>0</v>
      </c>
      <c r="AA78" s="16">
        <f t="shared" si="13"/>
        <v>148.5996705</v>
      </c>
      <c r="AB78" s="16">
        <f t="shared" si="14"/>
        <v>0</v>
      </c>
    </row>
    <row r="79" ht="15.75" customHeight="1">
      <c r="A79" s="11" t="str">
        <f>IFERROR(__xludf.DUMMYFUNCTION("""COMPUTED_VALUE"""),"2001807930")</f>
        <v>2001807930</v>
      </c>
      <c r="B79" s="11" t="str">
        <f t="array" ref="B79">INDEX(Invoice!A:A,MATCH(Calculations!A79,Invoice!B:B,0))</f>
        <v>1091117327695</v>
      </c>
      <c r="C79" s="12">
        <f t="array" ref="C79">INDEX(Invoice!D:D,MATCH(Calculations!A79,Invoice!B:B,0))</f>
        <v>121003</v>
      </c>
      <c r="D79" s="11" t="str">
        <f t="array" ref="D79">INDEX(Invoice!E:E,MATCH(Calculations!A79,Invoice!B:B,0))</f>
        <v>845438</v>
      </c>
      <c r="E79" s="12" t="str">
        <f t="array" ref="E79">INDEX(Invoice!G:G,MATCH(Calculations!A79,Invoice!B:B,0))</f>
        <v>Forward charges</v>
      </c>
      <c r="F79" s="12" t="str">
        <f t="shared" si="1"/>
        <v>Yes</v>
      </c>
      <c r="G79" s="13" t="str">
        <f t="shared" si="2"/>
        <v>fwd</v>
      </c>
      <c r="H79" s="13" t="str">
        <f t="shared" si="3"/>
        <v>No</v>
      </c>
      <c r="I79" s="12" t="str">
        <f t="shared" si="4"/>
        <v/>
      </c>
      <c r="J79" s="12">
        <f>SUMIF(OrderReport!A:A,A79,OrderReport!E:E)</f>
        <v>240</v>
      </c>
      <c r="K79" s="12">
        <f t="shared" si="5"/>
        <v>0.24</v>
      </c>
      <c r="L79" s="12">
        <f t="shared" si="6"/>
        <v>500</v>
      </c>
      <c r="M79" s="12">
        <f t="shared" si="7"/>
        <v>0.5</v>
      </c>
      <c r="N79" s="11" t="str">
        <f t="array" ref="N79">INDEX(PincodeZones!C:C,MATCH(1,(PincodeZones!A:A=C79)*(PincodeZones!B:B=D79),0))</f>
        <v>d</v>
      </c>
      <c r="O79" s="12">
        <f t="array" ref="O79">INDEX(RatesTable!E:E,MATCH(1,(RatesTable!B:B=G79)*(RatesTable!C:C=N79)*(RatesTable!D:D="fixed"),0))</f>
        <v>45.4</v>
      </c>
      <c r="P79" s="12">
        <f t="array" ref="P79">((M79-0.5)/0.5)*INDEX(RatesTable!E:E,MATCH(1,(RatesTable!B:B=G79)*(RatesTable!C:C=N79)*(RatesTable!D:D="additional"),0))</f>
        <v>0</v>
      </c>
      <c r="Q79" s="12">
        <f t="array" ref="Q79">IFNA(INDEX(RatesTable!E:E,MATCH(1,(RatesTable!B:B=I79)*(RatesTable!C:C=N79)*(RatesTable!D:D="fixed"),0)),0)</f>
        <v>0</v>
      </c>
      <c r="R79" s="13">
        <f t="array" ref="R79">((M79-0.5)/0.5)*IFNA(INDEX(RatesTable!E:E,MATCH(1,(RatesTable!B:B=I79)*(RatesTable!C:C=N79)*(RatesTable!D:D="additional"),0)),0)</f>
        <v>0</v>
      </c>
      <c r="S79" s="12">
        <f t="shared" si="8"/>
        <v>45.4</v>
      </c>
      <c r="T79" s="12" t="str">
        <f t="array" ref="T79">INDEX(Invoice!C:C,MATCH(B79,(Invoice!A:A),0))</f>
        <v>0.15</v>
      </c>
      <c r="U79" s="12">
        <f t="shared" si="9"/>
        <v>150</v>
      </c>
      <c r="V79" s="12">
        <f t="shared" si="10"/>
        <v>0.5</v>
      </c>
      <c r="W79" s="12" t="str">
        <f t="array" ref="W79">INDEX(Invoice!F:F,MATCH(B79,(Invoice!A:A),0))</f>
        <v>d</v>
      </c>
      <c r="X79" s="14">
        <f t="array" ref="X79">INDEX(Invoice!H:H,MATCH(B79,(Invoice!A:A),0))</f>
        <v>45.4</v>
      </c>
      <c r="Y79" s="15">
        <f t="shared" si="11"/>
        <v>0</v>
      </c>
      <c r="Z79" s="16">
        <f t="shared" si="12"/>
        <v>0</v>
      </c>
      <c r="AA79" s="16">
        <f t="shared" si="13"/>
        <v>189.1666667</v>
      </c>
      <c r="AB79" s="16">
        <f t="shared" si="14"/>
        <v>0</v>
      </c>
    </row>
    <row r="80" ht="15.75" customHeight="1">
      <c r="A80" s="11" t="str">
        <f>IFERROR(__xludf.DUMMYFUNCTION("""COMPUTED_VALUE"""),"2001807852")</f>
        <v>2001807852</v>
      </c>
      <c r="B80" s="11" t="str">
        <f t="array" ref="B80">INDEX(Invoice!A:A,MATCH(Calculations!A80,Invoice!B:B,0))</f>
        <v>1091117326925</v>
      </c>
      <c r="C80" s="12">
        <f t="array" ref="C80">INDEX(Invoice!D:D,MATCH(Calculations!A80,Invoice!B:B,0))</f>
        <v>121003</v>
      </c>
      <c r="D80" s="11" t="str">
        <f t="array" ref="D80">INDEX(Invoice!E:E,MATCH(Calculations!A80,Invoice!B:B,0))</f>
        <v>311001</v>
      </c>
      <c r="E80" s="12" t="str">
        <f t="array" ref="E80">INDEX(Invoice!G:G,MATCH(Calculations!A80,Invoice!B:B,0))</f>
        <v>Forward charges</v>
      </c>
      <c r="F80" s="12" t="str">
        <f t="shared" si="1"/>
        <v>Yes</v>
      </c>
      <c r="G80" s="13" t="str">
        <f t="shared" si="2"/>
        <v>fwd</v>
      </c>
      <c r="H80" s="13" t="str">
        <f t="shared" si="3"/>
        <v>No</v>
      </c>
      <c r="I80" s="12" t="str">
        <f t="shared" si="4"/>
        <v/>
      </c>
      <c r="J80" s="12">
        <f>SUMIF(OrderReport!A:A,A80,OrderReport!E:E)</f>
        <v>500</v>
      </c>
      <c r="K80" s="12">
        <f t="shared" si="5"/>
        <v>0.5</v>
      </c>
      <c r="L80" s="12">
        <f t="shared" si="6"/>
        <v>500</v>
      </c>
      <c r="M80" s="12">
        <f t="shared" si="7"/>
        <v>0.5</v>
      </c>
      <c r="N80" s="11" t="str">
        <f t="array" ref="N80">INDEX(PincodeZones!C:C,MATCH(1,(PincodeZones!A:A=C80)*(PincodeZones!B:B=D80),0))</f>
        <v>b</v>
      </c>
      <c r="O80" s="12">
        <f t="array" ref="O80">INDEX(RatesTable!E:E,MATCH(1,(RatesTable!B:B=G80)*(RatesTable!C:C=N80)*(RatesTable!D:D="fixed"),0))</f>
        <v>33</v>
      </c>
      <c r="P80" s="12">
        <f t="array" ref="P80">((M80-0.5)/0.5)*INDEX(RatesTable!E:E,MATCH(1,(RatesTable!B:B=G80)*(RatesTable!C:C=N80)*(RatesTable!D:D="additional"),0))</f>
        <v>0</v>
      </c>
      <c r="Q80" s="12">
        <f t="array" ref="Q80">IFNA(INDEX(RatesTable!E:E,MATCH(1,(RatesTable!B:B=I80)*(RatesTable!C:C=N80)*(RatesTable!D:D="fixed"),0)),0)</f>
        <v>0</v>
      </c>
      <c r="R80" s="13">
        <f t="array" ref="R80">((M80-0.5)/0.5)*IFNA(INDEX(RatesTable!E:E,MATCH(1,(RatesTable!B:B=I80)*(RatesTable!C:C=N80)*(RatesTable!D:D="additional"),0)),0)</f>
        <v>0</v>
      </c>
      <c r="S80" s="12">
        <f t="shared" si="8"/>
        <v>33</v>
      </c>
      <c r="T80" s="12" t="str">
        <f t="array" ref="T80">INDEX(Invoice!C:C,MATCH(B80,(Invoice!A:A),0))</f>
        <v>0.74</v>
      </c>
      <c r="U80" s="12">
        <f t="shared" si="9"/>
        <v>740</v>
      </c>
      <c r="V80" s="12">
        <f t="shared" si="10"/>
        <v>1</v>
      </c>
      <c r="W80" s="12" t="str">
        <f t="array" ref="W80">INDEX(Invoice!F:F,MATCH(B80,(Invoice!A:A),0))</f>
        <v>d</v>
      </c>
      <c r="X80" s="14">
        <f t="array" ref="X80">INDEX(Invoice!H:H,MATCH(B80,(Invoice!A:A),0))</f>
        <v>90.2</v>
      </c>
      <c r="Y80" s="15">
        <f t="shared" si="11"/>
        <v>-57.2</v>
      </c>
      <c r="Z80" s="16">
        <f t="shared" si="12"/>
        <v>-173.3333333</v>
      </c>
      <c r="AA80" s="16">
        <f t="shared" si="13"/>
        <v>66</v>
      </c>
      <c r="AB80" s="16">
        <f t="shared" si="14"/>
        <v>0</v>
      </c>
    </row>
    <row r="81" ht="15.75" customHeight="1">
      <c r="A81" s="11" t="str">
        <f>IFERROR(__xludf.DUMMYFUNCTION("""COMPUTED_VALUE"""),"2001807814")</f>
        <v>2001807814</v>
      </c>
      <c r="B81" s="11" t="str">
        <f t="array" ref="B81">INDEX(Invoice!A:A,MATCH(Calculations!A81,Invoice!B:B,0))</f>
        <v>1091117326612</v>
      </c>
      <c r="C81" s="12">
        <f t="array" ref="C81">INDEX(Invoice!D:D,MATCH(Calculations!A81,Invoice!B:B,0))</f>
        <v>121003</v>
      </c>
      <c r="D81" s="11" t="str">
        <f t="array" ref="D81">INDEX(Invoice!E:E,MATCH(Calculations!A81,Invoice!B:B,0))</f>
        <v>284001</v>
      </c>
      <c r="E81" s="12" t="str">
        <f t="array" ref="E81">INDEX(Invoice!G:G,MATCH(Calculations!A81,Invoice!B:B,0))</f>
        <v>Forward charges</v>
      </c>
      <c r="F81" s="12" t="str">
        <f t="shared" si="1"/>
        <v>Yes</v>
      </c>
      <c r="G81" s="13" t="str">
        <f t="shared" si="2"/>
        <v>fwd</v>
      </c>
      <c r="H81" s="13" t="str">
        <f t="shared" si="3"/>
        <v>No</v>
      </c>
      <c r="I81" s="12" t="str">
        <f t="shared" si="4"/>
        <v/>
      </c>
      <c r="J81" s="12">
        <f>SUMIF(OrderReport!A:A,A81,OrderReport!E:E)</f>
        <v>607</v>
      </c>
      <c r="K81" s="12">
        <f t="shared" si="5"/>
        <v>0.607</v>
      </c>
      <c r="L81" s="12">
        <f t="shared" si="6"/>
        <v>1000</v>
      </c>
      <c r="M81" s="12">
        <f t="shared" si="7"/>
        <v>1</v>
      </c>
      <c r="N81" s="11" t="str">
        <f t="array" ref="N81">INDEX(PincodeZones!C:C,MATCH(1,(PincodeZones!A:A=C81)*(PincodeZones!B:B=D81),0))</f>
        <v>b</v>
      </c>
      <c r="O81" s="12">
        <f t="array" ref="O81">INDEX(RatesTable!E:E,MATCH(1,(RatesTable!B:B=G81)*(RatesTable!C:C=N81)*(RatesTable!D:D="fixed"),0))</f>
        <v>33</v>
      </c>
      <c r="P81" s="12">
        <f t="array" ref="P81">((M81-0.5)/0.5)*INDEX(RatesTable!E:E,MATCH(1,(RatesTable!B:B=G81)*(RatesTable!C:C=N81)*(RatesTable!D:D="additional"),0))</f>
        <v>28.3</v>
      </c>
      <c r="Q81" s="12">
        <f t="array" ref="Q81">IFNA(INDEX(RatesTable!E:E,MATCH(1,(RatesTable!B:B=I81)*(RatesTable!C:C=N81)*(RatesTable!D:D="fixed"),0)),0)</f>
        <v>0</v>
      </c>
      <c r="R81" s="13">
        <f t="array" ref="R81">((M81-0.5)/0.5)*IFNA(INDEX(RatesTable!E:E,MATCH(1,(RatesTable!B:B=I81)*(RatesTable!C:C=N81)*(RatesTable!D:D="additional"),0)),0)</f>
        <v>0</v>
      </c>
      <c r="S81" s="12">
        <f t="shared" si="8"/>
        <v>61.3</v>
      </c>
      <c r="T81" s="12" t="str">
        <f t="array" ref="T81">INDEX(Invoice!C:C,MATCH(B81,(Invoice!A:A),0))</f>
        <v>0.79</v>
      </c>
      <c r="U81" s="12">
        <f t="shared" si="9"/>
        <v>790</v>
      </c>
      <c r="V81" s="12">
        <f t="shared" si="10"/>
        <v>1</v>
      </c>
      <c r="W81" s="12" t="str">
        <f t="array" ref="W81">INDEX(Invoice!F:F,MATCH(B81,(Invoice!A:A),0))</f>
        <v>b</v>
      </c>
      <c r="X81" s="14">
        <f t="array" ref="X81">INDEX(Invoice!H:H,MATCH(B81,(Invoice!A:A),0))</f>
        <v>61.3</v>
      </c>
      <c r="Y81" s="15">
        <f t="shared" si="11"/>
        <v>0</v>
      </c>
      <c r="Z81" s="16">
        <f t="shared" si="12"/>
        <v>0</v>
      </c>
      <c r="AA81" s="16">
        <f t="shared" si="13"/>
        <v>100.9884679</v>
      </c>
      <c r="AB81" s="16">
        <f t="shared" si="14"/>
        <v>0</v>
      </c>
    </row>
    <row r="82" ht="15.75" customHeight="1">
      <c r="A82" s="11" t="str">
        <f>IFERROR(__xludf.DUMMYFUNCTION("""COMPUTED_VALUE"""),"2001807785")</f>
        <v>2001807785</v>
      </c>
      <c r="B82" s="11" t="str">
        <f t="array" ref="B82">INDEX(Invoice!A:A,MATCH(Calculations!A82,Invoice!B:B,0))</f>
        <v>1091117326424</v>
      </c>
      <c r="C82" s="12">
        <f t="array" ref="C82">INDEX(Invoice!D:D,MATCH(Calculations!A82,Invoice!B:B,0))</f>
        <v>121003</v>
      </c>
      <c r="D82" s="11" t="str">
        <f t="array" ref="D82">INDEX(Invoice!E:E,MATCH(Calculations!A82,Invoice!B:B,0))</f>
        <v>306116</v>
      </c>
      <c r="E82" s="12" t="str">
        <f t="array" ref="E82">INDEX(Invoice!G:G,MATCH(Calculations!A82,Invoice!B:B,0))</f>
        <v>Forward charges</v>
      </c>
      <c r="F82" s="12" t="str">
        <f t="shared" si="1"/>
        <v>Yes</v>
      </c>
      <c r="G82" s="13" t="str">
        <f t="shared" si="2"/>
        <v>fwd</v>
      </c>
      <c r="H82" s="13" t="str">
        <f t="shared" si="3"/>
        <v>No</v>
      </c>
      <c r="I82" s="12" t="str">
        <f t="shared" si="4"/>
        <v/>
      </c>
      <c r="J82" s="12">
        <f>SUMIF(OrderReport!A:A,A82,OrderReport!E:E)</f>
        <v>500</v>
      </c>
      <c r="K82" s="12">
        <f t="shared" si="5"/>
        <v>0.5</v>
      </c>
      <c r="L82" s="12">
        <f t="shared" si="6"/>
        <v>500</v>
      </c>
      <c r="M82" s="12">
        <f t="shared" si="7"/>
        <v>0.5</v>
      </c>
      <c r="N82" s="11" t="str">
        <f t="array" ref="N82">INDEX(PincodeZones!C:C,MATCH(1,(PincodeZones!A:A=C82)*(PincodeZones!B:B=D82),0))</f>
        <v>b</v>
      </c>
      <c r="O82" s="12">
        <f t="array" ref="O82">INDEX(RatesTable!E:E,MATCH(1,(RatesTable!B:B=G82)*(RatesTable!C:C=N82)*(RatesTable!D:D="fixed"),0))</f>
        <v>33</v>
      </c>
      <c r="P82" s="12">
        <f t="array" ref="P82">((M82-0.5)/0.5)*INDEX(RatesTable!E:E,MATCH(1,(RatesTable!B:B=G82)*(RatesTable!C:C=N82)*(RatesTable!D:D="additional"),0))</f>
        <v>0</v>
      </c>
      <c r="Q82" s="12">
        <f t="array" ref="Q82">IFNA(INDEX(RatesTable!E:E,MATCH(1,(RatesTable!B:B=I82)*(RatesTable!C:C=N82)*(RatesTable!D:D="fixed"),0)),0)</f>
        <v>0</v>
      </c>
      <c r="R82" s="13">
        <f t="array" ref="R82">((M82-0.5)/0.5)*IFNA(INDEX(RatesTable!E:E,MATCH(1,(RatesTable!B:B=I82)*(RatesTable!C:C=N82)*(RatesTable!D:D="additional"),0)),0)</f>
        <v>0</v>
      </c>
      <c r="S82" s="12">
        <f t="shared" si="8"/>
        <v>33</v>
      </c>
      <c r="T82" s="12" t="str">
        <f t="array" ref="T82">INDEX(Invoice!C:C,MATCH(B82,(Invoice!A:A),0))</f>
        <v>0.68</v>
      </c>
      <c r="U82" s="12">
        <f t="shared" si="9"/>
        <v>680</v>
      </c>
      <c r="V82" s="12">
        <f t="shared" si="10"/>
        <v>1</v>
      </c>
      <c r="W82" s="12" t="str">
        <f t="array" ref="W82">INDEX(Invoice!F:F,MATCH(B82,(Invoice!A:A),0))</f>
        <v>d</v>
      </c>
      <c r="X82" s="14">
        <f t="array" ref="X82">INDEX(Invoice!H:H,MATCH(B82,(Invoice!A:A),0))</f>
        <v>90.2</v>
      </c>
      <c r="Y82" s="15">
        <f t="shared" si="11"/>
        <v>-57.2</v>
      </c>
      <c r="Z82" s="16">
        <f t="shared" si="12"/>
        <v>-173.3333333</v>
      </c>
      <c r="AA82" s="16">
        <f t="shared" si="13"/>
        <v>66</v>
      </c>
      <c r="AB82" s="16">
        <f t="shared" si="14"/>
        <v>0</v>
      </c>
    </row>
    <row r="83" ht="15.75" customHeight="1">
      <c r="A83" s="11" t="str">
        <f>IFERROR(__xludf.DUMMYFUNCTION("""COMPUTED_VALUE"""),"2001807613")</f>
        <v>2001807613</v>
      </c>
      <c r="B83" s="11" t="str">
        <f t="array" ref="B83">INDEX(Invoice!A:A,MATCH(Calculations!A83,Invoice!B:B,0))</f>
        <v>1091117333251</v>
      </c>
      <c r="C83" s="12">
        <f t="array" ref="C83">INDEX(Invoice!D:D,MATCH(Calculations!A83,Invoice!B:B,0))</f>
        <v>121003</v>
      </c>
      <c r="D83" s="11" t="str">
        <f t="array" ref="D83">INDEX(Invoice!E:E,MATCH(Calculations!A83,Invoice!B:B,0))</f>
        <v>335803</v>
      </c>
      <c r="E83" s="12" t="str">
        <f t="array" ref="E83">INDEX(Invoice!G:G,MATCH(Calculations!A83,Invoice!B:B,0))</f>
        <v>Forward charges</v>
      </c>
      <c r="F83" s="12" t="str">
        <f t="shared" si="1"/>
        <v>Yes</v>
      </c>
      <c r="G83" s="13" t="str">
        <f t="shared" si="2"/>
        <v>fwd</v>
      </c>
      <c r="H83" s="13" t="str">
        <f t="shared" si="3"/>
        <v>No</v>
      </c>
      <c r="I83" s="12" t="str">
        <f t="shared" si="4"/>
        <v/>
      </c>
      <c r="J83" s="12">
        <f>SUMIF(OrderReport!A:A,A83,OrderReport!E:E)</f>
        <v>830</v>
      </c>
      <c r="K83" s="12">
        <f t="shared" si="5"/>
        <v>0.83</v>
      </c>
      <c r="L83" s="12">
        <f t="shared" si="6"/>
        <v>1000</v>
      </c>
      <c r="M83" s="12">
        <f t="shared" si="7"/>
        <v>1</v>
      </c>
      <c r="N83" s="11" t="str">
        <f t="array" ref="N83">INDEX(PincodeZones!C:C,MATCH(1,(PincodeZones!A:A=C83)*(PincodeZones!B:B=D83),0))</f>
        <v>b</v>
      </c>
      <c r="O83" s="12">
        <f t="array" ref="O83">INDEX(RatesTable!E:E,MATCH(1,(RatesTable!B:B=G83)*(RatesTable!C:C=N83)*(RatesTable!D:D="fixed"),0))</f>
        <v>33</v>
      </c>
      <c r="P83" s="12">
        <f t="array" ref="P83">((M83-0.5)/0.5)*INDEX(RatesTable!E:E,MATCH(1,(RatesTable!B:B=G83)*(RatesTable!C:C=N83)*(RatesTable!D:D="additional"),0))</f>
        <v>28.3</v>
      </c>
      <c r="Q83" s="12">
        <f t="array" ref="Q83">IFNA(INDEX(RatesTable!E:E,MATCH(1,(RatesTable!B:B=I83)*(RatesTable!C:C=N83)*(RatesTable!D:D="fixed"),0)),0)</f>
        <v>0</v>
      </c>
      <c r="R83" s="13">
        <f t="array" ref="R83">((M83-0.5)/0.5)*IFNA(INDEX(RatesTable!E:E,MATCH(1,(RatesTable!B:B=I83)*(RatesTable!C:C=N83)*(RatesTable!D:D="additional"),0)),0)</f>
        <v>0</v>
      </c>
      <c r="S83" s="12">
        <f t="shared" si="8"/>
        <v>61.3</v>
      </c>
      <c r="T83" s="12" t="str">
        <f t="array" ref="T83">INDEX(Invoice!C:C,MATCH(B83,(Invoice!A:A),0))</f>
        <v>1.04</v>
      </c>
      <c r="U83" s="12">
        <f t="shared" si="9"/>
        <v>1040</v>
      </c>
      <c r="V83" s="12">
        <f t="shared" si="10"/>
        <v>1.5</v>
      </c>
      <c r="W83" s="12" t="str">
        <f t="array" ref="W83">INDEX(Invoice!F:F,MATCH(B83,(Invoice!A:A),0))</f>
        <v>d</v>
      </c>
      <c r="X83" s="14">
        <f t="array" ref="X83">INDEX(Invoice!H:H,MATCH(B83,(Invoice!A:A),0))</f>
        <v>135</v>
      </c>
      <c r="Y83" s="15">
        <f t="shared" si="11"/>
        <v>-73.7</v>
      </c>
      <c r="Z83" s="16">
        <f t="shared" si="12"/>
        <v>-120.228385</v>
      </c>
      <c r="AA83" s="16">
        <f t="shared" si="13"/>
        <v>73.85542169</v>
      </c>
      <c r="AB83" s="16">
        <f t="shared" si="14"/>
        <v>0</v>
      </c>
    </row>
    <row r="84" ht="15.75" customHeight="1">
      <c r="A84" s="11" t="str">
        <f>IFERROR(__xludf.DUMMYFUNCTION("""COMPUTED_VALUE"""),"2001807415")</f>
        <v>2001807415</v>
      </c>
      <c r="B84" s="11" t="str">
        <f t="array" ref="B84">INDEX(Invoice!A:A,MATCH(Calculations!A84,Invoice!B:B,0))</f>
        <v>1091117325094</v>
      </c>
      <c r="C84" s="12">
        <f t="array" ref="C84">INDEX(Invoice!D:D,MATCH(Calculations!A84,Invoice!B:B,0))</f>
        <v>121003</v>
      </c>
      <c r="D84" s="11" t="str">
        <f t="array" ref="D84">INDEX(Invoice!E:E,MATCH(Calculations!A84,Invoice!B:B,0))</f>
        <v>208001</v>
      </c>
      <c r="E84" s="12" t="str">
        <f t="array" ref="E84">INDEX(Invoice!G:G,MATCH(Calculations!A84,Invoice!B:B,0))</f>
        <v>Forward charges</v>
      </c>
      <c r="F84" s="12" t="str">
        <f t="shared" si="1"/>
        <v>Yes</v>
      </c>
      <c r="G84" s="13" t="str">
        <f t="shared" si="2"/>
        <v>fwd</v>
      </c>
      <c r="H84" s="13" t="str">
        <f t="shared" si="3"/>
        <v>No</v>
      </c>
      <c r="I84" s="12" t="str">
        <f t="shared" si="4"/>
        <v/>
      </c>
      <c r="J84" s="12">
        <f>SUMIF(OrderReport!A:A,A84,OrderReport!E:E)</f>
        <v>1048</v>
      </c>
      <c r="K84" s="12">
        <f t="shared" si="5"/>
        <v>1.048</v>
      </c>
      <c r="L84" s="12">
        <f t="shared" si="6"/>
        <v>1500</v>
      </c>
      <c r="M84" s="12">
        <f t="shared" si="7"/>
        <v>1.5</v>
      </c>
      <c r="N84" s="11" t="str">
        <f t="array" ref="N84">INDEX(PincodeZones!C:C,MATCH(1,(PincodeZones!A:A=C84)*(PincodeZones!B:B=D84),0))</f>
        <v>b</v>
      </c>
      <c r="O84" s="12">
        <f t="array" ref="O84">INDEX(RatesTable!E:E,MATCH(1,(RatesTable!B:B=G84)*(RatesTable!C:C=N84)*(RatesTable!D:D="fixed"),0))</f>
        <v>33</v>
      </c>
      <c r="P84" s="12">
        <f t="array" ref="P84">((M84-0.5)/0.5)*INDEX(RatesTable!E:E,MATCH(1,(RatesTable!B:B=G84)*(RatesTable!C:C=N84)*(RatesTable!D:D="additional"),0))</f>
        <v>56.6</v>
      </c>
      <c r="Q84" s="12">
        <f t="array" ref="Q84">IFNA(INDEX(RatesTable!E:E,MATCH(1,(RatesTable!B:B=I84)*(RatesTable!C:C=N84)*(RatesTable!D:D="fixed"),0)),0)</f>
        <v>0</v>
      </c>
      <c r="R84" s="13">
        <f t="array" ref="R84">((M84-0.5)/0.5)*IFNA(INDEX(RatesTable!E:E,MATCH(1,(RatesTable!B:B=I84)*(RatesTable!C:C=N84)*(RatesTable!D:D="additional"),0)),0)</f>
        <v>0</v>
      </c>
      <c r="S84" s="12">
        <f t="shared" si="8"/>
        <v>89.6</v>
      </c>
      <c r="T84" s="12" t="str">
        <f t="array" ref="T84">INDEX(Invoice!C:C,MATCH(B84,(Invoice!A:A),0))</f>
        <v>1</v>
      </c>
      <c r="U84" s="12">
        <f t="shared" si="9"/>
        <v>1000</v>
      </c>
      <c r="V84" s="12">
        <f t="shared" si="10"/>
        <v>1</v>
      </c>
      <c r="W84" s="12" t="str">
        <f t="array" ref="W84">INDEX(Invoice!F:F,MATCH(B84,(Invoice!A:A),0))</f>
        <v>b</v>
      </c>
      <c r="X84" s="14">
        <f t="array" ref="X84">INDEX(Invoice!H:H,MATCH(B84,(Invoice!A:A),0))</f>
        <v>61.3</v>
      </c>
      <c r="Y84" s="15">
        <f t="shared" si="11"/>
        <v>28.3</v>
      </c>
      <c r="Z84" s="16">
        <f t="shared" si="12"/>
        <v>31.58482143</v>
      </c>
      <c r="AA84" s="16">
        <f t="shared" si="13"/>
        <v>85.49618321</v>
      </c>
      <c r="AB84" s="16">
        <f t="shared" si="14"/>
        <v>0</v>
      </c>
    </row>
    <row r="85" ht="15.75" customHeight="1">
      <c r="A85" s="11" t="str">
        <f>IFERROR(__xludf.DUMMYFUNCTION("""COMPUTED_VALUE"""),"2001807362")</f>
        <v>2001807362</v>
      </c>
      <c r="B85" s="11" t="str">
        <f t="array" ref="B85">INDEX(Invoice!A:A,MATCH(Calculations!A85,Invoice!B:B,0))</f>
        <v>1091117324394</v>
      </c>
      <c r="C85" s="12">
        <f t="array" ref="C85">INDEX(Invoice!D:D,MATCH(Calculations!A85,Invoice!B:B,0))</f>
        <v>121003</v>
      </c>
      <c r="D85" s="11" t="str">
        <f t="array" ref="D85">INDEX(Invoice!E:E,MATCH(Calculations!A85,Invoice!B:B,0))</f>
        <v>452018</v>
      </c>
      <c r="E85" s="12" t="str">
        <f t="array" ref="E85">INDEX(Invoice!G:G,MATCH(Calculations!A85,Invoice!B:B,0))</f>
        <v>Forward charges</v>
      </c>
      <c r="F85" s="12" t="str">
        <f t="shared" si="1"/>
        <v>Yes</v>
      </c>
      <c r="G85" s="13" t="str">
        <f t="shared" si="2"/>
        <v>fwd</v>
      </c>
      <c r="H85" s="13" t="str">
        <f t="shared" si="3"/>
        <v>No</v>
      </c>
      <c r="I85" s="12" t="str">
        <f t="shared" si="4"/>
        <v/>
      </c>
      <c r="J85" s="12">
        <f>SUMIF(OrderReport!A:A,A85,OrderReport!E:E)</f>
        <v>2016</v>
      </c>
      <c r="K85" s="12">
        <f t="shared" si="5"/>
        <v>2.016</v>
      </c>
      <c r="L85" s="12">
        <f t="shared" si="6"/>
        <v>2500</v>
      </c>
      <c r="M85" s="12">
        <f t="shared" si="7"/>
        <v>2.5</v>
      </c>
      <c r="N85" s="11" t="str">
        <f t="array" ref="N85">INDEX(PincodeZones!C:C,MATCH(1,(PincodeZones!A:A=C85)*(PincodeZones!B:B=D85),0))</f>
        <v>d</v>
      </c>
      <c r="O85" s="12">
        <f t="array" ref="O85">INDEX(RatesTable!E:E,MATCH(1,(RatesTable!B:B=G85)*(RatesTable!C:C=N85)*(RatesTable!D:D="fixed"),0))</f>
        <v>45.4</v>
      </c>
      <c r="P85" s="12">
        <f t="array" ref="P85">((M85-0.5)/0.5)*INDEX(RatesTable!E:E,MATCH(1,(RatesTable!B:B=G85)*(RatesTable!C:C=N85)*(RatesTable!D:D="additional"),0))</f>
        <v>179.2</v>
      </c>
      <c r="Q85" s="12">
        <f t="array" ref="Q85">IFNA(INDEX(RatesTable!E:E,MATCH(1,(RatesTable!B:B=I85)*(RatesTable!C:C=N85)*(RatesTable!D:D="fixed"),0)),0)</f>
        <v>0</v>
      </c>
      <c r="R85" s="13">
        <f t="array" ref="R85">((M85-0.5)/0.5)*IFNA(INDEX(RatesTable!E:E,MATCH(1,(RatesTable!B:B=I85)*(RatesTable!C:C=N85)*(RatesTable!D:D="additional"),0)),0)</f>
        <v>0</v>
      </c>
      <c r="S85" s="12">
        <f t="shared" si="8"/>
        <v>224.6</v>
      </c>
      <c r="T85" s="12" t="str">
        <f t="array" ref="T85">INDEX(Invoice!C:C,MATCH(B85,(Invoice!A:A),0))</f>
        <v>2</v>
      </c>
      <c r="U85" s="12">
        <f t="shared" si="9"/>
        <v>2000</v>
      </c>
      <c r="V85" s="12">
        <f t="shared" si="10"/>
        <v>2</v>
      </c>
      <c r="W85" s="12" t="str">
        <f t="array" ref="W85">INDEX(Invoice!F:F,MATCH(B85,(Invoice!A:A),0))</f>
        <v>d</v>
      </c>
      <c r="X85" s="14">
        <f t="array" ref="X85">INDEX(Invoice!H:H,MATCH(B85,(Invoice!A:A),0))</f>
        <v>179.8</v>
      </c>
      <c r="Y85" s="15">
        <f t="shared" si="11"/>
        <v>44.8</v>
      </c>
      <c r="Z85" s="16">
        <f t="shared" si="12"/>
        <v>19.94657168</v>
      </c>
      <c r="AA85" s="16">
        <f t="shared" si="13"/>
        <v>111.4087302</v>
      </c>
      <c r="AB85" s="16">
        <f t="shared" si="14"/>
        <v>0</v>
      </c>
    </row>
    <row r="86" ht="15.75" customHeight="1">
      <c r="A86" s="11" t="str">
        <f>IFERROR(__xludf.DUMMYFUNCTION("""COMPUTED_VALUE"""),"2001807329")</f>
        <v>2001807329</v>
      </c>
      <c r="B86" s="11" t="str">
        <f t="array" ref="B86">INDEX(Invoice!A:A,MATCH(Calculations!A86,Invoice!B:B,0))</f>
        <v>1091117333100</v>
      </c>
      <c r="C86" s="12">
        <f t="array" ref="C86">INDEX(Invoice!D:D,MATCH(Calculations!A86,Invoice!B:B,0))</f>
        <v>121003</v>
      </c>
      <c r="D86" s="11" t="str">
        <f t="array" ref="D86">INDEX(Invoice!E:E,MATCH(Calculations!A86,Invoice!B:B,0))</f>
        <v>302039</v>
      </c>
      <c r="E86" s="12" t="str">
        <f t="array" ref="E86">INDEX(Invoice!G:G,MATCH(Calculations!A86,Invoice!B:B,0))</f>
        <v>Forward charges</v>
      </c>
      <c r="F86" s="12" t="str">
        <f t="shared" si="1"/>
        <v>Yes</v>
      </c>
      <c r="G86" s="13" t="str">
        <f t="shared" si="2"/>
        <v>fwd</v>
      </c>
      <c r="H86" s="13" t="str">
        <f t="shared" si="3"/>
        <v>No</v>
      </c>
      <c r="I86" s="12" t="str">
        <f t="shared" si="4"/>
        <v/>
      </c>
      <c r="J86" s="12">
        <f>SUMIF(OrderReport!A:A,A86,OrderReport!E:E)</f>
        <v>500</v>
      </c>
      <c r="K86" s="12">
        <f t="shared" si="5"/>
        <v>0.5</v>
      </c>
      <c r="L86" s="12">
        <f t="shared" si="6"/>
        <v>500</v>
      </c>
      <c r="M86" s="12">
        <f t="shared" si="7"/>
        <v>0.5</v>
      </c>
      <c r="N86" s="11" t="str">
        <f t="array" ref="N86">INDEX(PincodeZones!C:C,MATCH(1,(PincodeZones!A:A=C86)*(PincodeZones!B:B=D86),0))</f>
        <v>b</v>
      </c>
      <c r="O86" s="12">
        <f t="array" ref="O86">INDEX(RatesTable!E:E,MATCH(1,(RatesTable!B:B=G86)*(RatesTable!C:C=N86)*(RatesTable!D:D="fixed"),0))</f>
        <v>33</v>
      </c>
      <c r="P86" s="12">
        <f t="array" ref="P86">((M86-0.5)/0.5)*INDEX(RatesTable!E:E,MATCH(1,(RatesTable!B:B=G86)*(RatesTable!C:C=N86)*(RatesTable!D:D="additional"),0))</f>
        <v>0</v>
      </c>
      <c r="Q86" s="12">
        <f t="array" ref="Q86">IFNA(INDEX(RatesTable!E:E,MATCH(1,(RatesTable!B:B=I86)*(RatesTable!C:C=N86)*(RatesTable!D:D="fixed"),0)),0)</f>
        <v>0</v>
      </c>
      <c r="R86" s="13">
        <f t="array" ref="R86">((M86-0.5)/0.5)*IFNA(INDEX(RatesTable!E:E,MATCH(1,(RatesTable!B:B=I86)*(RatesTable!C:C=N86)*(RatesTable!D:D="additional"),0)),0)</f>
        <v>0</v>
      </c>
      <c r="S86" s="12">
        <f t="shared" si="8"/>
        <v>33</v>
      </c>
      <c r="T86" s="12" t="str">
        <f t="array" ref="T86">INDEX(Invoice!C:C,MATCH(B86,(Invoice!A:A),0))</f>
        <v>0.73</v>
      </c>
      <c r="U86" s="12">
        <f t="shared" si="9"/>
        <v>730</v>
      </c>
      <c r="V86" s="12">
        <f t="shared" si="10"/>
        <v>1</v>
      </c>
      <c r="W86" s="12" t="str">
        <f t="array" ref="W86">INDEX(Invoice!F:F,MATCH(B86,(Invoice!A:A),0))</f>
        <v>d</v>
      </c>
      <c r="X86" s="14">
        <f t="array" ref="X86">INDEX(Invoice!H:H,MATCH(B86,(Invoice!A:A),0))</f>
        <v>90.2</v>
      </c>
      <c r="Y86" s="15">
        <f t="shared" si="11"/>
        <v>-57.2</v>
      </c>
      <c r="Z86" s="16">
        <f t="shared" si="12"/>
        <v>-173.3333333</v>
      </c>
      <c r="AA86" s="16">
        <f t="shared" si="13"/>
        <v>66</v>
      </c>
      <c r="AB86" s="16">
        <f t="shared" si="14"/>
        <v>0</v>
      </c>
    </row>
    <row r="87" ht="15.75" customHeight="1">
      <c r="A87" s="11" t="str">
        <f>IFERROR(__xludf.DUMMYFUNCTION("""COMPUTED_VALUE"""),"2001807328")</f>
        <v>2001807328</v>
      </c>
      <c r="B87" s="11" t="str">
        <f t="array" ref="B87">INDEX(Invoice!A:A,MATCH(Calculations!A87,Invoice!B:B,0))</f>
        <v>1091117324346</v>
      </c>
      <c r="C87" s="12">
        <f t="array" ref="C87">INDEX(Invoice!D:D,MATCH(Calculations!A87,Invoice!B:B,0))</f>
        <v>121003</v>
      </c>
      <c r="D87" s="11" t="str">
        <f t="array" ref="D87">INDEX(Invoice!E:E,MATCH(Calculations!A87,Invoice!B:B,0))</f>
        <v>335502</v>
      </c>
      <c r="E87" s="12" t="str">
        <f t="array" ref="E87">INDEX(Invoice!G:G,MATCH(Calculations!A87,Invoice!B:B,0))</f>
        <v>Forward charges</v>
      </c>
      <c r="F87" s="12" t="str">
        <f t="shared" si="1"/>
        <v>Yes</v>
      </c>
      <c r="G87" s="13" t="str">
        <f t="shared" si="2"/>
        <v>fwd</v>
      </c>
      <c r="H87" s="13" t="str">
        <f t="shared" si="3"/>
        <v>No</v>
      </c>
      <c r="I87" s="12" t="str">
        <f t="shared" si="4"/>
        <v/>
      </c>
      <c r="J87" s="12">
        <f>SUMIF(OrderReport!A:A,A87,OrderReport!E:E)</f>
        <v>490</v>
      </c>
      <c r="K87" s="12">
        <f t="shared" si="5"/>
        <v>0.49</v>
      </c>
      <c r="L87" s="12">
        <f t="shared" si="6"/>
        <v>500</v>
      </c>
      <c r="M87" s="12">
        <f t="shared" si="7"/>
        <v>0.5</v>
      </c>
      <c r="N87" s="11" t="str">
        <f t="array" ref="N87">INDEX(PincodeZones!C:C,MATCH(1,(PincodeZones!A:A=C87)*(PincodeZones!B:B=D87),0))</f>
        <v>b</v>
      </c>
      <c r="O87" s="12">
        <f t="array" ref="O87">INDEX(RatesTable!E:E,MATCH(1,(RatesTable!B:B=G87)*(RatesTable!C:C=N87)*(RatesTable!D:D="fixed"),0))</f>
        <v>33</v>
      </c>
      <c r="P87" s="12">
        <f t="array" ref="P87">((M87-0.5)/0.5)*INDEX(RatesTable!E:E,MATCH(1,(RatesTable!B:B=G87)*(RatesTable!C:C=N87)*(RatesTable!D:D="additional"),0))</f>
        <v>0</v>
      </c>
      <c r="Q87" s="12">
        <f t="array" ref="Q87">IFNA(INDEX(RatesTable!E:E,MATCH(1,(RatesTable!B:B=I87)*(RatesTable!C:C=N87)*(RatesTable!D:D="fixed"),0)),0)</f>
        <v>0</v>
      </c>
      <c r="R87" s="13">
        <f t="array" ref="R87">((M87-0.5)/0.5)*IFNA(INDEX(RatesTable!E:E,MATCH(1,(RatesTable!B:B=I87)*(RatesTable!C:C=N87)*(RatesTable!D:D="additional"),0)),0)</f>
        <v>0</v>
      </c>
      <c r="S87" s="12">
        <f t="shared" si="8"/>
        <v>33</v>
      </c>
      <c r="T87" s="12" t="str">
        <f t="array" ref="T87">INDEX(Invoice!C:C,MATCH(B87,(Invoice!A:A),0))</f>
        <v>2.28</v>
      </c>
      <c r="U87" s="12">
        <f t="shared" si="9"/>
        <v>2280</v>
      </c>
      <c r="V87" s="12">
        <f t="shared" si="10"/>
        <v>2.5</v>
      </c>
      <c r="W87" s="12" t="str">
        <f t="array" ref="W87">INDEX(Invoice!F:F,MATCH(B87,(Invoice!A:A),0))</f>
        <v>d</v>
      </c>
      <c r="X87" s="14">
        <f t="array" ref="X87">INDEX(Invoice!H:H,MATCH(B87,(Invoice!A:A),0))</f>
        <v>224.6</v>
      </c>
      <c r="Y87" s="15">
        <f t="shared" si="11"/>
        <v>-191.6</v>
      </c>
      <c r="Z87" s="16">
        <f t="shared" si="12"/>
        <v>-580.6060606</v>
      </c>
      <c r="AA87" s="16">
        <f t="shared" si="13"/>
        <v>67.34693878</v>
      </c>
      <c r="AB87" s="16">
        <f t="shared" si="14"/>
        <v>0</v>
      </c>
    </row>
    <row r="88" ht="15.75" customHeight="1">
      <c r="A88" s="11" t="str">
        <f>IFERROR(__xludf.DUMMYFUNCTION("""COMPUTED_VALUE"""),"2001807290")</f>
        <v>2001807290</v>
      </c>
      <c r="B88" s="11" t="str">
        <f t="array" ref="B88">INDEX(Invoice!A:A,MATCH(Calculations!A88,Invoice!B:B,0))</f>
        <v>1091117324206</v>
      </c>
      <c r="C88" s="12">
        <f t="array" ref="C88">INDEX(Invoice!D:D,MATCH(Calculations!A88,Invoice!B:B,0))</f>
        <v>121003</v>
      </c>
      <c r="D88" s="11" t="str">
        <f t="array" ref="D88">INDEX(Invoice!E:E,MATCH(Calculations!A88,Invoice!B:B,0))</f>
        <v>711106</v>
      </c>
      <c r="E88" s="12" t="str">
        <f t="array" ref="E88">INDEX(Invoice!G:G,MATCH(Calculations!A88,Invoice!B:B,0))</f>
        <v>Forward charges</v>
      </c>
      <c r="F88" s="12" t="str">
        <f t="shared" si="1"/>
        <v>Yes</v>
      </c>
      <c r="G88" s="13" t="str">
        <f t="shared" si="2"/>
        <v>fwd</v>
      </c>
      <c r="H88" s="13" t="str">
        <f t="shared" si="3"/>
        <v>No</v>
      </c>
      <c r="I88" s="12" t="str">
        <f t="shared" si="4"/>
        <v/>
      </c>
      <c r="J88" s="12">
        <f>SUMIF(OrderReport!A:A,A88,OrderReport!E:E)</f>
        <v>500</v>
      </c>
      <c r="K88" s="12">
        <f t="shared" si="5"/>
        <v>0.5</v>
      </c>
      <c r="L88" s="12">
        <f t="shared" si="6"/>
        <v>500</v>
      </c>
      <c r="M88" s="12">
        <f t="shared" si="7"/>
        <v>0.5</v>
      </c>
      <c r="N88" s="11" t="str">
        <f t="array" ref="N88">INDEX(PincodeZones!C:C,MATCH(1,(PincodeZones!A:A=C88)*(PincodeZones!B:B=D88),0))</f>
        <v>d</v>
      </c>
      <c r="O88" s="12">
        <f t="array" ref="O88">INDEX(RatesTable!E:E,MATCH(1,(RatesTable!B:B=G88)*(RatesTable!C:C=N88)*(RatesTable!D:D="fixed"),0))</f>
        <v>45.4</v>
      </c>
      <c r="P88" s="12">
        <f t="array" ref="P88">((M88-0.5)/0.5)*INDEX(RatesTable!E:E,MATCH(1,(RatesTable!B:B=G88)*(RatesTable!C:C=N88)*(RatesTable!D:D="additional"),0))</f>
        <v>0</v>
      </c>
      <c r="Q88" s="12">
        <f t="array" ref="Q88">IFNA(INDEX(RatesTable!E:E,MATCH(1,(RatesTable!B:B=I88)*(RatesTable!C:C=N88)*(RatesTable!D:D="fixed"),0)),0)</f>
        <v>0</v>
      </c>
      <c r="R88" s="13">
        <f t="array" ref="R88">((M88-0.5)/0.5)*IFNA(INDEX(RatesTable!E:E,MATCH(1,(RatesTable!B:B=I88)*(RatesTable!C:C=N88)*(RatesTable!D:D="additional"),0)),0)</f>
        <v>0</v>
      </c>
      <c r="S88" s="12">
        <f t="shared" si="8"/>
        <v>45.4</v>
      </c>
      <c r="T88" s="12" t="str">
        <f t="array" ref="T88">INDEX(Invoice!C:C,MATCH(B88,(Invoice!A:A),0))</f>
        <v>0.5</v>
      </c>
      <c r="U88" s="12">
        <f t="shared" si="9"/>
        <v>500</v>
      </c>
      <c r="V88" s="12">
        <f t="shared" si="10"/>
        <v>0.5</v>
      </c>
      <c r="W88" s="12" t="str">
        <f t="array" ref="W88">INDEX(Invoice!F:F,MATCH(B88,(Invoice!A:A),0))</f>
        <v>d</v>
      </c>
      <c r="X88" s="14">
        <f t="array" ref="X88">INDEX(Invoice!H:H,MATCH(B88,(Invoice!A:A),0))</f>
        <v>45.4</v>
      </c>
      <c r="Y88" s="15">
        <f t="shared" si="11"/>
        <v>0</v>
      </c>
      <c r="Z88" s="16">
        <f t="shared" si="12"/>
        <v>0</v>
      </c>
      <c r="AA88" s="16">
        <f t="shared" si="13"/>
        <v>90.8</v>
      </c>
      <c r="AB88" s="16">
        <f t="shared" si="14"/>
        <v>0</v>
      </c>
    </row>
    <row r="89" ht="15.75" customHeight="1">
      <c r="A89" s="11" t="str">
        <f>IFERROR(__xludf.DUMMYFUNCTION("""COMPUTED_VALUE"""),"2001807241")</f>
        <v>2001807241</v>
      </c>
      <c r="B89" s="11" t="str">
        <f t="array" ref="B89">INDEX(Invoice!A:A,MATCH(Calculations!A89,Invoice!B:B,0))</f>
        <v>1091117324011</v>
      </c>
      <c r="C89" s="12">
        <f t="array" ref="C89">INDEX(Invoice!D:D,MATCH(Calculations!A89,Invoice!B:B,0))</f>
        <v>121003</v>
      </c>
      <c r="D89" s="11" t="str">
        <f t="array" ref="D89">INDEX(Invoice!E:E,MATCH(Calculations!A89,Invoice!B:B,0))</f>
        <v>341001</v>
      </c>
      <c r="E89" s="12" t="str">
        <f t="array" ref="E89">INDEX(Invoice!G:G,MATCH(Calculations!A89,Invoice!B:B,0))</f>
        <v>Forward charges</v>
      </c>
      <c r="F89" s="12" t="str">
        <f t="shared" si="1"/>
        <v>Yes</v>
      </c>
      <c r="G89" s="13" t="str">
        <f t="shared" si="2"/>
        <v>fwd</v>
      </c>
      <c r="H89" s="13" t="str">
        <f t="shared" si="3"/>
        <v>No</v>
      </c>
      <c r="I89" s="12" t="str">
        <f t="shared" si="4"/>
        <v/>
      </c>
      <c r="J89" s="12">
        <f>SUMIF(OrderReport!A:A,A89,OrderReport!E:E)</f>
        <v>607</v>
      </c>
      <c r="K89" s="12">
        <f t="shared" si="5"/>
        <v>0.607</v>
      </c>
      <c r="L89" s="12">
        <f t="shared" si="6"/>
        <v>1000</v>
      </c>
      <c r="M89" s="12">
        <f t="shared" si="7"/>
        <v>1</v>
      </c>
      <c r="N89" s="11" t="str">
        <f t="array" ref="N89">INDEX(PincodeZones!C:C,MATCH(1,(PincodeZones!A:A=C89)*(PincodeZones!B:B=D89),0))</f>
        <v>b</v>
      </c>
      <c r="O89" s="12">
        <f t="array" ref="O89">INDEX(RatesTable!E:E,MATCH(1,(RatesTable!B:B=G89)*(RatesTable!C:C=N89)*(RatesTable!D:D="fixed"),0))</f>
        <v>33</v>
      </c>
      <c r="P89" s="12">
        <f t="array" ref="P89">((M89-0.5)/0.5)*INDEX(RatesTable!E:E,MATCH(1,(RatesTable!B:B=G89)*(RatesTable!C:C=N89)*(RatesTable!D:D="additional"),0))</f>
        <v>28.3</v>
      </c>
      <c r="Q89" s="12">
        <f t="array" ref="Q89">IFNA(INDEX(RatesTable!E:E,MATCH(1,(RatesTable!B:B=I89)*(RatesTable!C:C=N89)*(RatesTable!D:D="fixed"),0)),0)</f>
        <v>0</v>
      </c>
      <c r="R89" s="13">
        <f t="array" ref="R89">((M89-0.5)/0.5)*IFNA(INDEX(RatesTable!E:E,MATCH(1,(RatesTable!B:B=I89)*(RatesTable!C:C=N89)*(RatesTable!D:D="additional"),0)),0)</f>
        <v>0</v>
      </c>
      <c r="S89" s="12">
        <f t="shared" si="8"/>
        <v>61.3</v>
      </c>
      <c r="T89" s="12" t="str">
        <f t="array" ref="T89">INDEX(Invoice!C:C,MATCH(B89,(Invoice!A:A),0))</f>
        <v>0.79</v>
      </c>
      <c r="U89" s="12">
        <f t="shared" si="9"/>
        <v>790</v>
      </c>
      <c r="V89" s="12">
        <f t="shared" si="10"/>
        <v>1</v>
      </c>
      <c r="W89" s="12" t="str">
        <f t="array" ref="W89">INDEX(Invoice!F:F,MATCH(B89,(Invoice!A:A),0))</f>
        <v>d</v>
      </c>
      <c r="X89" s="14">
        <f t="array" ref="X89">INDEX(Invoice!H:H,MATCH(B89,(Invoice!A:A),0))</f>
        <v>90.2</v>
      </c>
      <c r="Y89" s="15">
        <f t="shared" si="11"/>
        <v>-28.9</v>
      </c>
      <c r="Z89" s="16">
        <f t="shared" si="12"/>
        <v>-47.1451876</v>
      </c>
      <c r="AA89" s="16">
        <f t="shared" si="13"/>
        <v>100.9884679</v>
      </c>
      <c r="AB89" s="16">
        <f t="shared" si="14"/>
        <v>0</v>
      </c>
    </row>
    <row r="90" ht="15.75" customHeight="1">
      <c r="A90" s="11" t="str">
        <f>IFERROR(__xludf.DUMMYFUNCTION("""COMPUTED_VALUE"""),"2001807186")</f>
        <v>2001807186</v>
      </c>
      <c r="B90" s="11" t="str">
        <f t="array" ref="B90">INDEX(Invoice!A:A,MATCH(Calculations!A90,Invoice!B:B,0))</f>
        <v>1091117323812</v>
      </c>
      <c r="C90" s="12">
        <f t="array" ref="C90">INDEX(Invoice!D:D,MATCH(Calculations!A90,Invoice!B:B,0))</f>
        <v>121003</v>
      </c>
      <c r="D90" s="11" t="str">
        <f t="array" ref="D90">INDEX(Invoice!E:E,MATCH(Calculations!A90,Invoice!B:B,0))</f>
        <v>396001</v>
      </c>
      <c r="E90" s="12" t="str">
        <f t="array" ref="E90">INDEX(Invoice!G:G,MATCH(Calculations!A90,Invoice!B:B,0))</f>
        <v>Forward charges</v>
      </c>
      <c r="F90" s="12" t="str">
        <f t="shared" si="1"/>
        <v>Yes</v>
      </c>
      <c r="G90" s="13" t="str">
        <f t="shared" si="2"/>
        <v>fwd</v>
      </c>
      <c r="H90" s="13" t="str">
        <f t="shared" si="3"/>
        <v>No</v>
      </c>
      <c r="I90" s="12" t="str">
        <f t="shared" si="4"/>
        <v/>
      </c>
      <c r="J90" s="12">
        <f>SUMIF(OrderReport!A:A,A90,OrderReport!E:E)</f>
        <v>500</v>
      </c>
      <c r="K90" s="12">
        <f t="shared" si="5"/>
        <v>0.5</v>
      </c>
      <c r="L90" s="12">
        <f t="shared" si="6"/>
        <v>500</v>
      </c>
      <c r="M90" s="12">
        <f t="shared" si="7"/>
        <v>0.5</v>
      </c>
      <c r="N90" s="11" t="str">
        <f t="array" ref="N90">INDEX(PincodeZones!C:C,MATCH(1,(PincodeZones!A:A=C90)*(PincodeZones!B:B=D90),0))</f>
        <v>d</v>
      </c>
      <c r="O90" s="12">
        <f t="array" ref="O90">INDEX(RatesTable!E:E,MATCH(1,(RatesTable!B:B=G90)*(RatesTable!C:C=N90)*(RatesTable!D:D="fixed"),0))</f>
        <v>45.4</v>
      </c>
      <c r="P90" s="12">
        <f t="array" ref="P90">((M90-0.5)/0.5)*INDEX(RatesTable!E:E,MATCH(1,(RatesTable!B:B=G90)*(RatesTable!C:C=N90)*(RatesTable!D:D="additional"),0))</f>
        <v>0</v>
      </c>
      <c r="Q90" s="12">
        <f t="array" ref="Q90">IFNA(INDEX(RatesTable!E:E,MATCH(1,(RatesTable!B:B=I90)*(RatesTable!C:C=N90)*(RatesTable!D:D="fixed"),0)),0)</f>
        <v>0</v>
      </c>
      <c r="R90" s="13">
        <f t="array" ref="R90">((M90-0.5)/0.5)*IFNA(INDEX(RatesTable!E:E,MATCH(1,(RatesTable!B:B=I90)*(RatesTable!C:C=N90)*(RatesTable!D:D="additional"),0)),0)</f>
        <v>0</v>
      </c>
      <c r="S90" s="12">
        <f t="shared" si="8"/>
        <v>45.4</v>
      </c>
      <c r="T90" s="12" t="str">
        <f t="array" ref="T90">INDEX(Invoice!C:C,MATCH(B90,(Invoice!A:A),0))</f>
        <v>0.5</v>
      </c>
      <c r="U90" s="12">
        <f t="shared" si="9"/>
        <v>500</v>
      </c>
      <c r="V90" s="12">
        <f t="shared" si="10"/>
        <v>0.5</v>
      </c>
      <c r="W90" s="12" t="str">
        <f t="array" ref="W90">INDEX(Invoice!F:F,MATCH(B90,(Invoice!A:A),0))</f>
        <v>d</v>
      </c>
      <c r="X90" s="14">
        <f t="array" ref="X90">INDEX(Invoice!H:H,MATCH(B90,(Invoice!A:A),0))</f>
        <v>45.4</v>
      </c>
      <c r="Y90" s="15">
        <f t="shared" si="11"/>
        <v>0</v>
      </c>
      <c r="Z90" s="16">
        <f t="shared" si="12"/>
        <v>0</v>
      </c>
      <c r="AA90" s="16">
        <f t="shared" si="13"/>
        <v>90.8</v>
      </c>
      <c r="AB90" s="16">
        <f t="shared" si="14"/>
        <v>0</v>
      </c>
    </row>
    <row r="91" ht="15.75" customHeight="1">
      <c r="A91" s="11" t="str">
        <f>IFERROR(__xludf.DUMMYFUNCTION("""COMPUTED_VALUE"""),"2001807084")</f>
        <v>2001807084</v>
      </c>
      <c r="B91" s="11" t="str">
        <f t="array" ref="B91">INDEX(Invoice!A:A,MATCH(Calculations!A91,Invoice!B:B,0))</f>
        <v>1091117323215</v>
      </c>
      <c r="C91" s="12">
        <f t="array" ref="C91">INDEX(Invoice!D:D,MATCH(Calculations!A91,Invoice!B:B,0))</f>
        <v>121003</v>
      </c>
      <c r="D91" s="11" t="str">
        <f t="array" ref="D91">INDEX(Invoice!E:E,MATCH(Calculations!A91,Invoice!B:B,0))</f>
        <v>742103</v>
      </c>
      <c r="E91" s="12" t="str">
        <f t="array" ref="E91">INDEX(Invoice!G:G,MATCH(Calculations!A91,Invoice!B:B,0))</f>
        <v>Forward charges</v>
      </c>
      <c r="F91" s="12" t="str">
        <f t="shared" si="1"/>
        <v>Yes</v>
      </c>
      <c r="G91" s="13" t="str">
        <f t="shared" si="2"/>
        <v>fwd</v>
      </c>
      <c r="H91" s="13" t="str">
        <f t="shared" si="3"/>
        <v>No</v>
      </c>
      <c r="I91" s="12" t="str">
        <f t="shared" si="4"/>
        <v/>
      </c>
      <c r="J91" s="12">
        <f>SUMIF(OrderReport!A:A,A91,OrderReport!E:E)</f>
        <v>500</v>
      </c>
      <c r="K91" s="12">
        <f t="shared" si="5"/>
        <v>0.5</v>
      </c>
      <c r="L91" s="12">
        <f t="shared" si="6"/>
        <v>500</v>
      </c>
      <c r="M91" s="12">
        <f t="shared" si="7"/>
        <v>0.5</v>
      </c>
      <c r="N91" s="11" t="str">
        <f t="array" ref="N91">INDEX(PincodeZones!C:C,MATCH(1,(PincodeZones!A:A=C91)*(PincodeZones!B:B=D91),0))</f>
        <v>d</v>
      </c>
      <c r="O91" s="12">
        <f t="array" ref="O91">INDEX(RatesTable!E:E,MATCH(1,(RatesTable!B:B=G91)*(RatesTable!C:C=N91)*(RatesTable!D:D="fixed"),0))</f>
        <v>45.4</v>
      </c>
      <c r="P91" s="12">
        <f t="array" ref="P91">((M91-0.5)/0.5)*INDEX(RatesTable!E:E,MATCH(1,(RatesTable!B:B=G91)*(RatesTable!C:C=N91)*(RatesTable!D:D="additional"),0))</f>
        <v>0</v>
      </c>
      <c r="Q91" s="12">
        <f t="array" ref="Q91">IFNA(INDEX(RatesTable!E:E,MATCH(1,(RatesTable!B:B=I91)*(RatesTable!C:C=N91)*(RatesTable!D:D="fixed"),0)),0)</f>
        <v>0</v>
      </c>
      <c r="R91" s="13">
        <f t="array" ref="R91">((M91-0.5)/0.5)*IFNA(INDEX(RatesTable!E:E,MATCH(1,(RatesTable!B:B=I91)*(RatesTable!C:C=N91)*(RatesTable!D:D="additional"),0)),0)</f>
        <v>0</v>
      </c>
      <c r="S91" s="12">
        <f t="shared" si="8"/>
        <v>45.4</v>
      </c>
      <c r="T91" s="12" t="str">
        <f t="array" ref="T91">INDEX(Invoice!C:C,MATCH(B91,(Invoice!A:A),0))</f>
        <v>0.67</v>
      </c>
      <c r="U91" s="12">
        <f t="shared" si="9"/>
        <v>670</v>
      </c>
      <c r="V91" s="12">
        <f t="shared" si="10"/>
        <v>1</v>
      </c>
      <c r="W91" s="12" t="str">
        <f t="array" ref="W91">INDEX(Invoice!F:F,MATCH(B91,(Invoice!A:A),0))</f>
        <v>d</v>
      </c>
      <c r="X91" s="14">
        <f t="array" ref="X91">INDEX(Invoice!H:H,MATCH(B91,(Invoice!A:A),0))</f>
        <v>90.2</v>
      </c>
      <c r="Y91" s="15">
        <f t="shared" si="11"/>
        <v>-44.8</v>
      </c>
      <c r="Z91" s="16">
        <f t="shared" si="12"/>
        <v>-98.6784141</v>
      </c>
      <c r="AA91" s="16">
        <f t="shared" si="13"/>
        <v>90.8</v>
      </c>
      <c r="AB91" s="16">
        <f t="shared" si="14"/>
        <v>0</v>
      </c>
    </row>
    <row r="92" ht="15.75" customHeight="1">
      <c r="A92" s="11" t="str">
        <f>IFERROR(__xludf.DUMMYFUNCTION("""COMPUTED_VALUE"""),"2001807058")</f>
        <v>2001807058</v>
      </c>
      <c r="B92" s="11" t="str">
        <f t="array" ref="B92">INDEX(Invoice!A:A,MATCH(Calculations!A92,Invoice!B:B,0))</f>
        <v>1091117323112</v>
      </c>
      <c r="C92" s="12">
        <f t="array" ref="C92">INDEX(Invoice!D:D,MATCH(Calculations!A92,Invoice!B:B,0))</f>
        <v>121003</v>
      </c>
      <c r="D92" s="11" t="str">
        <f t="array" ref="D92">INDEX(Invoice!E:E,MATCH(Calculations!A92,Invoice!B:B,0))</f>
        <v>140301</v>
      </c>
      <c r="E92" s="12" t="str">
        <f t="array" ref="E92">INDEX(Invoice!G:G,MATCH(Calculations!A92,Invoice!B:B,0))</f>
        <v>Forward charges</v>
      </c>
      <c r="F92" s="12" t="str">
        <f t="shared" si="1"/>
        <v>Yes</v>
      </c>
      <c r="G92" s="13" t="str">
        <f t="shared" si="2"/>
        <v>fwd</v>
      </c>
      <c r="H92" s="13" t="str">
        <f t="shared" si="3"/>
        <v>No</v>
      </c>
      <c r="I92" s="12" t="str">
        <f t="shared" si="4"/>
        <v/>
      </c>
      <c r="J92" s="12">
        <f>SUMIF(OrderReport!A:A,A92,OrderReport!E:E)</f>
        <v>1168</v>
      </c>
      <c r="K92" s="12">
        <f t="shared" si="5"/>
        <v>1.168</v>
      </c>
      <c r="L92" s="12">
        <f t="shared" si="6"/>
        <v>1500</v>
      </c>
      <c r="M92" s="12">
        <f t="shared" si="7"/>
        <v>1.5</v>
      </c>
      <c r="N92" s="11" t="str">
        <f t="array" ref="N92">INDEX(PincodeZones!C:C,MATCH(1,(PincodeZones!A:A=C92)*(PincodeZones!B:B=D92),0))</f>
        <v>b</v>
      </c>
      <c r="O92" s="12">
        <f t="array" ref="O92">INDEX(RatesTable!E:E,MATCH(1,(RatesTable!B:B=G92)*(RatesTable!C:C=N92)*(RatesTable!D:D="fixed"),0))</f>
        <v>33</v>
      </c>
      <c r="P92" s="12">
        <f t="array" ref="P92">((M92-0.5)/0.5)*INDEX(RatesTable!E:E,MATCH(1,(RatesTable!B:B=G92)*(RatesTable!C:C=N92)*(RatesTable!D:D="additional"),0))</f>
        <v>56.6</v>
      </c>
      <c r="Q92" s="12">
        <f t="array" ref="Q92">IFNA(INDEX(RatesTable!E:E,MATCH(1,(RatesTable!B:B=I92)*(RatesTable!C:C=N92)*(RatesTable!D:D="fixed"),0)),0)</f>
        <v>0</v>
      </c>
      <c r="R92" s="13">
        <f t="array" ref="R92">((M92-0.5)/0.5)*IFNA(INDEX(RatesTable!E:E,MATCH(1,(RatesTable!B:B=I92)*(RatesTable!C:C=N92)*(RatesTable!D:D="additional"),0)),0)</f>
        <v>0</v>
      </c>
      <c r="S92" s="12">
        <f t="shared" si="8"/>
        <v>89.6</v>
      </c>
      <c r="T92" s="12" t="str">
        <f t="array" ref="T92">INDEX(Invoice!C:C,MATCH(B92,(Invoice!A:A),0))</f>
        <v>1.15</v>
      </c>
      <c r="U92" s="12">
        <f t="shared" si="9"/>
        <v>1150</v>
      </c>
      <c r="V92" s="12">
        <f t="shared" si="10"/>
        <v>1.5</v>
      </c>
      <c r="W92" s="12" t="str">
        <f t="array" ref="W92">INDEX(Invoice!F:F,MATCH(B92,(Invoice!A:A),0))</f>
        <v>b</v>
      </c>
      <c r="X92" s="14">
        <f t="array" ref="X92">INDEX(Invoice!H:H,MATCH(B92,(Invoice!A:A),0))</f>
        <v>89.6</v>
      </c>
      <c r="Y92" s="15">
        <f t="shared" si="11"/>
        <v>0</v>
      </c>
      <c r="Z92" s="16">
        <f t="shared" si="12"/>
        <v>0</v>
      </c>
      <c r="AA92" s="16">
        <f t="shared" si="13"/>
        <v>76.71232877</v>
      </c>
      <c r="AB92" s="16">
        <f t="shared" si="14"/>
        <v>0</v>
      </c>
    </row>
    <row r="93" ht="15.75" customHeight="1">
      <c r="A93" s="11" t="str">
        <f>IFERROR(__xludf.DUMMYFUNCTION("""COMPUTED_VALUE"""),"2001807036")</f>
        <v>2001807036</v>
      </c>
      <c r="B93" s="11" t="str">
        <f t="array" ref="B93">INDEX(Invoice!A:A,MATCH(Calculations!A93,Invoice!B:B,0))</f>
        <v>1091117323005</v>
      </c>
      <c r="C93" s="12">
        <f t="array" ref="C93">INDEX(Invoice!D:D,MATCH(Calculations!A93,Invoice!B:B,0))</f>
        <v>121003</v>
      </c>
      <c r="D93" s="11" t="str">
        <f t="array" ref="D93">INDEX(Invoice!E:E,MATCH(Calculations!A93,Invoice!B:B,0))</f>
        <v>516503</v>
      </c>
      <c r="E93" s="12" t="str">
        <f t="array" ref="E93">INDEX(Invoice!G:G,MATCH(Calculations!A93,Invoice!B:B,0))</f>
        <v>Forward charges</v>
      </c>
      <c r="F93" s="12" t="str">
        <f t="shared" si="1"/>
        <v>Yes</v>
      </c>
      <c r="G93" s="13" t="str">
        <f t="shared" si="2"/>
        <v>fwd</v>
      </c>
      <c r="H93" s="13" t="str">
        <f t="shared" si="3"/>
        <v>No</v>
      </c>
      <c r="I93" s="12" t="str">
        <f t="shared" si="4"/>
        <v/>
      </c>
      <c r="J93" s="12">
        <f>SUMIF(OrderReport!A:A,A93,OrderReport!E:E)</f>
        <v>1459</v>
      </c>
      <c r="K93" s="12">
        <f t="shared" si="5"/>
        <v>1.459</v>
      </c>
      <c r="L93" s="12">
        <f t="shared" si="6"/>
        <v>1500</v>
      </c>
      <c r="M93" s="12">
        <f t="shared" si="7"/>
        <v>1.5</v>
      </c>
      <c r="N93" s="11" t="str">
        <f t="array" ref="N93">INDEX(PincodeZones!C:C,MATCH(1,(PincodeZones!A:A=C93)*(PincodeZones!B:B=D93),0))</f>
        <v>d</v>
      </c>
      <c r="O93" s="12">
        <f t="array" ref="O93">INDEX(RatesTable!E:E,MATCH(1,(RatesTable!B:B=G93)*(RatesTable!C:C=N93)*(RatesTable!D:D="fixed"),0))</f>
        <v>45.4</v>
      </c>
      <c r="P93" s="12">
        <f t="array" ref="P93">((M93-0.5)/0.5)*INDEX(RatesTable!E:E,MATCH(1,(RatesTable!B:B=G93)*(RatesTable!C:C=N93)*(RatesTable!D:D="additional"),0))</f>
        <v>89.6</v>
      </c>
      <c r="Q93" s="12">
        <f t="array" ref="Q93">IFNA(INDEX(RatesTable!E:E,MATCH(1,(RatesTable!B:B=I93)*(RatesTable!C:C=N93)*(RatesTable!D:D="fixed"),0)),0)</f>
        <v>0</v>
      </c>
      <c r="R93" s="13">
        <f t="array" ref="R93">((M93-0.5)/0.5)*IFNA(INDEX(RatesTable!E:E,MATCH(1,(RatesTable!B:B=I93)*(RatesTable!C:C=N93)*(RatesTable!D:D="additional"),0)),0)</f>
        <v>0</v>
      </c>
      <c r="S93" s="12">
        <f t="shared" si="8"/>
        <v>135</v>
      </c>
      <c r="T93" s="12" t="str">
        <f t="array" ref="T93">INDEX(Invoice!C:C,MATCH(B93,(Invoice!A:A),0))</f>
        <v>1.64</v>
      </c>
      <c r="U93" s="12">
        <f t="shared" si="9"/>
        <v>1640</v>
      </c>
      <c r="V93" s="12">
        <f t="shared" si="10"/>
        <v>2</v>
      </c>
      <c r="W93" s="12" t="str">
        <f t="array" ref="W93">INDEX(Invoice!F:F,MATCH(B93,(Invoice!A:A),0))</f>
        <v>d</v>
      </c>
      <c r="X93" s="14">
        <f t="array" ref="X93">INDEX(Invoice!H:H,MATCH(B93,(Invoice!A:A),0))</f>
        <v>179.8</v>
      </c>
      <c r="Y93" s="15">
        <f t="shared" si="11"/>
        <v>-44.8</v>
      </c>
      <c r="Z93" s="16">
        <f t="shared" si="12"/>
        <v>-33.18518519</v>
      </c>
      <c r="AA93" s="16">
        <f t="shared" si="13"/>
        <v>92.52912954</v>
      </c>
      <c r="AB93" s="16">
        <f t="shared" si="14"/>
        <v>0</v>
      </c>
    </row>
    <row r="94" ht="15.75" customHeight="1">
      <c r="A94" s="11" t="str">
        <f>IFERROR(__xludf.DUMMYFUNCTION("""COMPUTED_VALUE"""),"2001807012")</f>
        <v>2001807012</v>
      </c>
      <c r="B94" s="11" t="str">
        <f t="array" ref="B94">INDEX(Invoice!A:A,MATCH(Calculations!A94,Invoice!B:B,0))</f>
        <v>1091117229345</v>
      </c>
      <c r="C94" s="12">
        <f t="array" ref="C94">INDEX(Invoice!D:D,MATCH(Calculations!A94,Invoice!B:B,0))</f>
        <v>121003</v>
      </c>
      <c r="D94" s="11" t="str">
        <f t="array" ref="D94">INDEX(Invoice!E:E,MATCH(Calculations!A94,Invoice!B:B,0))</f>
        <v>515591</v>
      </c>
      <c r="E94" s="12" t="str">
        <f t="array" ref="E94">INDEX(Invoice!G:G,MATCH(Calculations!A94,Invoice!B:B,0))</f>
        <v>Forward charges</v>
      </c>
      <c r="F94" s="12" t="str">
        <f t="shared" si="1"/>
        <v>Yes</v>
      </c>
      <c r="G94" s="13" t="str">
        <f t="shared" si="2"/>
        <v>fwd</v>
      </c>
      <c r="H94" s="13" t="str">
        <f t="shared" si="3"/>
        <v>No</v>
      </c>
      <c r="I94" s="12" t="str">
        <f t="shared" si="4"/>
        <v/>
      </c>
      <c r="J94" s="12">
        <f>SUMIF(OrderReport!A:A,A94,OrderReport!E:E)</f>
        <v>240</v>
      </c>
      <c r="K94" s="12">
        <f t="shared" si="5"/>
        <v>0.24</v>
      </c>
      <c r="L94" s="12">
        <f t="shared" si="6"/>
        <v>500</v>
      </c>
      <c r="M94" s="12">
        <f t="shared" si="7"/>
        <v>0.5</v>
      </c>
      <c r="N94" s="11" t="str">
        <f t="array" ref="N94">INDEX(PincodeZones!C:C,MATCH(1,(PincodeZones!A:A=C94)*(PincodeZones!B:B=D94),0))</f>
        <v>d</v>
      </c>
      <c r="O94" s="12">
        <f t="array" ref="O94">INDEX(RatesTable!E:E,MATCH(1,(RatesTable!B:B=G94)*(RatesTable!C:C=N94)*(RatesTable!D:D="fixed"),0))</f>
        <v>45.4</v>
      </c>
      <c r="P94" s="12">
        <f t="array" ref="P94">((M94-0.5)/0.5)*INDEX(RatesTable!E:E,MATCH(1,(RatesTable!B:B=G94)*(RatesTable!C:C=N94)*(RatesTable!D:D="additional"),0))</f>
        <v>0</v>
      </c>
      <c r="Q94" s="12">
        <f t="array" ref="Q94">IFNA(INDEX(RatesTable!E:E,MATCH(1,(RatesTable!B:B=I94)*(RatesTable!C:C=N94)*(RatesTable!D:D="fixed"),0)),0)</f>
        <v>0</v>
      </c>
      <c r="R94" s="13">
        <f t="array" ref="R94">((M94-0.5)/0.5)*IFNA(INDEX(RatesTable!E:E,MATCH(1,(RatesTable!B:B=I94)*(RatesTable!C:C=N94)*(RatesTable!D:D="additional"),0)),0)</f>
        <v>0</v>
      </c>
      <c r="S94" s="12">
        <f t="shared" si="8"/>
        <v>45.4</v>
      </c>
      <c r="T94" s="12" t="str">
        <f t="array" ref="T94">INDEX(Invoice!C:C,MATCH(B94,(Invoice!A:A),0))</f>
        <v>0.15</v>
      </c>
      <c r="U94" s="12">
        <f t="shared" si="9"/>
        <v>150</v>
      </c>
      <c r="V94" s="12">
        <f t="shared" si="10"/>
        <v>0.5</v>
      </c>
      <c r="W94" s="12" t="str">
        <f t="array" ref="W94">INDEX(Invoice!F:F,MATCH(B94,(Invoice!A:A),0))</f>
        <v>d</v>
      </c>
      <c r="X94" s="14">
        <f t="array" ref="X94">INDEX(Invoice!H:H,MATCH(B94,(Invoice!A:A),0))</f>
        <v>45.4</v>
      </c>
      <c r="Y94" s="15">
        <f t="shared" si="11"/>
        <v>0</v>
      </c>
      <c r="Z94" s="16">
        <f t="shared" si="12"/>
        <v>0</v>
      </c>
      <c r="AA94" s="16">
        <f t="shared" si="13"/>
        <v>189.1666667</v>
      </c>
      <c r="AB94" s="16">
        <f t="shared" si="14"/>
        <v>0</v>
      </c>
    </row>
    <row r="95" ht="15.75" customHeight="1">
      <c r="A95" s="11" t="str">
        <f>IFERROR(__xludf.DUMMYFUNCTION("""COMPUTED_VALUE"""),"2001807004")</f>
        <v>2001807004</v>
      </c>
      <c r="B95" s="11" t="str">
        <f t="array" ref="B95">INDEX(Invoice!A:A,MATCH(Calculations!A95,Invoice!B:B,0))</f>
        <v>1091117229290</v>
      </c>
      <c r="C95" s="12">
        <f t="array" ref="C95">INDEX(Invoice!D:D,MATCH(Calculations!A95,Invoice!B:B,0))</f>
        <v>121003</v>
      </c>
      <c r="D95" s="11" t="str">
        <f t="array" ref="D95">INDEX(Invoice!E:E,MATCH(Calculations!A95,Invoice!B:B,0))</f>
        <v>410206</v>
      </c>
      <c r="E95" s="12" t="str">
        <f t="array" ref="E95">INDEX(Invoice!G:G,MATCH(Calculations!A95,Invoice!B:B,0))</f>
        <v>Forward charges</v>
      </c>
      <c r="F95" s="12" t="str">
        <f t="shared" si="1"/>
        <v>Yes</v>
      </c>
      <c r="G95" s="13" t="str">
        <f t="shared" si="2"/>
        <v>fwd</v>
      </c>
      <c r="H95" s="13" t="str">
        <f t="shared" si="3"/>
        <v>No</v>
      </c>
      <c r="I95" s="12" t="str">
        <f t="shared" si="4"/>
        <v/>
      </c>
      <c r="J95" s="12">
        <f>SUMIF(OrderReport!A:A,A95,OrderReport!E:E)</f>
        <v>500</v>
      </c>
      <c r="K95" s="12">
        <f t="shared" si="5"/>
        <v>0.5</v>
      </c>
      <c r="L95" s="12">
        <f t="shared" si="6"/>
        <v>500</v>
      </c>
      <c r="M95" s="12">
        <f t="shared" si="7"/>
        <v>0.5</v>
      </c>
      <c r="N95" s="11" t="str">
        <f t="array" ref="N95">INDEX(PincodeZones!C:C,MATCH(1,(PincodeZones!A:A=C95)*(PincodeZones!B:B=D95),0))</f>
        <v>d</v>
      </c>
      <c r="O95" s="12">
        <f t="array" ref="O95">INDEX(RatesTable!E:E,MATCH(1,(RatesTable!B:B=G95)*(RatesTable!C:C=N95)*(RatesTable!D:D="fixed"),0))</f>
        <v>45.4</v>
      </c>
      <c r="P95" s="12">
        <f t="array" ref="P95">((M95-0.5)/0.5)*INDEX(RatesTable!E:E,MATCH(1,(RatesTable!B:B=G95)*(RatesTable!C:C=N95)*(RatesTable!D:D="additional"),0))</f>
        <v>0</v>
      </c>
      <c r="Q95" s="12">
        <f t="array" ref="Q95">IFNA(INDEX(RatesTable!E:E,MATCH(1,(RatesTable!B:B=I95)*(RatesTable!C:C=N95)*(RatesTable!D:D="fixed"),0)),0)</f>
        <v>0</v>
      </c>
      <c r="R95" s="13">
        <f t="array" ref="R95">((M95-0.5)/0.5)*IFNA(INDEX(RatesTable!E:E,MATCH(1,(RatesTable!B:B=I95)*(RatesTable!C:C=N95)*(RatesTable!D:D="additional"),0)),0)</f>
        <v>0</v>
      </c>
      <c r="S95" s="12">
        <f t="shared" si="8"/>
        <v>45.4</v>
      </c>
      <c r="T95" s="12" t="str">
        <f t="array" ref="T95">INDEX(Invoice!C:C,MATCH(B95,(Invoice!A:A),0))</f>
        <v>0.68</v>
      </c>
      <c r="U95" s="12">
        <f t="shared" si="9"/>
        <v>680</v>
      </c>
      <c r="V95" s="12">
        <f t="shared" si="10"/>
        <v>1</v>
      </c>
      <c r="W95" s="12" t="str">
        <f t="array" ref="W95">INDEX(Invoice!F:F,MATCH(B95,(Invoice!A:A),0))</f>
        <v>d</v>
      </c>
      <c r="X95" s="14">
        <f t="array" ref="X95">INDEX(Invoice!H:H,MATCH(B95,(Invoice!A:A),0))</f>
        <v>90.2</v>
      </c>
      <c r="Y95" s="15">
        <f t="shared" si="11"/>
        <v>-44.8</v>
      </c>
      <c r="Z95" s="16">
        <f t="shared" si="12"/>
        <v>-98.6784141</v>
      </c>
      <c r="AA95" s="16">
        <f t="shared" si="13"/>
        <v>90.8</v>
      </c>
      <c r="AB95" s="16">
        <f t="shared" si="14"/>
        <v>0</v>
      </c>
    </row>
    <row r="96" ht="15.75" customHeight="1">
      <c r="A96" s="11" t="str">
        <f>IFERROR(__xludf.DUMMYFUNCTION("""COMPUTED_VALUE"""),"2001806968")</f>
        <v>2001806968</v>
      </c>
      <c r="B96" s="11" t="str">
        <f t="array" ref="B96">INDEX(Invoice!A:A,MATCH(Calculations!A96,Invoice!B:B,0))</f>
        <v>1091117229183</v>
      </c>
      <c r="C96" s="12">
        <f t="array" ref="C96">INDEX(Invoice!D:D,MATCH(Calculations!A96,Invoice!B:B,0))</f>
        <v>121003</v>
      </c>
      <c r="D96" s="11" t="str">
        <f t="array" ref="D96">INDEX(Invoice!E:E,MATCH(Calculations!A96,Invoice!B:B,0))</f>
        <v>305801</v>
      </c>
      <c r="E96" s="12" t="str">
        <f t="array" ref="E96">INDEX(Invoice!G:G,MATCH(Calculations!A96,Invoice!B:B,0))</f>
        <v>Forward charges</v>
      </c>
      <c r="F96" s="12" t="str">
        <f t="shared" si="1"/>
        <v>Yes</v>
      </c>
      <c r="G96" s="13" t="str">
        <f t="shared" si="2"/>
        <v>fwd</v>
      </c>
      <c r="H96" s="13" t="str">
        <f t="shared" si="3"/>
        <v>No</v>
      </c>
      <c r="I96" s="12" t="str">
        <f t="shared" si="4"/>
        <v/>
      </c>
      <c r="J96" s="12">
        <f>SUMIF(OrderReport!A:A,A96,OrderReport!E:E)</f>
        <v>500</v>
      </c>
      <c r="K96" s="12">
        <f t="shared" si="5"/>
        <v>0.5</v>
      </c>
      <c r="L96" s="12">
        <f t="shared" si="6"/>
        <v>500</v>
      </c>
      <c r="M96" s="12">
        <f t="shared" si="7"/>
        <v>0.5</v>
      </c>
      <c r="N96" s="11" t="str">
        <f t="array" ref="N96">INDEX(PincodeZones!C:C,MATCH(1,(PincodeZones!A:A=C96)*(PincodeZones!B:B=D96),0))</f>
        <v>b</v>
      </c>
      <c r="O96" s="12">
        <f t="array" ref="O96">INDEX(RatesTable!E:E,MATCH(1,(RatesTable!B:B=G96)*(RatesTable!C:C=N96)*(RatesTable!D:D="fixed"),0))</f>
        <v>33</v>
      </c>
      <c r="P96" s="12">
        <f t="array" ref="P96">((M96-0.5)/0.5)*INDEX(RatesTable!E:E,MATCH(1,(RatesTable!B:B=G96)*(RatesTable!C:C=N96)*(RatesTable!D:D="additional"),0))</f>
        <v>0</v>
      </c>
      <c r="Q96" s="12">
        <f t="array" ref="Q96">IFNA(INDEX(RatesTable!E:E,MATCH(1,(RatesTable!B:B=I96)*(RatesTable!C:C=N96)*(RatesTable!D:D="fixed"),0)),0)</f>
        <v>0</v>
      </c>
      <c r="R96" s="13">
        <f t="array" ref="R96">((M96-0.5)/0.5)*IFNA(INDEX(RatesTable!E:E,MATCH(1,(RatesTable!B:B=I96)*(RatesTable!C:C=N96)*(RatesTable!D:D="additional"),0)),0)</f>
        <v>0</v>
      </c>
      <c r="S96" s="12">
        <f t="shared" si="8"/>
        <v>33</v>
      </c>
      <c r="T96" s="12" t="str">
        <f t="array" ref="T96">INDEX(Invoice!C:C,MATCH(B96,(Invoice!A:A),0))</f>
        <v>0.68</v>
      </c>
      <c r="U96" s="12">
        <f t="shared" si="9"/>
        <v>680</v>
      </c>
      <c r="V96" s="12">
        <f t="shared" si="10"/>
        <v>1</v>
      </c>
      <c r="W96" s="12" t="str">
        <f t="array" ref="W96">INDEX(Invoice!F:F,MATCH(B96,(Invoice!A:A),0))</f>
        <v>d</v>
      </c>
      <c r="X96" s="14">
        <f t="array" ref="X96">INDEX(Invoice!H:H,MATCH(B96,(Invoice!A:A),0))</f>
        <v>90.2</v>
      </c>
      <c r="Y96" s="15">
        <f t="shared" si="11"/>
        <v>-57.2</v>
      </c>
      <c r="Z96" s="16">
        <f t="shared" si="12"/>
        <v>-173.3333333</v>
      </c>
      <c r="AA96" s="16">
        <f t="shared" si="13"/>
        <v>66</v>
      </c>
      <c r="AB96" s="16">
        <f t="shared" si="14"/>
        <v>0</v>
      </c>
    </row>
    <row r="97" ht="15.75" customHeight="1">
      <c r="A97" s="11" t="str">
        <f>IFERROR(__xludf.DUMMYFUNCTION("""COMPUTED_VALUE"""),"2001806885")</f>
        <v>2001806885</v>
      </c>
      <c r="B97" s="11" t="str">
        <f t="array" ref="B97">INDEX(Invoice!A:A,MATCH(Calculations!A97,Invoice!B:B,0))</f>
        <v>1091117229776</v>
      </c>
      <c r="C97" s="12">
        <f t="array" ref="C97">INDEX(Invoice!D:D,MATCH(Calculations!A97,Invoice!B:B,0))</f>
        <v>121003</v>
      </c>
      <c r="D97" s="11" t="str">
        <f t="array" ref="D97">INDEX(Invoice!E:E,MATCH(Calculations!A97,Invoice!B:B,0))</f>
        <v>208019</v>
      </c>
      <c r="E97" s="12" t="str">
        <f t="array" ref="E97">INDEX(Invoice!G:G,MATCH(Calculations!A97,Invoice!B:B,0))</f>
        <v>Forward charges</v>
      </c>
      <c r="F97" s="12" t="str">
        <f t="shared" si="1"/>
        <v>Yes</v>
      </c>
      <c r="G97" s="13" t="str">
        <f t="shared" si="2"/>
        <v>fwd</v>
      </c>
      <c r="H97" s="13" t="str">
        <f t="shared" si="3"/>
        <v>No</v>
      </c>
      <c r="I97" s="12" t="str">
        <f t="shared" si="4"/>
        <v/>
      </c>
      <c r="J97" s="12">
        <f>SUMIF(OrderReport!A:A,A97,OrderReport!E:E)</f>
        <v>840</v>
      </c>
      <c r="K97" s="12">
        <f t="shared" si="5"/>
        <v>0.84</v>
      </c>
      <c r="L97" s="12">
        <f t="shared" si="6"/>
        <v>1000</v>
      </c>
      <c r="M97" s="12">
        <f t="shared" si="7"/>
        <v>1</v>
      </c>
      <c r="N97" s="11" t="str">
        <f t="array" ref="N97">INDEX(PincodeZones!C:C,MATCH(1,(PincodeZones!A:A=C97)*(PincodeZones!B:B=D97),0))</f>
        <v>b</v>
      </c>
      <c r="O97" s="12">
        <f t="array" ref="O97">INDEX(RatesTable!E:E,MATCH(1,(RatesTable!B:B=G97)*(RatesTable!C:C=N97)*(RatesTable!D:D="fixed"),0))</f>
        <v>33</v>
      </c>
      <c r="P97" s="12">
        <f t="array" ref="P97">((M97-0.5)/0.5)*INDEX(RatesTable!E:E,MATCH(1,(RatesTable!B:B=G97)*(RatesTable!C:C=N97)*(RatesTable!D:D="additional"),0))</f>
        <v>28.3</v>
      </c>
      <c r="Q97" s="12">
        <f t="array" ref="Q97">IFNA(INDEX(RatesTable!E:E,MATCH(1,(RatesTable!B:B=I97)*(RatesTable!C:C=N97)*(RatesTable!D:D="fixed"),0)),0)</f>
        <v>0</v>
      </c>
      <c r="R97" s="13">
        <f t="array" ref="R97">((M97-0.5)/0.5)*IFNA(INDEX(RatesTable!E:E,MATCH(1,(RatesTable!B:B=I97)*(RatesTable!C:C=N97)*(RatesTable!D:D="additional"),0)),0)</f>
        <v>0</v>
      </c>
      <c r="S97" s="12">
        <f t="shared" si="8"/>
        <v>61.3</v>
      </c>
      <c r="T97" s="12" t="str">
        <f t="array" ref="T97">INDEX(Invoice!C:C,MATCH(B97,(Invoice!A:A),0))</f>
        <v>1</v>
      </c>
      <c r="U97" s="12">
        <f t="shared" si="9"/>
        <v>1000</v>
      </c>
      <c r="V97" s="12">
        <f t="shared" si="10"/>
        <v>1</v>
      </c>
      <c r="W97" s="12" t="str">
        <f t="array" ref="W97">INDEX(Invoice!F:F,MATCH(B97,(Invoice!A:A),0))</f>
        <v>b</v>
      </c>
      <c r="X97" s="14">
        <f t="array" ref="X97">INDEX(Invoice!H:H,MATCH(B97,(Invoice!A:A),0))</f>
        <v>61.3</v>
      </c>
      <c r="Y97" s="15">
        <f t="shared" si="11"/>
        <v>0</v>
      </c>
      <c r="Z97" s="16">
        <f t="shared" si="12"/>
        <v>0</v>
      </c>
      <c r="AA97" s="16">
        <f t="shared" si="13"/>
        <v>72.97619048</v>
      </c>
      <c r="AB97" s="16">
        <f t="shared" si="14"/>
        <v>0</v>
      </c>
    </row>
    <row r="98" ht="15.75" customHeight="1">
      <c r="A98" s="11" t="str">
        <f>IFERROR(__xludf.DUMMYFUNCTION("""COMPUTED_VALUE"""),"2001806828")</f>
        <v>2001806828</v>
      </c>
      <c r="B98" s="11" t="str">
        <f t="array" ref="B98">INDEX(Invoice!A:A,MATCH(Calculations!A98,Invoice!B:B,0))</f>
        <v>1091117228192</v>
      </c>
      <c r="C98" s="12">
        <f t="array" ref="C98">INDEX(Invoice!D:D,MATCH(Calculations!A98,Invoice!B:B,0))</f>
        <v>121003</v>
      </c>
      <c r="D98" s="11" t="str">
        <f t="array" ref="D98">INDEX(Invoice!E:E,MATCH(Calculations!A98,Invoice!B:B,0))</f>
        <v>331022</v>
      </c>
      <c r="E98" s="12" t="str">
        <f t="array" ref="E98">INDEX(Invoice!G:G,MATCH(Calculations!A98,Invoice!B:B,0))</f>
        <v>Forward charges</v>
      </c>
      <c r="F98" s="12" t="str">
        <f t="shared" si="1"/>
        <v>Yes</v>
      </c>
      <c r="G98" s="13" t="str">
        <f t="shared" si="2"/>
        <v>fwd</v>
      </c>
      <c r="H98" s="13" t="str">
        <f t="shared" si="3"/>
        <v>No</v>
      </c>
      <c r="I98" s="12" t="str">
        <f t="shared" si="4"/>
        <v/>
      </c>
      <c r="J98" s="12">
        <f>SUMIF(OrderReport!A:A,A98,OrderReport!E:E)</f>
        <v>500</v>
      </c>
      <c r="K98" s="12">
        <f t="shared" si="5"/>
        <v>0.5</v>
      </c>
      <c r="L98" s="12">
        <f t="shared" si="6"/>
        <v>500</v>
      </c>
      <c r="M98" s="12">
        <f t="shared" si="7"/>
        <v>0.5</v>
      </c>
      <c r="N98" s="11" t="str">
        <f t="array" ref="N98">INDEX(PincodeZones!C:C,MATCH(1,(PincodeZones!A:A=C98)*(PincodeZones!B:B=D98),0))</f>
        <v>b</v>
      </c>
      <c r="O98" s="12">
        <f t="array" ref="O98">INDEX(RatesTable!E:E,MATCH(1,(RatesTable!B:B=G98)*(RatesTable!C:C=N98)*(RatesTable!D:D="fixed"),0))</f>
        <v>33</v>
      </c>
      <c r="P98" s="12">
        <f t="array" ref="P98">((M98-0.5)/0.5)*INDEX(RatesTable!E:E,MATCH(1,(RatesTable!B:B=G98)*(RatesTable!C:C=N98)*(RatesTable!D:D="additional"),0))</f>
        <v>0</v>
      </c>
      <c r="Q98" s="12">
        <f t="array" ref="Q98">IFNA(INDEX(RatesTable!E:E,MATCH(1,(RatesTable!B:B=I98)*(RatesTable!C:C=N98)*(RatesTable!D:D="fixed"),0)),0)</f>
        <v>0</v>
      </c>
      <c r="R98" s="13">
        <f t="array" ref="R98">((M98-0.5)/0.5)*IFNA(INDEX(RatesTable!E:E,MATCH(1,(RatesTable!B:B=I98)*(RatesTable!C:C=N98)*(RatesTable!D:D="additional"),0)),0)</f>
        <v>0</v>
      </c>
      <c r="S98" s="12">
        <f t="shared" si="8"/>
        <v>33</v>
      </c>
      <c r="T98" s="12" t="str">
        <f t="array" ref="T98">INDEX(Invoice!C:C,MATCH(B98,(Invoice!A:A),0))</f>
        <v>0.69</v>
      </c>
      <c r="U98" s="12">
        <f t="shared" si="9"/>
        <v>690</v>
      </c>
      <c r="V98" s="12">
        <f t="shared" si="10"/>
        <v>1</v>
      </c>
      <c r="W98" s="12" t="str">
        <f t="array" ref="W98">INDEX(Invoice!F:F,MATCH(B98,(Invoice!A:A),0))</f>
        <v>d</v>
      </c>
      <c r="X98" s="14">
        <f t="array" ref="X98">INDEX(Invoice!H:H,MATCH(B98,(Invoice!A:A),0))</f>
        <v>90.2</v>
      </c>
      <c r="Y98" s="15">
        <f t="shared" si="11"/>
        <v>-57.2</v>
      </c>
      <c r="Z98" s="16">
        <f t="shared" si="12"/>
        <v>-173.3333333</v>
      </c>
      <c r="AA98" s="16">
        <f t="shared" si="13"/>
        <v>66</v>
      </c>
      <c r="AB98" s="16">
        <f t="shared" si="14"/>
        <v>0</v>
      </c>
    </row>
    <row r="99" ht="15.75" customHeight="1">
      <c r="A99" s="11" t="str">
        <f>IFERROR(__xludf.DUMMYFUNCTION("""COMPUTED_VALUE"""),"2001806823")</f>
        <v>2001806823</v>
      </c>
      <c r="B99" s="11" t="str">
        <f t="array" ref="B99">INDEX(Invoice!A:A,MATCH(Calculations!A99,Invoice!B:B,0))</f>
        <v>1091117228133</v>
      </c>
      <c r="C99" s="12">
        <f t="array" ref="C99">INDEX(Invoice!D:D,MATCH(Calculations!A99,Invoice!B:B,0))</f>
        <v>121003</v>
      </c>
      <c r="D99" s="11" t="str">
        <f t="array" ref="D99">INDEX(Invoice!E:E,MATCH(Calculations!A99,Invoice!B:B,0))</f>
        <v>314001</v>
      </c>
      <c r="E99" s="12" t="str">
        <f t="array" ref="E99">INDEX(Invoice!G:G,MATCH(Calculations!A99,Invoice!B:B,0))</f>
        <v>Forward charges</v>
      </c>
      <c r="F99" s="12" t="str">
        <f t="shared" si="1"/>
        <v>Yes</v>
      </c>
      <c r="G99" s="13" t="str">
        <f t="shared" si="2"/>
        <v>fwd</v>
      </c>
      <c r="H99" s="13" t="str">
        <f t="shared" si="3"/>
        <v>No</v>
      </c>
      <c r="I99" s="12" t="str">
        <f t="shared" si="4"/>
        <v/>
      </c>
      <c r="J99" s="12">
        <f>SUMIF(OrderReport!A:A,A99,OrderReport!E:E)</f>
        <v>127</v>
      </c>
      <c r="K99" s="12">
        <f t="shared" si="5"/>
        <v>0.127</v>
      </c>
      <c r="L99" s="12">
        <f t="shared" si="6"/>
        <v>500</v>
      </c>
      <c r="M99" s="12">
        <f t="shared" si="7"/>
        <v>0.5</v>
      </c>
      <c r="N99" s="11" t="str">
        <f t="array" ref="N99">INDEX(PincodeZones!C:C,MATCH(1,(PincodeZones!A:A=C99)*(PincodeZones!B:B=D99),0))</f>
        <v>b</v>
      </c>
      <c r="O99" s="12">
        <f t="array" ref="O99">INDEX(RatesTable!E:E,MATCH(1,(RatesTable!B:B=G99)*(RatesTable!C:C=N99)*(RatesTable!D:D="fixed"),0))</f>
        <v>33</v>
      </c>
      <c r="P99" s="12">
        <f t="array" ref="P99">((M99-0.5)/0.5)*INDEX(RatesTable!E:E,MATCH(1,(RatesTable!B:B=G99)*(RatesTable!C:C=N99)*(RatesTable!D:D="additional"),0))</f>
        <v>0</v>
      </c>
      <c r="Q99" s="12">
        <f t="array" ref="Q99">IFNA(INDEX(RatesTable!E:E,MATCH(1,(RatesTable!B:B=I99)*(RatesTable!C:C=N99)*(RatesTable!D:D="fixed"),0)),0)</f>
        <v>0</v>
      </c>
      <c r="R99" s="13">
        <f t="array" ref="R99">((M99-0.5)/0.5)*IFNA(INDEX(RatesTable!E:E,MATCH(1,(RatesTable!B:B=I99)*(RatesTable!C:C=N99)*(RatesTable!D:D="additional"),0)),0)</f>
        <v>0</v>
      </c>
      <c r="S99" s="12">
        <f t="shared" si="8"/>
        <v>33</v>
      </c>
      <c r="T99" s="12" t="str">
        <f t="array" ref="T99">INDEX(Invoice!C:C,MATCH(B99,(Invoice!A:A),0))</f>
        <v>0.59</v>
      </c>
      <c r="U99" s="12">
        <f t="shared" si="9"/>
        <v>590</v>
      </c>
      <c r="V99" s="12">
        <f t="shared" si="10"/>
        <v>1</v>
      </c>
      <c r="W99" s="12" t="str">
        <f t="array" ref="W99">INDEX(Invoice!F:F,MATCH(B99,(Invoice!A:A),0))</f>
        <v>d</v>
      </c>
      <c r="X99" s="14">
        <f t="array" ref="X99">INDEX(Invoice!H:H,MATCH(B99,(Invoice!A:A),0))</f>
        <v>90.2</v>
      </c>
      <c r="Y99" s="15">
        <f t="shared" si="11"/>
        <v>-57.2</v>
      </c>
      <c r="Z99" s="16">
        <f t="shared" si="12"/>
        <v>-173.3333333</v>
      </c>
      <c r="AA99" s="16">
        <f t="shared" si="13"/>
        <v>259.8425197</v>
      </c>
      <c r="AB99" s="16">
        <f t="shared" si="14"/>
        <v>0</v>
      </c>
    </row>
    <row r="100" ht="15.75" customHeight="1">
      <c r="A100" s="11" t="str">
        <f>IFERROR(__xludf.DUMMYFUNCTION("""COMPUTED_VALUE"""),"2001806801")</f>
        <v>2001806801</v>
      </c>
      <c r="B100" s="11" t="str">
        <f t="array" ref="B100">INDEX(Invoice!A:A,MATCH(Calculations!A100,Invoice!B:B,0))</f>
        <v>1091117227816</v>
      </c>
      <c r="C100" s="12">
        <f t="array" ref="C100">INDEX(Invoice!D:D,MATCH(Calculations!A100,Invoice!B:B,0))</f>
        <v>121003</v>
      </c>
      <c r="D100" s="11" t="str">
        <f t="array" ref="D100">INDEX(Invoice!E:E,MATCH(Calculations!A100,Invoice!B:B,0))</f>
        <v>248001</v>
      </c>
      <c r="E100" s="12" t="str">
        <f t="array" ref="E100">INDEX(Invoice!G:G,MATCH(Calculations!A100,Invoice!B:B,0))</f>
        <v>Forward charges</v>
      </c>
      <c r="F100" s="12" t="str">
        <f t="shared" si="1"/>
        <v>Yes</v>
      </c>
      <c r="G100" s="13" t="str">
        <f t="shared" si="2"/>
        <v>fwd</v>
      </c>
      <c r="H100" s="13" t="str">
        <f t="shared" si="3"/>
        <v>No</v>
      </c>
      <c r="I100" s="12" t="str">
        <f t="shared" si="4"/>
        <v/>
      </c>
      <c r="J100" s="12">
        <f>SUMIF(OrderReport!A:A,A100,OrderReport!E:E)</f>
        <v>361</v>
      </c>
      <c r="K100" s="12">
        <f t="shared" si="5"/>
        <v>0.361</v>
      </c>
      <c r="L100" s="12">
        <f t="shared" si="6"/>
        <v>500</v>
      </c>
      <c r="M100" s="12">
        <f t="shared" si="7"/>
        <v>0.5</v>
      </c>
      <c r="N100" s="11" t="str">
        <f t="array" ref="N100">INDEX(PincodeZones!C:C,MATCH(1,(PincodeZones!A:A=C100)*(PincodeZones!B:B=D100),0))</f>
        <v>b</v>
      </c>
      <c r="O100" s="12">
        <f t="array" ref="O100">INDEX(RatesTable!E:E,MATCH(1,(RatesTable!B:B=G100)*(RatesTable!C:C=N100)*(RatesTable!D:D="fixed"),0))</f>
        <v>33</v>
      </c>
      <c r="P100" s="12">
        <f t="array" ref="P100">((M100-0.5)/0.5)*INDEX(RatesTable!E:E,MATCH(1,(RatesTable!B:B=G100)*(RatesTable!C:C=N100)*(RatesTable!D:D="additional"),0))</f>
        <v>0</v>
      </c>
      <c r="Q100" s="12">
        <f t="array" ref="Q100">IFNA(INDEX(RatesTable!E:E,MATCH(1,(RatesTable!B:B=I100)*(RatesTable!C:C=N100)*(RatesTable!D:D="fixed"),0)),0)</f>
        <v>0</v>
      </c>
      <c r="R100" s="13">
        <f t="array" ref="R100">((M100-0.5)/0.5)*IFNA(INDEX(RatesTable!E:E,MATCH(1,(RatesTable!B:B=I100)*(RatesTable!C:C=N100)*(RatesTable!D:D="additional"),0)),0)</f>
        <v>0</v>
      </c>
      <c r="S100" s="12">
        <f t="shared" si="8"/>
        <v>33</v>
      </c>
      <c r="T100" s="12" t="str">
        <f t="array" ref="T100">INDEX(Invoice!C:C,MATCH(B100,(Invoice!A:A),0))</f>
        <v>1.35</v>
      </c>
      <c r="U100" s="12">
        <f t="shared" si="9"/>
        <v>1350</v>
      </c>
      <c r="V100" s="12">
        <f t="shared" si="10"/>
        <v>1.5</v>
      </c>
      <c r="W100" s="12" t="str">
        <f t="array" ref="W100">INDEX(Invoice!F:F,MATCH(B100,(Invoice!A:A),0))</f>
        <v>b</v>
      </c>
      <c r="X100" s="14">
        <f t="array" ref="X100">INDEX(Invoice!H:H,MATCH(B100,(Invoice!A:A),0))</f>
        <v>89.6</v>
      </c>
      <c r="Y100" s="15">
        <f t="shared" si="11"/>
        <v>-56.6</v>
      </c>
      <c r="Z100" s="16">
        <f t="shared" si="12"/>
        <v>-171.5151515</v>
      </c>
      <c r="AA100" s="16">
        <f t="shared" si="13"/>
        <v>91.41274238</v>
      </c>
      <c r="AB100" s="16">
        <f t="shared" si="14"/>
        <v>0</v>
      </c>
    </row>
    <row r="101" ht="15.75" customHeight="1">
      <c r="A101" s="11" t="str">
        <f>IFERROR(__xludf.DUMMYFUNCTION("""COMPUTED_VALUE"""),"2001806776")</f>
        <v>2001806776</v>
      </c>
      <c r="B101" s="11" t="str">
        <f t="array" ref="B101">INDEX(Invoice!A:A,MATCH(Calculations!A101,Invoice!B:B,0))</f>
        <v>1091117227573</v>
      </c>
      <c r="C101" s="12">
        <f t="array" ref="C101">INDEX(Invoice!D:D,MATCH(Calculations!A101,Invoice!B:B,0))</f>
        <v>121003</v>
      </c>
      <c r="D101" s="11" t="str">
        <f t="array" ref="D101">INDEX(Invoice!E:E,MATCH(Calculations!A101,Invoice!B:B,0))</f>
        <v>226004</v>
      </c>
      <c r="E101" s="12" t="str">
        <f t="array" ref="E101">INDEX(Invoice!G:G,MATCH(Calculations!A101,Invoice!B:B,0))</f>
        <v>Forward charges</v>
      </c>
      <c r="F101" s="12" t="str">
        <f t="shared" si="1"/>
        <v>Yes</v>
      </c>
      <c r="G101" s="13" t="str">
        <f t="shared" si="2"/>
        <v>fwd</v>
      </c>
      <c r="H101" s="13" t="str">
        <f t="shared" si="3"/>
        <v>No</v>
      </c>
      <c r="I101" s="12" t="str">
        <f t="shared" si="4"/>
        <v/>
      </c>
      <c r="J101" s="12">
        <f>SUMIF(OrderReport!A:A,A101,OrderReport!E:E)</f>
        <v>611</v>
      </c>
      <c r="K101" s="12">
        <f t="shared" si="5"/>
        <v>0.611</v>
      </c>
      <c r="L101" s="12">
        <f t="shared" si="6"/>
        <v>1000</v>
      </c>
      <c r="M101" s="12">
        <f t="shared" si="7"/>
        <v>1</v>
      </c>
      <c r="N101" s="11" t="str">
        <f t="array" ref="N101">INDEX(PincodeZones!C:C,MATCH(1,(PincodeZones!A:A=C101)*(PincodeZones!B:B=D101),0))</f>
        <v>b</v>
      </c>
      <c r="O101" s="12">
        <f t="array" ref="O101">INDEX(RatesTable!E:E,MATCH(1,(RatesTable!B:B=G101)*(RatesTable!C:C=N101)*(RatesTable!D:D="fixed"),0))</f>
        <v>33</v>
      </c>
      <c r="P101" s="12">
        <f t="array" ref="P101">((M101-0.5)/0.5)*INDEX(RatesTable!E:E,MATCH(1,(RatesTable!B:B=G101)*(RatesTable!C:C=N101)*(RatesTable!D:D="additional"),0))</f>
        <v>28.3</v>
      </c>
      <c r="Q101" s="12">
        <f t="array" ref="Q101">IFNA(INDEX(RatesTable!E:E,MATCH(1,(RatesTable!B:B=I101)*(RatesTable!C:C=N101)*(RatesTable!D:D="fixed"),0)),0)</f>
        <v>0</v>
      </c>
      <c r="R101" s="13">
        <f t="array" ref="R101">((M101-0.5)/0.5)*IFNA(INDEX(RatesTable!E:E,MATCH(1,(RatesTable!B:B=I101)*(RatesTable!C:C=N101)*(RatesTable!D:D="additional"),0)),0)</f>
        <v>0</v>
      </c>
      <c r="S101" s="12">
        <f t="shared" si="8"/>
        <v>61.3</v>
      </c>
      <c r="T101" s="12" t="str">
        <f t="array" ref="T101">INDEX(Invoice!C:C,MATCH(B101,(Invoice!A:A),0))</f>
        <v>2.86</v>
      </c>
      <c r="U101" s="12">
        <f t="shared" si="9"/>
        <v>2860</v>
      </c>
      <c r="V101" s="12">
        <f t="shared" si="10"/>
        <v>3</v>
      </c>
      <c r="W101" s="12" t="str">
        <f t="array" ref="W101">INDEX(Invoice!F:F,MATCH(B101,(Invoice!A:A),0))</f>
        <v>b</v>
      </c>
      <c r="X101" s="14">
        <f t="array" ref="X101">INDEX(Invoice!H:H,MATCH(B101,(Invoice!A:A),0))</f>
        <v>174.5</v>
      </c>
      <c r="Y101" s="15">
        <f t="shared" si="11"/>
        <v>-113.2</v>
      </c>
      <c r="Z101" s="16">
        <f t="shared" si="12"/>
        <v>-184.6655791</v>
      </c>
      <c r="AA101" s="16">
        <f t="shared" si="13"/>
        <v>100.3273322</v>
      </c>
      <c r="AB101" s="16">
        <f t="shared" si="14"/>
        <v>0</v>
      </c>
    </row>
    <row r="102" ht="15.75" customHeight="1">
      <c r="A102" s="11" t="str">
        <f>IFERROR(__xludf.DUMMYFUNCTION("""COMPUTED_VALUE"""),"2001806768")</f>
        <v>2001806768</v>
      </c>
      <c r="B102" s="11" t="str">
        <f t="array" ref="B102">INDEX(Invoice!A:A,MATCH(Calculations!A102,Invoice!B:B,0))</f>
        <v>1091117227116</v>
      </c>
      <c r="C102" s="12">
        <f t="array" ref="C102">INDEX(Invoice!D:D,MATCH(Calculations!A102,Invoice!B:B,0))</f>
        <v>121003</v>
      </c>
      <c r="D102" s="11" t="str">
        <f t="array" ref="D102">INDEX(Invoice!E:E,MATCH(Calculations!A102,Invoice!B:B,0))</f>
        <v>322201</v>
      </c>
      <c r="E102" s="12" t="str">
        <f t="array" ref="E102">INDEX(Invoice!G:G,MATCH(Calculations!A102,Invoice!B:B,0))</f>
        <v>Forward charges</v>
      </c>
      <c r="F102" s="12" t="str">
        <f t="shared" si="1"/>
        <v>Yes</v>
      </c>
      <c r="G102" s="13" t="str">
        <f t="shared" si="2"/>
        <v>fwd</v>
      </c>
      <c r="H102" s="13" t="str">
        <f t="shared" si="3"/>
        <v>No</v>
      </c>
      <c r="I102" s="12" t="str">
        <f t="shared" si="4"/>
        <v/>
      </c>
      <c r="J102" s="12">
        <f>SUMIF(OrderReport!A:A,A102,OrderReport!E:E)</f>
        <v>840</v>
      </c>
      <c r="K102" s="12">
        <f t="shared" si="5"/>
        <v>0.84</v>
      </c>
      <c r="L102" s="12">
        <f t="shared" si="6"/>
        <v>1000</v>
      </c>
      <c r="M102" s="12">
        <f t="shared" si="7"/>
        <v>1</v>
      </c>
      <c r="N102" s="11" t="str">
        <f t="array" ref="N102">INDEX(PincodeZones!C:C,MATCH(1,(PincodeZones!A:A=C102)*(PincodeZones!B:B=D102),0))</f>
        <v>b</v>
      </c>
      <c r="O102" s="12">
        <f t="array" ref="O102">INDEX(RatesTable!E:E,MATCH(1,(RatesTable!B:B=G102)*(RatesTable!C:C=N102)*(RatesTable!D:D="fixed"),0))</f>
        <v>33</v>
      </c>
      <c r="P102" s="12">
        <f t="array" ref="P102">((M102-0.5)/0.5)*INDEX(RatesTable!E:E,MATCH(1,(RatesTable!B:B=G102)*(RatesTable!C:C=N102)*(RatesTable!D:D="additional"),0))</f>
        <v>28.3</v>
      </c>
      <c r="Q102" s="12">
        <f t="array" ref="Q102">IFNA(INDEX(RatesTable!E:E,MATCH(1,(RatesTable!B:B=I102)*(RatesTable!C:C=N102)*(RatesTable!D:D="fixed"),0)),0)</f>
        <v>0</v>
      </c>
      <c r="R102" s="13">
        <f t="array" ref="R102">((M102-0.5)/0.5)*IFNA(INDEX(RatesTable!E:E,MATCH(1,(RatesTable!B:B=I102)*(RatesTable!C:C=N102)*(RatesTable!D:D="additional"),0)),0)</f>
        <v>0</v>
      </c>
      <c r="S102" s="12">
        <f t="shared" si="8"/>
        <v>61.3</v>
      </c>
      <c r="T102" s="12" t="str">
        <f t="array" ref="T102">INDEX(Invoice!C:C,MATCH(B102,(Invoice!A:A),0))</f>
        <v>1.02</v>
      </c>
      <c r="U102" s="12">
        <f t="shared" si="9"/>
        <v>1020</v>
      </c>
      <c r="V102" s="12">
        <f t="shared" si="10"/>
        <v>1.5</v>
      </c>
      <c r="W102" s="12" t="str">
        <f t="array" ref="W102">INDEX(Invoice!F:F,MATCH(B102,(Invoice!A:A),0))</f>
        <v>d</v>
      </c>
      <c r="X102" s="14">
        <f t="array" ref="X102">INDEX(Invoice!H:H,MATCH(B102,(Invoice!A:A),0))</f>
        <v>135</v>
      </c>
      <c r="Y102" s="15">
        <f t="shared" si="11"/>
        <v>-73.7</v>
      </c>
      <c r="Z102" s="16">
        <f t="shared" si="12"/>
        <v>-120.228385</v>
      </c>
      <c r="AA102" s="16">
        <f t="shared" si="13"/>
        <v>72.97619048</v>
      </c>
      <c r="AB102" s="16">
        <f t="shared" si="14"/>
        <v>0</v>
      </c>
    </row>
    <row r="103" ht="15.75" customHeight="1">
      <c r="A103" s="11" t="str">
        <f>IFERROR(__xludf.DUMMYFUNCTION("""COMPUTED_VALUE"""),"2001806735")</f>
        <v>2001806735</v>
      </c>
      <c r="B103" s="11" t="str">
        <f t="array" ref="B103">INDEX(Invoice!A:A,MATCH(Calculations!A103,Invoice!B:B,0))</f>
        <v>1091117226711</v>
      </c>
      <c r="C103" s="12">
        <f t="array" ref="C103">INDEX(Invoice!D:D,MATCH(Calculations!A103,Invoice!B:B,0))</f>
        <v>121003</v>
      </c>
      <c r="D103" s="11" t="str">
        <f t="array" ref="D103">INDEX(Invoice!E:E,MATCH(Calculations!A103,Invoice!B:B,0))</f>
        <v>721636</v>
      </c>
      <c r="E103" s="12" t="str">
        <f t="array" ref="E103">INDEX(Invoice!G:G,MATCH(Calculations!A103,Invoice!B:B,0))</f>
        <v>Forward charges</v>
      </c>
      <c r="F103" s="12" t="str">
        <f t="shared" si="1"/>
        <v>Yes</v>
      </c>
      <c r="G103" s="13" t="str">
        <f t="shared" si="2"/>
        <v>fwd</v>
      </c>
      <c r="H103" s="13" t="str">
        <f t="shared" si="3"/>
        <v>No</v>
      </c>
      <c r="I103" s="12" t="str">
        <f t="shared" si="4"/>
        <v/>
      </c>
      <c r="J103" s="12">
        <f>SUMIF(OrderReport!A:A,A103,OrderReport!E:E)</f>
        <v>500</v>
      </c>
      <c r="K103" s="12">
        <f t="shared" si="5"/>
        <v>0.5</v>
      </c>
      <c r="L103" s="12">
        <f t="shared" si="6"/>
        <v>500</v>
      </c>
      <c r="M103" s="12">
        <f t="shared" si="7"/>
        <v>0.5</v>
      </c>
      <c r="N103" s="11" t="str">
        <f t="array" ref="N103">INDEX(PincodeZones!C:C,MATCH(1,(PincodeZones!A:A=C103)*(PincodeZones!B:B=D103),0))</f>
        <v>d</v>
      </c>
      <c r="O103" s="12">
        <f t="array" ref="O103">INDEX(RatesTable!E:E,MATCH(1,(RatesTable!B:B=G103)*(RatesTable!C:C=N103)*(RatesTable!D:D="fixed"),0))</f>
        <v>45.4</v>
      </c>
      <c r="P103" s="12">
        <f t="array" ref="P103">((M103-0.5)/0.5)*INDEX(RatesTable!E:E,MATCH(1,(RatesTable!B:B=G103)*(RatesTable!C:C=N103)*(RatesTable!D:D="additional"),0))</f>
        <v>0</v>
      </c>
      <c r="Q103" s="12">
        <f t="array" ref="Q103">IFNA(INDEX(RatesTable!E:E,MATCH(1,(RatesTable!B:B=I103)*(RatesTable!C:C=N103)*(RatesTable!D:D="fixed"),0)),0)</f>
        <v>0</v>
      </c>
      <c r="R103" s="13">
        <f t="array" ref="R103">((M103-0.5)/0.5)*IFNA(INDEX(RatesTable!E:E,MATCH(1,(RatesTable!B:B=I103)*(RatesTable!C:C=N103)*(RatesTable!D:D="additional"),0)),0)</f>
        <v>0</v>
      </c>
      <c r="S103" s="12">
        <f t="shared" si="8"/>
        <v>45.4</v>
      </c>
      <c r="T103" s="12" t="str">
        <f t="array" ref="T103">INDEX(Invoice!C:C,MATCH(B103,(Invoice!A:A),0))</f>
        <v>0.69</v>
      </c>
      <c r="U103" s="12">
        <f t="shared" si="9"/>
        <v>690</v>
      </c>
      <c r="V103" s="12">
        <f t="shared" si="10"/>
        <v>1</v>
      </c>
      <c r="W103" s="12" t="str">
        <f t="array" ref="W103">INDEX(Invoice!F:F,MATCH(B103,(Invoice!A:A),0))</f>
        <v>d</v>
      </c>
      <c r="X103" s="14">
        <f t="array" ref="X103">INDEX(Invoice!H:H,MATCH(B103,(Invoice!A:A),0))</f>
        <v>90.2</v>
      </c>
      <c r="Y103" s="15">
        <f t="shared" si="11"/>
        <v>-44.8</v>
      </c>
      <c r="Z103" s="16">
        <f t="shared" si="12"/>
        <v>-98.6784141</v>
      </c>
      <c r="AA103" s="16">
        <f t="shared" si="13"/>
        <v>90.8</v>
      </c>
      <c r="AB103" s="16">
        <f t="shared" si="14"/>
        <v>0</v>
      </c>
    </row>
    <row r="104" ht="15.75" customHeight="1">
      <c r="A104" s="11" t="str">
        <f>IFERROR(__xludf.DUMMYFUNCTION("""COMPUTED_VALUE"""),"2001806733")</f>
        <v>2001806733</v>
      </c>
      <c r="B104" s="11" t="str">
        <f t="array" ref="B104">INDEX(Invoice!A:A,MATCH(Calculations!A104,Invoice!B:B,0))</f>
        <v>1091117226674</v>
      </c>
      <c r="C104" s="12">
        <f t="array" ref="C104">INDEX(Invoice!D:D,MATCH(Calculations!A104,Invoice!B:B,0))</f>
        <v>121003</v>
      </c>
      <c r="D104" s="11" t="str">
        <f t="array" ref="D104">INDEX(Invoice!E:E,MATCH(Calculations!A104,Invoice!B:B,0))</f>
        <v>452001</v>
      </c>
      <c r="E104" s="12" t="str">
        <f t="array" ref="E104">INDEX(Invoice!G:G,MATCH(Calculations!A104,Invoice!B:B,0))</f>
        <v>Forward charges</v>
      </c>
      <c r="F104" s="12" t="str">
        <f t="shared" si="1"/>
        <v>Yes</v>
      </c>
      <c r="G104" s="13" t="str">
        <f t="shared" si="2"/>
        <v>fwd</v>
      </c>
      <c r="H104" s="13" t="str">
        <f t="shared" si="3"/>
        <v>No</v>
      </c>
      <c r="I104" s="12" t="str">
        <f t="shared" si="4"/>
        <v/>
      </c>
      <c r="J104" s="12">
        <f>SUMIF(OrderReport!A:A,A104,OrderReport!E:E)</f>
        <v>967</v>
      </c>
      <c r="K104" s="12">
        <f t="shared" si="5"/>
        <v>0.967</v>
      </c>
      <c r="L104" s="12">
        <f t="shared" si="6"/>
        <v>1000</v>
      </c>
      <c r="M104" s="12">
        <f t="shared" si="7"/>
        <v>1</v>
      </c>
      <c r="N104" s="11" t="str">
        <f t="array" ref="N104">INDEX(PincodeZones!C:C,MATCH(1,(PincodeZones!A:A=C104)*(PincodeZones!B:B=D104),0))</f>
        <v>d</v>
      </c>
      <c r="O104" s="12">
        <f t="array" ref="O104">INDEX(RatesTable!E:E,MATCH(1,(RatesTable!B:B=G104)*(RatesTable!C:C=N104)*(RatesTable!D:D="fixed"),0))</f>
        <v>45.4</v>
      </c>
      <c r="P104" s="12">
        <f t="array" ref="P104">((M104-0.5)/0.5)*INDEX(RatesTable!E:E,MATCH(1,(RatesTable!B:B=G104)*(RatesTable!C:C=N104)*(RatesTable!D:D="additional"),0))</f>
        <v>44.8</v>
      </c>
      <c r="Q104" s="12">
        <f t="array" ref="Q104">IFNA(INDEX(RatesTable!E:E,MATCH(1,(RatesTable!B:B=I104)*(RatesTable!C:C=N104)*(RatesTable!D:D="fixed"),0)),0)</f>
        <v>0</v>
      </c>
      <c r="R104" s="13">
        <f t="array" ref="R104">((M104-0.5)/0.5)*IFNA(INDEX(RatesTable!E:E,MATCH(1,(RatesTable!B:B=I104)*(RatesTable!C:C=N104)*(RatesTable!D:D="additional"),0)),0)</f>
        <v>0</v>
      </c>
      <c r="S104" s="12">
        <f t="shared" si="8"/>
        <v>90.2</v>
      </c>
      <c r="T104" s="12" t="str">
        <f t="array" ref="T104">INDEX(Invoice!C:C,MATCH(B104,(Invoice!A:A),0))</f>
        <v>1.13</v>
      </c>
      <c r="U104" s="12">
        <f t="shared" si="9"/>
        <v>1130</v>
      </c>
      <c r="V104" s="12">
        <f t="shared" si="10"/>
        <v>1.5</v>
      </c>
      <c r="W104" s="12" t="str">
        <f t="array" ref="W104">INDEX(Invoice!F:F,MATCH(B104,(Invoice!A:A),0))</f>
        <v>d</v>
      </c>
      <c r="X104" s="14">
        <f t="array" ref="X104">INDEX(Invoice!H:H,MATCH(B104,(Invoice!A:A),0))</f>
        <v>135</v>
      </c>
      <c r="Y104" s="15">
        <f t="shared" si="11"/>
        <v>-44.8</v>
      </c>
      <c r="Z104" s="16">
        <f t="shared" si="12"/>
        <v>-49.66740576</v>
      </c>
      <c r="AA104" s="16">
        <f t="shared" si="13"/>
        <v>93.27817994</v>
      </c>
      <c r="AB104" s="16">
        <f t="shared" si="14"/>
        <v>0</v>
      </c>
    </row>
    <row r="105" ht="15.75" customHeight="1">
      <c r="A105" s="11" t="str">
        <f>IFERROR(__xludf.DUMMYFUNCTION("""COMPUTED_VALUE"""),"2001806726")</f>
        <v>2001806726</v>
      </c>
      <c r="B105" s="11" t="str">
        <f t="array" ref="B105">INDEX(Invoice!A:A,MATCH(Calculations!A105,Invoice!B:B,0))</f>
        <v>1091117226910</v>
      </c>
      <c r="C105" s="12">
        <f t="array" ref="C105">INDEX(Invoice!D:D,MATCH(Calculations!A105,Invoice!B:B,0))</f>
        <v>121003</v>
      </c>
      <c r="D105" s="11" t="str">
        <f t="array" ref="D105">INDEX(Invoice!E:E,MATCH(Calculations!A105,Invoice!B:B,0))</f>
        <v>831002</v>
      </c>
      <c r="E105" s="12" t="str">
        <f t="array" ref="E105">INDEX(Invoice!G:G,MATCH(Calculations!A105,Invoice!B:B,0))</f>
        <v>Forward charges</v>
      </c>
      <c r="F105" s="12" t="str">
        <f t="shared" si="1"/>
        <v>Yes</v>
      </c>
      <c r="G105" s="13" t="str">
        <f t="shared" si="2"/>
        <v>fwd</v>
      </c>
      <c r="H105" s="13" t="str">
        <f t="shared" si="3"/>
        <v>No</v>
      </c>
      <c r="I105" s="12" t="str">
        <f t="shared" si="4"/>
        <v/>
      </c>
      <c r="J105" s="12">
        <f>SUMIF(OrderReport!A:A,A105,OrderReport!E:E)</f>
        <v>500</v>
      </c>
      <c r="K105" s="12">
        <f t="shared" si="5"/>
        <v>0.5</v>
      </c>
      <c r="L105" s="12">
        <f t="shared" si="6"/>
        <v>500</v>
      </c>
      <c r="M105" s="12">
        <f t="shared" si="7"/>
        <v>0.5</v>
      </c>
      <c r="N105" s="11" t="str">
        <f t="array" ref="N105">INDEX(PincodeZones!C:C,MATCH(1,(PincodeZones!A:A=C105)*(PincodeZones!B:B=D105),0))</f>
        <v>d</v>
      </c>
      <c r="O105" s="12">
        <f t="array" ref="O105">INDEX(RatesTable!E:E,MATCH(1,(RatesTable!B:B=G105)*(RatesTable!C:C=N105)*(RatesTable!D:D="fixed"),0))</f>
        <v>45.4</v>
      </c>
      <c r="P105" s="12">
        <f t="array" ref="P105">((M105-0.5)/0.5)*INDEX(RatesTable!E:E,MATCH(1,(RatesTable!B:B=G105)*(RatesTable!C:C=N105)*(RatesTable!D:D="additional"),0))</f>
        <v>0</v>
      </c>
      <c r="Q105" s="12">
        <f t="array" ref="Q105">IFNA(INDEX(RatesTable!E:E,MATCH(1,(RatesTable!B:B=I105)*(RatesTable!C:C=N105)*(RatesTable!D:D="fixed"),0)),0)</f>
        <v>0</v>
      </c>
      <c r="R105" s="13">
        <f t="array" ref="R105">((M105-0.5)/0.5)*IFNA(INDEX(RatesTable!E:E,MATCH(1,(RatesTable!B:B=I105)*(RatesTable!C:C=N105)*(RatesTable!D:D="additional"),0)),0)</f>
        <v>0</v>
      </c>
      <c r="S105" s="12">
        <f t="shared" si="8"/>
        <v>45.4</v>
      </c>
      <c r="T105" s="12" t="str">
        <f t="array" ref="T105">INDEX(Invoice!C:C,MATCH(B105,(Invoice!A:A),0))</f>
        <v>0.68</v>
      </c>
      <c r="U105" s="12">
        <f t="shared" si="9"/>
        <v>680</v>
      </c>
      <c r="V105" s="12">
        <f t="shared" si="10"/>
        <v>1</v>
      </c>
      <c r="W105" s="12" t="str">
        <f t="array" ref="W105">INDEX(Invoice!F:F,MATCH(B105,(Invoice!A:A),0))</f>
        <v>d</v>
      </c>
      <c r="X105" s="14">
        <f t="array" ref="X105">INDEX(Invoice!H:H,MATCH(B105,(Invoice!A:A),0))</f>
        <v>90.2</v>
      </c>
      <c r="Y105" s="15">
        <f t="shared" si="11"/>
        <v>-44.8</v>
      </c>
      <c r="Z105" s="16">
        <f t="shared" si="12"/>
        <v>-98.6784141</v>
      </c>
      <c r="AA105" s="16">
        <f t="shared" si="13"/>
        <v>90.8</v>
      </c>
      <c r="AB105" s="16">
        <f t="shared" si="14"/>
        <v>0</v>
      </c>
    </row>
    <row r="106" ht="15.75" customHeight="1">
      <c r="A106" s="11" t="str">
        <f>IFERROR(__xludf.DUMMYFUNCTION("""COMPUTED_VALUE"""),"2001806686")</f>
        <v>2001806686</v>
      </c>
      <c r="B106" s="11" t="str">
        <f t="array" ref="B106">INDEX(Invoice!A:A,MATCH(Calculations!A106,Invoice!B:B,0))</f>
        <v>1091117229555</v>
      </c>
      <c r="C106" s="12">
        <f t="array" ref="C106">INDEX(Invoice!D:D,MATCH(Calculations!A106,Invoice!B:B,0))</f>
        <v>121003</v>
      </c>
      <c r="D106" s="11" t="str">
        <f t="array" ref="D106">INDEX(Invoice!E:E,MATCH(Calculations!A106,Invoice!B:B,0))</f>
        <v>326502</v>
      </c>
      <c r="E106" s="12" t="str">
        <f t="array" ref="E106">INDEX(Invoice!G:G,MATCH(Calculations!A106,Invoice!B:B,0))</f>
        <v>Forward charges</v>
      </c>
      <c r="F106" s="12" t="str">
        <f t="shared" si="1"/>
        <v>Yes</v>
      </c>
      <c r="G106" s="13" t="str">
        <f t="shared" si="2"/>
        <v>fwd</v>
      </c>
      <c r="H106" s="13" t="str">
        <f t="shared" si="3"/>
        <v>No</v>
      </c>
      <c r="I106" s="12" t="str">
        <f t="shared" si="4"/>
        <v/>
      </c>
      <c r="J106" s="12">
        <f>SUMIF(OrderReport!A:A,A106,OrderReport!E:E)</f>
        <v>240</v>
      </c>
      <c r="K106" s="12">
        <f t="shared" si="5"/>
        <v>0.24</v>
      </c>
      <c r="L106" s="12">
        <f t="shared" si="6"/>
        <v>500</v>
      </c>
      <c r="M106" s="12">
        <f t="shared" si="7"/>
        <v>0.5</v>
      </c>
      <c r="N106" s="11" t="str">
        <f t="array" ref="N106">INDEX(PincodeZones!C:C,MATCH(1,(PincodeZones!A:A=C106)*(PincodeZones!B:B=D106),0))</f>
        <v>d</v>
      </c>
      <c r="O106" s="12">
        <f t="array" ref="O106">INDEX(RatesTable!E:E,MATCH(1,(RatesTable!B:B=G106)*(RatesTable!C:C=N106)*(RatesTable!D:D="fixed"),0))</f>
        <v>45.4</v>
      </c>
      <c r="P106" s="12">
        <f t="array" ref="P106">((M106-0.5)/0.5)*INDEX(RatesTable!E:E,MATCH(1,(RatesTable!B:B=G106)*(RatesTable!C:C=N106)*(RatesTable!D:D="additional"),0))</f>
        <v>0</v>
      </c>
      <c r="Q106" s="12">
        <f t="array" ref="Q106">IFNA(INDEX(RatesTable!E:E,MATCH(1,(RatesTable!B:B=I106)*(RatesTable!C:C=N106)*(RatesTable!D:D="fixed"),0)),0)</f>
        <v>0</v>
      </c>
      <c r="R106" s="13">
        <f t="array" ref="R106">((M106-0.5)/0.5)*IFNA(INDEX(RatesTable!E:E,MATCH(1,(RatesTable!B:B=I106)*(RatesTable!C:C=N106)*(RatesTable!D:D="additional"),0)),0)</f>
        <v>0</v>
      </c>
      <c r="S106" s="12">
        <f t="shared" si="8"/>
        <v>45.4</v>
      </c>
      <c r="T106" s="12" t="str">
        <f t="array" ref="T106">INDEX(Invoice!C:C,MATCH(B106,(Invoice!A:A),0))</f>
        <v>0.15</v>
      </c>
      <c r="U106" s="12">
        <f t="shared" si="9"/>
        <v>150</v>
      </c>
      <c r="V106" s="12">
        <f t="shared" si="10"/>
        <v>0.5</v>
      </c>
      <c r="W106" s="12" t="str">
        <f t="array" ref="W106">INDEX(Invoice!F:F,MATCH(B106,(Invoice!A:A),0))</f>
        <v>d</v>
      </c>
      <c r="X106" s="14">
        <f t="array" ref="X106">INDEX(Invoice!H:H,MATCH(B106,(Invoice!A:A),0))</f>
        <v>45.4</v>
      </c>
      <c r="Y106" s="15">
        <f t="shared" si="11"/>
        <v>0</v>
      </c>
      <c r="Z106" s="16">
        <f t="shared" si="12"/>
        <v>0</v>
      </c>
      <c r="AA106" s="16">
        <f t="shared" si="13"/>
        <v>189.1666667</v>
      </c>
      <c r="AB106" s="16">
        <f t="shared" si="14"/>
        <v>0</v>
      </c>
    </row>
    <row r="107" ht="15.75" customHeight="1">
      <c r="A107" s="11" t="str">
        <f>IFERROR(__xludf.DUMMYFUNCTION("""COMPUTED_VALUE"""),"2001806652")</f>
        <v>2001806652</v>
      </c>
      <c r="B107" s="11" t="str">
        <f t="array" ref="B107">INDEX(Invoice!A:A,MATCH(Calculations!A107,Invoice!B:B,0))</f>
        <v>1091117226221</v>
      </c>
      <c r="C107" s="12">
        <f t="array" ref="C107">INDEX(Invoice!D:D,MATCH(Calculations!A107,Invoice!B:B,0))</f>
        <v>121003</v>
      </c>
      <c r="D107" s="11" t="str">
        <f t="array" ref="D107">INDEX(Invoice!E:E,MATCH(Calculations!A107,Invoice!B:B,0))</f>
        <v>403401</v>
      </c>
      <c r="E107" s="12" t="str">
        <f t="array" ref="E107">INDEX(Invoice!G:G,MATCH(Calculations!A107,Invoice!B:B,0))</f>
        <v>Forward charges</v>
      </c>
      <c r="F107" s="12" t="str">
        <f t="shared" si="1"/>
        <v>Yes</v>
      </c>
      <c r="G107" s="13" t="str">
        <f t="shared" si="2"/>
        <v>fwd</v>
      </c>
      <c r="H107" s="13" t="str">
        <f t="shared" si="3"/>
        <v>No</v>
      </c>
      <c r="I107" s="12" t="str">
        <f t="shared" si="4"/>
        <v/>
      </c>
      <c r="J107" s="12">
        <f>SUMIF(OrderReport!A:A,A107,OrderReport!E:E)</f>
        <v>500</v>
      </c>
      <c r="K107" s="12">
        <f t="shared" si="5"/>
        <v>0.5</v>
      </c>
      <c r="L107" s="12">
        <f t="shared" si="6"/>
        <v>500</v>
      </c>
      <c r="M107" s="12">
        <f t="shared" si="7"/>
        <v>0.5</v>
      </c>
      <c r="N107" s="11" t="str">
        <f t="array" ref="N107">INDEX(PincodeZones!C:C,MATCH(1,(PincodeZones!A:A=C107)*(PincodeZones!B:B=D107),0))</f>
        <v>d</v>
      </c>
      <c r="O107" s="12">
        <f t="array" ref="O107">INDEX(RatesTable!E:E,MATCH(1,(RatesTable!B:B=G107)*(RatesTable!C:C=N107)*(RatesTable!D:D="fixed"),0))</f>
        <v>45.4</v>
      </c>
      <c r="P107" s="12">
        <f t="array" ref="P107">((M107-0.5)/0.5)*INDEX(RatesTable!E:E,MATCH(1,(RatesTable!B:B=G107)*(RatesTable!C:C=N107)*(RatesTable!D:D="additional"),0))</f>
        <v>0</v>
      </c>
      <c r="Q107" s="12">
        <f t="array" ref="Q107">IFNA(INDEX(RatesTable!E:E,MATCH(1,(RatesTable!B:B=I107)*(RatesTable!C:C=N107)*(RatesTable!D:D="fixed"),0)),0)</f>
        <v>0</v>
      </c>
      <c r="R107" s="13">
        <f t="array" ref="R107">((M107-0.5)/0.5)*IFNA(INDEX(RatesTable!E:E,MATCH(1,(RatesTable!B:B=I107)*(RatesTable!C:C=N107)*(RatesTable!D:D="additional"),0)),0)</f>
        <v>0</v>
      </c>
      <c r="S107" s="12">
        <f t="shared" si="8"/>
        <v>45.4</v>
      </c>
      <c r="T107" s="12" t="str">
        <f t="array" ref="T107">INDEX(Invoice!C:C,MATCH(B107,(Invoice!A:A),0))</f>
        <v>0.69</v>
      </c>
      <c r="U107" s="12">
        <f t="shared" si="9"/>
        <v>690</v>
      </c>
      <c r="V107" s="12">
        <f t="shared" si="10"/>
        <v>1</v>
      </c>
      <c r="W107" s="12" t="str">
        <f t="array" ref="W107">INDEX(Invoice!F:F,MATCH(B107,(Invoice!A:A),0))</f>
        <v>d</v>
      </c>
      <c r="X107" s="14">
        <f t="array" ref="X107">INDEX(Invoice!H:H,MATCH(B107,(Invoice!A:A),0))</f>
        <v>90.2</v>
      </c>
      <c r="Y107" s="15">
        <f t="shared" si="11"/>
        <v>-44.8</v>
      </c>
      <c r="Z107" s="16">
        <f t="shared" si="12"/>
        <v>-98.6784141</v>
      </c>
      <c r="AA107" s="16">
        <f t="shared" si="13"/>
        <v>90.8</v>
      </c>
      <c r="AB107" s="16">
        <f t="shared" si="14"/>
        <v>0</v>
      </c>
    </row>
    <row r="108" ht="15.75" customHeight="1">
      <c r="A108" s="11" t="str">
        <f>IFERROR(__xludf.DUMMYFUNCTION("""COMPUTED_VALUE"""),"2001806616")</f>
        <v>2001806616</v>
      </c>
      <c r="B108" s="11" t="str">
        <f t="array" ref="B108">INDEX(Invoice!A:A,MATCH(Calculations!A108,Invoice!B:B,0))</f>
        <v>1091117225484</v>
      </c>
      <c r="C108" s="12">
        <f t="array" ref="C108">INDEX(Invoice!D:D,MATCH(Calculations!A108,Invoice!B:B,0))</f>
        <v>121003</v>
      </c>
      <c r="D108" s="11" t="str">
        <f t="array" ref="D108">INDEX(Invoice!E:E,MATCH(Calculations!A108,Invoice!B:B,0))</f>
        <v>144001</v>
      </c>
      <c r="E108" s="12" t="str">
        <f t="array" ref="E108">INDEX(Invoice!G:G,MATCH(Calculations!A108,Invoice!B:B,0))</f>
        <v>Forward charges</v>
      </c>
      <c r="F108" s="12" t="str">
        <f t="shared" si="1"/>
        <v>Yes</v>
      </c>
      <c r="G108" s="13" t="str">
        <f t="shared" si="2"/>
        <v>fwd</v>
      </c>
      <c r="H108" s="13" t="str">
        <f t="shared" si="3"/>
        <v>No</v>
      </c>
      <c r="I108" s="12" t="str">
        <f t="shared" si="4"/>
        <v/>
      </c>
      <c r="J108" s="12">
        <f>SUMIF(OrderReport!A:A,A108,OrderReport!E:E)</f>
        <v>963</v>
      </c>
      <c r="K108" s="12">
        <f t="shared" si="5"/>
        <v>0.963</v>
      </c>
      <c r="L108" s="12">
        <f t="shared" si="6"/>
        <v>1000</v>
      </c>
      <c r="M108" s="12">
        <f t="shared" si="7"/>
        <v>1</v>
      </c>
      <c r="N108" s="11" t="str">
        <f t="array" ref="N108">INDEX(PincodeZones!C:C,MATCH(1,(PincodeZones!A:A=C108)*(PincodeZones!B:B=D108),0))</f>
        <v>b</v>
      </c>
      <c r="O108" s="12">
        <f t="array" ref="O108">INDEX(RatesTable!E:E,MATCH(1,(RatesTable!B:B=G108)*(RatesTable!C:C=N108)*(RatesTable!D:D="fixed"),0))</f>
        <v>33</v>
      </c>
      <c r="P108" s="12">
        <f t="array" ref="P108">((M108-0.5)/0.5)*INDEX(RatesTable!E:E,MATCH(1,(RatesTable!B:B=G108)*(RatesTable!C:C=N108)*(RatesTable!D:D="additional"),0))</f>
        <v>28.3</v>
      </c>
      <c r="Q108" s="12">
        <f t="array" ref="Q108">IFNA(INDEX(RatesTable!E:E,MATCH(1,(RatesTable!B:B=I108)*(RatesTable!C:C=N108)*(RatesTable!D:D="fixed"),0)),0)</f>
        <v>0</v>
      </c>
      <c r="R108" s="13">
        <f t="array" ref="R108">((M108-0.5)/0.5)*IFNA(INDEX(RatesTable!E:E,MATCH(1,(RatesTable!B:B=I108)*(RatesTable!C:C=N108)*(RatesTable!D:D="additional"),0)),0)</f>
        <v>0</v>
      </c>
      <c r="S108" s="12">
        <f t="shared" si="8"/>
        <v>61.3</v>
      </c>
      <c r="T108" s="12" t="str">
        <f t="array" ref="T108">INDEX(Invoice!C:C,MATCH(B108,(Invoice!A:A),0))</f>
        <v>1.08</v>
      </c>
      <c r="U108" s="12">
        <f t="shared" si="9"/>
        <v>1080</v>
      </c>
      <c r="V108" s="12">
        <f t="shared" si="10"/>
        <v>1.5</v>
      </c>
      <c r="W108" s="12" t="str">
        <f t="array" ref="W108">INDEX(Invoice!F:F,MATCH(B108,(Invoice!A:A),0))</f>
        <v>b</v>
      </c>
      <c r="X108" s="14">
        <f t="array" ref="X108">INDEX(Invoice!H:H,MATCH(B108,(Invoice!A:A),0))</f>
        <v>89.6</v>
      </c>
      <c r="Y108" s="15">
        <f t="shared" si="11"/>
        <v>-28.3</v>
      </c>
      <c r="Z108" s="16">
        <f t="shared" si="12"/>
        <v>-46.16639478</v>
      </c>
      <c r="AA108" s="16">
        <f t="shared" si="13"/>
        <v>63.65524403</v>
      </c>
      <c r="AB108" s="16">
        <f t="shared" si="14"/>
        <v>0</v>
      </c>
    </row>
    <row r="109" ht="15.75" customHeight="1">
      <c r="A109" s="11" t="str">
        <f>IFERROR(__xludf.DUMMYFUNCTION("""COMPUTED_VALUE"""),"2001806575")</f>
        <v>2001806575</v>
      </c>
      <c r="B109" s="11" t="str">
        <f t="array" ref="B109">INDEX(Invoice!A:A,MATCH(Calculations!A109,Invoice!B:B,0))</f>
        <v>1091117225016</v>
      </c>
      <c r="C109" s="12">
        <f t="array" ref="C109">INDEX(Invoice!D:D,MATCH(Calculations!A109,Invoice!B:B,0))</f>
        <v>121003</v>
      </c>
      <c r="D109" s="11" t="str">
        <f t="array" ref="D109">INDEX(Invoice!E:E,MATCH(Calculations!A109,Invoice!B:B,0))</f>
        <v>248001</v>
      </c>
      <c r="E109" s="12" t="str">
        <f t="array" ref="E109">INDEX(Invoice!G:G,MATCH(Calculations!A109,Invoice!B:B,0))</f>
        <v>Forward charges</v>
      </c>
      <c r="F109" s="12" t="str">
        <f t="shared" si="1"/>
        <v>Yes</v>
      </c>
      <c r="G109" s="13" t="str">
        <f t="shared" si="2"/>
        <v>fwd</v>
      </c>
      <c r="H109" s="13" t="str">
        <f t="shared" si="3"/>
        <v>No</v>
      </c>
      <c r="I109" s="12" t="str">
        <f t="shared" si="4"/>
        <v/>
      </c>
      <c r="J109" s="12">
        <f>SUMIF(OrderReport!A:A,A109,OrderReport!E:E)</f>
        <v>500</v>
      </c>
      <c r="K109" s="12">
        <f t="shared" si="5"/>
        <v>0.5</v>
      </c>
      <c r="L109" s="12">
        <f t="shared" si="6"/>
        <v>500</v>
      </c>
      <c r="M109" s="12">
        <f t="shared" si="7"/>
        <v>0.5</v>
      </c>
      <c r="N109" s="11" t="str">
        <f t="array" ref="N109">INDEX(PincodeZones!C:C,MATCH(1,(PincodeZones!A:A=C109)*(PincodeZones!B:B=D109),0))</f>
        <v>b</v>
      </c>
      <c r="O109" s="12">
        <f t="array" ref="O109">INDEX(RatesTable!E:E,MATCH(1,(RatesTable!B:B=G109)*(RatesTable!C:C=N109)*(RatesTable!D:D="fixed"),0))</f>
        <v>33</v>
      </c>
      <c r="P109" s="12">
        <f t="array" ref="P109">((M109-0.5)/0.5)*INDEX(RatesTable!E:E,MATCH(1,(RatesTable!B:B=G109)*(RatesTable!C:C=N109)*(RatesTable!D:D="additional"),0))</f>
        <v>0</v>
      </c>
      <c r="Q109" s="12">
        <f t="array" ref="Q109">IFNA(INDEX(RatesTable!E:E,MATCH(1,(RatesTable!B:B=I109)*(RatesTable!C:C=N109)*(RatesTable!D:D="fixed"),0)),0)</f>
        <v>0</v>
      </c>
      <c r="R109" s="13">
        <f t="array" ref="R109">((M109-0.5)/0.5)*IFNA(INDEX(RatesTable!E:E,MATCH(1,(RatesTable!B:B=I109)*(RatesTable!C:C=N109)*(RatesTable!D:D="additional"),0)),0)</f>
        <v>0</v>
      </c>
      <c r="S109" s="12">
        <f t="shared" si="8"/>
        <v>33</v>
      </c>
      <c r="T109" s="12" t="str">
        <f t="array" ref="T109">INDEX(Invoice!C:C,MATCH(B109,(Invoice!A:A),0))</f>
        <v>0.68</v>
      </c>
      <c r="U109" s="12">
        <f t="shared" si="9"/>
        <v>680</v>
      </c>
      <c r="V109" s="12">
        <f t="shared" si="10"/>
        <v>1</v>
      </c>
      <c r="W109" s="12" t="str">
        <f t="array" ref="W109">INDEX(Invoice!F:F,MATCH(B109,(Invoice!A:A),0))</f>
        <v>b</v>
      </c>
      <c r="X109" s="14">
        <f t="array" ref="X109">INDEX(Invoice!H:H,MATCH(B109,(Invoice!A:A),0))</f>
        <v>61.3</v>
      </c>
      <c r="Y109" s="15">
        <f t="shared" si="11"/>
        <v>-28.3</v>
      </c>
      <c r="Z109" s="16">
        <f t="shared" si="12"/>
        <v>-85.75757576</v>
      </c>
      <c r="AA109" s="16">
        <f t="shared" si="13"/>
        <v>66</v>
      </c>
      <c r="AB109" s="16">
        <f t="shared" si="14"/>
        <v>0</v>
      </c>
    </row>
    <row r="110" ht="15.75" customHeight="1">
      <c r="A110" s="11" t="str">
        <f>IFERROR(__xludf.DUMMYFUNCTION("""COMPUTED_VALUE"""),"2001806567")</f>
        <v>2001806567</v>
      </c>
      <c r="B110" s="11" t="str">
        <f t="array" ref="B110">INDEX(Invoice!A:A,MATCH(Calculations!A110,Invoice!B:B,0))</f>
        <v>1091117224902</v>
      </c>
      <c r="C110" s="12">
        <f t="array" ref="C110">INDEX(Invoice!D:D,MATCH(Calculations!A110,Invoice!B:B,0))</f>
        <v>121003</v>
      </c>
      <c r="D110" s="11" t="str">
        <f t="array" ref="D110">INDEX(Invoice!E:E,MATCH(Calculations!A110,Invoice!B:B,0))</f>
        <v>370201</v>
      </c>
      <c r="E110" s="12" t="str">
        <f t="array" ref="E110">INDEX(Invoice!G:G,MATCH(Calculations!A110,Invoice!B:B,0))</f>
        <v>Forward charges</v>
      </c>
      <c r="F110" s="12" t="str">
        <f t="shared" si="1"/>
        <v>Yes</v>
      </c>
      <c r="G110" s="13" t="str">
        <f t="shared" si="2"/>
        <v>fwd</v>
      </c>
      <c r="H110" s="13" t="str">
        <f t="shared" si="3"/>
        <v>No</v>
      </c>
      <c r="I110" s="12" t="str">
        <f t="shared" si="4"/>
        <v/>
      </c>
      <c r="J110" s="12">
        <f>SUMIF(OrderReport!A:A,A110,OrderReport!E:E)</f>
        <v>952</v>
      </c>
      <c r="K110" s="12">
        <f t="shared" si="5"/>
        <v>0.952</v>
      </c>
      <c r="L110" s="12">
        <f t="shared" si="6"/>
        <v>1000</v>
      </c>
      <c r="M110" s="12">
        <f t="shared" si="7"/>
        <v>1</v>
      </c>
      <c r="N110" s="11" t="str">
        <f t="array" ref="N110">INDEX(PincodeZones!C:C,MATCH(1,(PincodeZones!A:A=C110)*(PincodeZones!B:B=D110),0))</f>
        <v>d</v>
      </c>
      <c r="O110" s="12">
        <f t="array" ref="O110">INDEX(RatesTable!E:E,MATCH(1,(RatesTable!B:B=G110)*(RatesTable!C:C=N110)*(RatesTable!D:D="fixed"),0))</f>
        <v>45.4</v>
      </c>
      <c r="P110" s="12">
        <f t="array" ref="P110">((M110-0.5)/0.5)*INDEX(RatesTable!E:E,MATCH(1,(RatesTable!B:B=G110)*(RatesTable!C:C=N110)*(RatesTable!D:D="additional"),0))</f>
        <v>44.8</v>
      </c>
      <c r="Q110" s="12">
        <f t="array" ref="Q110">IFNA(INDEX(RatesTable!E:E,MATCH(1,(RatesTable!B:B=I110)*(RatesTable!C:C=N110)*(RatesTable!D:D="fixed"),0)),0)</f>
        <v>0</v>
      </c>
      <c r="R110" s="13">
        <f t="array" ref="R110">((M110-0.5)/0.5)*IFNA(INDEX(RatesTable!E:E,MATCH(1,(RatesTable!B:B=I110)*(RatesTable!C:C=N110)*(RatesTable!D:D="additional"),0)),0)</f>
        <v>0</v>
      </c>
      <c r="S110" s="12">
        <f t="shared" si="8"/>
        <v>90.2</v>
      </c>
      <c r="T110" s="12" t="str">
        <f t="array" ref="T110">INDEX(Invoice!C:C,MATCH(B110,(Invoice!A:A),0))</f>
        <v>1.16</v>
      </c>
      <c r="U110" s="12">
        <f t="shared" si="9"/>
        <v>1160</v>
      </c>
      <c r="V110" s="12">
        <f t="shared" si="10"/>
        <v>1.5</v>
      </c>
      <c r="W110" s="12" t="str">
        <f t="array" ref="W110">INDEX(Invoice!F:F,MATCH(B110,(Invoice!A:A),0))</f>
        <v>d</v>
      </c>
      <c r="X110" s="14">
        <f t="array" ref="X110">INDEX(Invoice!H:H,MATCH(B110,(Invoice!A:A),0))</f>
        <v>135</v>
      </c>
      <c r="Y110" s="15">
        <f t="shared" si="11"/>
        <v>-44.8</v>
      </c>
      <c r="Z110" s="16">
        <f t="shared" si="12"/>
        <v>-49.66740576</v>
      </c>
      <c r="AA110" s="16">
        <f t="shared" si="13"/>
        <v>94.74789916</v>
      </c>
      <c r="AB110" s="16">
        <f t="shared" si="14"/>
        <v>0</v>
      </c>
    </row>
    <row r="111" ht="15.75" customHeight="1">
      <c r="A111" s="11" t="str">
        <f>IFERROR(__xludf.DUMMYFUNCTION("""COMPUTED_VALUE"""),"2001806547")</f>
        <v>2001806547</v>
      </c>
      <c r="B111" s="11" t="str">
        <f t="array" ref="B111">INDEX(Invoice!A:A,MATCH(Calculations!A111,Invoice!B:B,0))</f>
        <v>1091117224611</v>
      </c>
      <c r="C111" s="12">
        <f t="array" ref="C111">INDEX(Invoice!D:D,MATCH(Calculations!A111,Invoice!B:B,0))</f>
        <v>121003</v>
      </c>
      <c r="D111" s="11" t="str">
        <f t="array" ref="D111">INDEX(Invoice!E:E,MATCH(Calculations!A111,Invoice!B:B,0))</f>
        <v>283102</v>
      </c>
      <c r="E111" s="12" t="str">
        <f t="array" ref="E111">INDEX(Invoice!G:G,MATCH(Calculations!A111,Invoice!B:B,0))</f>
        <v>Forward charges</v>
      </c>
      <c r="F111" s="12" t="str">
        <f t="shared" si="1"/>
        <v>Yes</v>
      </c>
      <c r="G111" s="13" t="str">
        <f t="shared" si="2"/>
        <v>fwd</v>
      </c>
      <c r="H111" s="13" t="str">
        <f t="shared" si="3"/>
        <v>No</v>
      </c>
      <c r="I111" s="12" t="str">
        <f t="shared" si="4"/>
        <v/>
      </c>
      <c r="J111" s="12">
        <f>SUMIF(OrderReport!A:A,A111,OrderReport!E:E)</f>
        <v>127</v>
      </c>
      <c r="K111" s="12">
        <f t="shared" si="5"/>
        <v>0.127</v>
      </c>
      <c r="L111" s="12">
        <f t="shared" si="6"/>
        <v>500</v>
      </c>
      <c r="M111" s="12">
        <f t="shared" si="7"/>
        <v>0.5</v>
      </c>
      <c r="N111" s="11" t="str">
        <f t="array" ref="N111">INDEX(PincodeZones!C:C,MATCH(1,(PincodeZones!A:A=C111)*(PincodeZones!B:B=D111),0))</f>
        <v>b</v>
      </c>
      <c r="O111" s="12">
        <f t="array" ref="O111">INDEX(RatesTable!E:E,MATCH(1,(RatesTable!B:B=G111)*(RatesTable!C:C=N111)*(RatesTable!D:D="fixed"),0))</f>
        <v>33</v>
      </c>
      <c r="P111" s="12">
        <f t="array" ref="P111">((M111-0.5)/0.5)*INDEX(RatesTable!E:E,MATCH(1,(RatesTable!B:B=G111)*(RatesTable!C:C=N111)*(RatesTable!D:D="additional"),0))</f>
        <v>0</v>
      </c>
      <c r="Q111" s="12">
        <f t="array" ref="Q111">IFNA(INDEX(RatesTable!E:E,MATCH(1,(RatesTable!B:B=I111)*(RatesTable!C:C=N111)*(RatesTable!D:D="fixed"),0)),0)</f>
        <v>0</v>
      </c>
      <c r="R111" s="13">
        <f t="array" ref="R111">((M111-0.5)/0.5)*IFNA(INDEX(RatesTable!E:E,MATCH(1,(RatesTable!B:B=I111)*(RatesTable!C:C=N111)*(RatesTable!D:D="additional"),0)),0)</f>
        <v>0</v>
      </c>
      <c r="S111" s="12">
        <f t="shared" si="8"/>
        <v>33</v>
      </c>
      <c r="T111" s="12" t="str">
        <f t="array" ref="T111">INDEX(Invoice!C:C,MATCH(B111,(Invoice!A:A),0))</f>
        <v>1</v>
      </c>
      <c r="U111" s="12">
        <f t="shared" si="9"/>
        <v>1000</v>
      </c>
      <c r="V111" s="12">
        <f t="shared" si="10"/>
        <v>1</v>
      </c>
      <c r="W111" s="12" t="str">
        <f t="array" ref="W111">INDEX(Invoice!F:F,MATCH(B111,(Invoice!A:A),0))</f>
        <v>b</v>
      </c>
      <c r="X111" s="14">
        <f t="array" ref="X111">INDEX(Invoice!H:H,MATCH(B111,(Invoice!A:A),0))</f>
        <v>61.3</v>
      </c>
      <c r="Y111" s="15">
        <f t="shared" si="11"/>
        <v>-28.3</v>
      </c>
      <c r="Z111" s="16">
        <f t="shared" si="12"/>
        <v>-85.75757576</v>
      </c>
      <c r="AA111" s="16">
        <f t="shared" si="13"/>
        <v>259.8425197</v>
      </c>
      <c r="AB111" s="16">
        <f t="shared" si="14"/>
        <v>0</v>
      </c>
    </row>
    <row r="112" ht="15.75" customHeight="1">
      <c r="A112" s="11" t="str">
        <f>IFERROR(__xludf.DUMMYFUNCTION("""COMPUTED_VALUE"""),"2001806533")</f>
        <v>2001806533</v>
      </c>
      <c r="B112" s="11" t="str">
        <f t="array" ref="B112">INDEX(Invoice!A:A,MATCH(Calculations!A112,Invoice!B:B,0))</f>
        <v>1091117224353</v>
      </c>
      <c r="C112" s="12">
        <f t="array" ref="C112">INDEX(Invoice!D:D,MATCH(Calculations!A112,Invoice!B:B,0))</f>
        <v>121003</v>
      </c>
      <c r="D112" s="11" t="str">
        <f t="array" ref="D112">INDEX(Invoice!E:E,MATCH(Calculations!A112,Invoice!B:B,0))</f>
        <v>711303</v>
      </c>
      <c r="E112" s="12" t="str">
        <f t="array" ref="E112">INDEX(Invoice!G:G,MATCH(Calculations!A112,Invoice!B:B,0))</f>
        <v>Forward charges</v>
      </c>
      <c r="F112" s="12" t="str">
        <f t="shared" si="1"/>
        <v>Yes</v>
      </c>
      <c r="G112" s="13" t="str">
        <f t="shared" si="2"/>
        <v>fwd</v>
      </c>
      <c r="H112" s="13" t="str">
        <f t="shared" si="3"/>
        <v>No</v>
      </c>
      <c r="I112" s="12" t="str">
        <f t="shared" si="4"/>
        <v/>
      </c>
      <c r="J112" s="12">
        <f>SUMIF(OrderReport!A:A,A112,OrderReport!E:E)</f>
        <v>500</v>
      </c>
      <c r="K112" s="12">
        <f t="shared" si="5"/>
        <v>0.5</v>
      </c>
      <c r="L112" s="12">
        <f t="shared" si="6"/>
        <v>500</v>
      </c>
      <c r="M112" s="12">
        <f t="shared" si="7"/>
        <v>0.5</v>
      </c>
      <c r="N112" s="11" t="str">
        <f t="array" ref="N112">INDEX(PincodeZones!C:C,MATCH(1,(PincodeZones!A:A=C112)*(PincodeZones!B:B=D112),0))</f>
        <v>d</v>
      </c>
      <c r="O112" s="12">
        <f t="array" ref="O112">INDEX(RatesTable!E:E,MATCH(1,(RatesTable!B:B=G112)*(RatesTable!C:C=N112)*(RatesTable!D:D="fixed"),0))</f>
        <v>45.4</v>
      </c>
      <c r="P112" s="12">
        <f t="array" ref="P112">((M112-0.5)/0.5)*INDEX(RatesTable!E:E,MATCH(1,(RatesTable!B:B=G112)*(RatesTable!C:C=N112)*(RatesTable!D:D="additional"),0))</f>
        <v>0</v>
      </c>
      <c r="Q112" s="12">
        <f t="array" ref="Q112">IFNA(INDEX(RatesTable!E:E,MATCH(1,(RatesTable!B:B=I112)*(RatesTable!C:C=N112)*(RatesTable!D:D="fixed"),0)),0)</f>
        <v>0</v>
      </c>
      <c r="R112" s="13">
        <f t="array" ref="R112">((M112-0.5)/0.5)*IFNA(INDEX(RatesTable!E:E,MATCH(1,(RatesTable!B:B=I112)*(RatesTable!C:C=N112)*(RatesTable!D:D="additional"),0)),0)</f>
        <v>0</v>
      </c>
      <c r="S112" s="12">
        <f t="shared" si="8"/>
        <v>45.4</v>
      </c>
      <c r="T112" s="12" t="str">
        <f t="array" ref="T112">INDEX(Invoice!C:C,MATCH(B112,(Invoice!A:A),0))</f>
        <v>0.68</v>
      </c>
      <c r="U112" s="12">
        <f t="shared" si="9"/>
        <v>680</v>
      </c>
      <c r="V112" s="12">
        <f t="shared" si="10"/>
        <v>1</v>
      </c>
      <c r="W112" s="12" t="str">
        <f t="array" ref="W112">INDEX(Invoice!F:F,MATCH(B112,(Invoice!A:A),0))</f>
        <v>d</v>
      </c>
      <c r="X112" s="14">
        <f t="array" ref="X112">INDEX(Invoice!H:H,MATCH(B112,(Invoice!A:A),0))</f>
        <v>90.2</v>
      </c>
      <c r="Y112" s="15">
        <f t="shared" si="11"/>
        <v>-44.8</v>
      </c>
      <c r="Z112" s="16">
        <f t="shared" si="12"/>
        <v>-98.6784141</v>
      </c>
      <c r="AA112" s="16">
        <f t="shared" si="13"/>
        <v>90.8</v>
      </c>
      <c r="AB112" s="16">
        <f t="shared" si="14"/>
        <v>0</v>
      </c>
    </row>
    <row r="113" ht="15.75" customHeight="1">
      <c r="A113" s="11" t="str">
        <f>IFERROR(__xludf.DUMMYFUNCTION("""COMPUTED_VALUE"""),"2001806471")</f>
        <v>2001806471</v>
      </c>
      <c r="B113" s="11" t="str">
        <f t="array" ref="B113">INDEX(Invoice!A:A,MATCH(Calculations!A113,Invoice!B:B,0))</f>
        <v>1091117223351</v>
      </c>
      <c r="C113" s="12">
        <f t="array" ref="C113">INDEX(Invoice!D:D,MATCH(Calculations!A113,Invoice!B:B,0))</f>
        <v>121003</v>
      </c>
      <c r="D113" s="11" t="str">
        <f t="array" ref="D113">INDEX(Invoice!E:E,MATCH(Calculations!A113,Invoice!B:B,0))</f>
        <v>313027</v>
      </c>
      <c r="E113" s="12" t="str">
        <f t="array" ref="E113">INDEX(Invoice!G:G,MATCH(Calculations!A113,Invoice!B:B,0))</f>
        <v>Forward charges</v>
      </c>
      <c r="F113" s="12" t="str">
        <f t="shared" si="1"/>
        <v>Yes</v>
      </c>
      <c r="G113" s="13" t="str">
        <f t="shared" si="2"/>
        <v>fwd</v>
      </c>
      <c r="H113" s="13" t="str">
        <f t="shared" si="3"/>
        <v>No</v>
      </c>
      <c r="I113" s="12" t="str">
        <f t="shared" si="4"/>
        <v/>
      </c>
      <c r="J113" s="12">
        <f>SUMIF(OrderReport!A:A,A113,OrderReport!E:E)</f>
        <v>1621</v>
      </c>
      <c r="K113" s="12">
        <f t="shared" si="5"/>
        <v>1.621</v>
      </c>
      <c r="L113" s="12">
        <f t="shared" si="6"/>
        <v>2000</v>
      </c>
      <c r="M113" s="12">
        <f t="shared" si="7"/>
        <v>2</v>
      </c>
      <c r="N113" s="11" t="str">
        <f t="array" ref="N113">INDEX(PincodeZones!C:C,MATCH(1,(PincodeZones!A:A=C113)*(PincodeZones!B:B=D113),0))</f>
        <v>b</v>
      </c>
      <c r="O113" s="12">
        <f t="array" ref="O113">INDEX(RatesTable!E:E,MATCH(1,(RatesTable!B:B=G113)*(RatesTable!C:C=N113)*(RatesTable!D:D="fixed"),0))</f>
        <v>33</v>
      </c>
      <c r="P113" s="12">
        <f t="array" ref="P113">((M113-0.5)/0.5)*INDEX(RatesTable!E:E,MATCH(1,(RatesTable!B:B=G113)*(RatesTable!C:C=N113)*(RatesTable!D:D="additional"),0))</f>
        <v>84.9</v>
      </c>
      <c r="Q113" s="12">
        <f t="array" ref="Q113">IFNA(INDEX(RatesTable!E:E,MATCH(1,(RatesTable!B:B=I113)*(RatesTable!C:C=N113)*(RatesTable!D:D="fixed"),0)),0)</f>
        <v>0</v>
      </c>
      <c r="R113" s="13">
        <f t="array" ref="R113">((M113-0.5)/0.5)*IFNA(INDEX(RatesTable!E:E,MATCH(1,(RatesTable!B:B=I113)*(RatesTable!C:C=N113)*(RatesTable!D:D="additional"),0)),0)</f>
        <v>0</v>
      </c>
      <c r="S113" s="12">
        <f t="shared" si="8"/>
        <v>117.9</v>
      </c>
      <c r="T113" s="12" t="str">
        <f t="array" ref="T113">INDEX(Invoice!C:C,MATCH(B113,(Invoice!A:A),0))</f>
        <v>1.7</v>
      </c>
      <c r="U113" s="12">
        <f t="shared" si="9"/>
        <v>1700</v>
      </c>
      <c r="V113" s="12">
        <f t="shared" si="10"/>
        <v>2</v>
      </c>
      <c r="W113" s="12" t="str">
        <f t="array" ref="W113">INDEX(Invoice!F:F,MATCH(B113,(Invoice!A:A),0))</f>
        <v>d</v>
      </c>
      <c r="X113" s="14">
        <f t="array" ref="X113">INDEX(Invoice!H:H,MATCH(B113,(Invoice!A:A),0))</f>
        <v>179.8</v>
      </c>
      <c r="Y113" s="15">
        <f t="shared" si="11"/>
        <v>-61.9</v>
      </c>
      <c r="Z113" s="16">
        <f t="shared" si="12"/>
        <v>-52.50212044</v>
      </c>
      <c r="AA113" s="16">
        <f t="shared" si="13"/>
        <v>72.73288094</v>
      </c>
      <c r="AB113" s="16">
        <f t="shared" si="14"/>
        <v>0</v>
      </c>
    </row>
    <row r="114" ht="15.75" customHeight="1">
      <c r="A114" s="11" t="str">
        <f>IFERROR(__xludf.DUMMYFUNCTION("""COMPUTED_VALUE"""),"2001806458")</f>
        <v>2001806458</v>
      </c>
      <c r="B114" s="11" t="str">
        <f t="array" ref="B114">INDEX(Invoice!A:A,MATCH(Calculations!A114,Invoice!B:B,0))</f>
        <v>1091117223244</v>
      </c>
      <c r="C114" s="12">
        <f t="array" ref="C114">INDEX(Invoice!D:D,MATCH(Calculations!A114,Invoice!B:B,0))</f>
        <v>121003</v>
      </c>
      <c r="D114" s="11" t="str">
        <f t="array" ref="D114">INDEX(Invoice!E:E,MATCH(Calculations!A114,Invoice!B:B,0))</f>
        <v>143001</v>
      </c>
      <c r="E114" s="12" t="str">
        <f t="array" ref="E114">INDEX(Invoice!G:G,MATCH(Calculations!A114,Invoice!B:B,0))</f>
        <v>Forward charges</v>
      </c>
      <c r="F114" s="12" t="str">
        <f t="shared" si="1"/>
        <v>Yes</v>
      </c>
      <c r="G114" s="13" t="str">
        <f t="shared" si="2"/>
        <v>fwd</v>
      </c>
      <c r="H114" s="13" t="str">
        <f t="shared" si="3"/>
        <v>No</v>
      </c>
      <c r="I114" s="12" t="str">
        <f t="shared" si="4"/>
        <v/>
      </c>
      <c r="J114" s="12">
        <f>SUMIF(OrderReport!A:A,A114,OrderReport!E:E)</f>
        <v>700</v>
      </c>
      <c r="K114" s="12">
        <f t="shared" si="5"/>
        <v>0.7</v>
      </c>
      <c r="L114" s="12">
        <f t="shared" si="6"/>
        <v>1000</v>
      </c>
      <c r="M114" s="12">
        <f t="shared" si="7"/>
        <v>1</v>
      </c>
      <c r="N114" s="11" t="str">
        <f t="array" ref="N114">INDEX(PincodeZones!C:C,MATCH(1,(PincodeZones!A:A=C114)*(PincodeZones!B:B=D114),0))</f>
        <v>b</v>
      </c>
      <c r="O114" s="12">
        <f t="array" ref="O114">INDEX(RatesTable!E:E,MATCH(1,(RatesTable!B:B=G114)*(RatesTable!C:C=N114)*(RatesTable!D:D="fixed"),0))</f>
        <v>33</v>
      </c>
      <c r="P114" s="12">
        <f t="array" ref="P114">((M114-0.5)/0.5)*INDEX(RatesTable!E:E,MATCH(1,(RatesTable!B:B=G114)*(RatesTable!C:C=N114)*(RatesTable!D:D="additional"),0))</f>
        <v>28.3</v>
      </c>
      <c r="Q114" s="12">
        <f t="array" ref="Q114">IFNA(INDEX(RatesTable!E:E,MATCH(1,(RatesTable!B:B=I114)*(RatesTable!C:C=N114)*(RatesTable!D:D="fixed"),0)),0)</f>
        <v>0</v>
      </c>
      <c r="R114" s="13">
        <f t="array" ref="R114">((M114-0.5)/0.5)*IFNA(INDEX(RatesTable!E:E,MATCH(1,(RatesTable!B:B=I114)*(RatesTable!C:C=N114)*(RatesTable!D:D="additional"),0)),0)</f>
        <v>0</v>
      </c>
      <c r="S114" s="12">
        <f t="shared" si="8"/>
        <v>61.3</v>
      </c>
      <c r="T114" s="12" t="str">
        <f t="array" ref="T114">INDEX(Invoice!C:C,MATCH(B114,(Invoice!A:A),0))</f>
        <v>1</v>
      </c>
      <c r="U114" s="12">
        <f t="shared" si="9"/>
        <v>1000</v>
      </c>
      <c r="V114" s="12">
        <f t="shared" si="10"/>
        <v>1</v>
      </c>
      <c r="W114" s="12" t="str">
        <f t="array" ref="W114">INDEX(Invoice!F:F,MATCH(B114,(Invoice!A:A),0))</f>
        <v>b</v>
      </c>
      <c r="X114" s="14">
        <f t="array" ref="X114">INDEX(Invoice!H:H,MATCH(B114,(Invoice!A:A),0))</f>
        <v>61.3</v>
      </c>
      <c r="Y114" s="15">
        <f t="shared" si="11"/>
        <v>0</v>
      </c>
      <c r="Z114" s="16">
        <f t="shared" si="12"/>
        <v>0</v>
      </c>
      <c r="AA114" s="16">
        <f t="shared" si="13"/>
        <v>87.57142857</v>
      </c>
      <c r="AB114" s="16">
        <f t="shared" si="14"/>
        <v>0</v>
      </c>
    </row>
    <row r="115" ht="15.75" customHeight="1">
      <c r="A115" s="11" t="str">
        <f>IFERROR(__xludf.DUMMYFUNCTION("""COMPUTED_VALUE"""),"2001806446")</f>
        <v>2001806446</v>
      </c>
      <c r="B115" s="11" t="str">
        <f t="array" ref="B115">INDEX(Invoice!A:A,MATCH(Calculations!A115,Invoice!B:B,0))</f>
        <v>1091117223211</v>
      </c>
      <c r="C115" s="12">
        <f t="array" ref="C115">INDEX(Invoice!D:D,MATCH(Calculations!A115,Invoice!B:B,0))</f>
        <v>121003</v>
      </c>
      <c r="D115" s="11" t="str">
        <f t="array" ref="D115">INDEX(Invoice!E:E,MATCH(Calculations!A115,Invoice!B:B,0))</f>
        <v>382830</v>
      </c>
      <c r="E115" s="12" t="str">
        <f t="array" ref="E115">INDEX(Invoice!G:G,MATCH(Calculations!A115,Invoice!B:B,0))</f>
        <v>Forward charges</v>
      </c>
      <c r="F115" s="12" t="str">
        <f t="shared" si="1"/>
        <v>Yes</v>
      </c>
      <c r="G115" s="13" t="str">
        <f t="shared" si="2"/>
        <v>fwd</v>
      </c>
      <c r="H115" s="13" t="str">
        <f t="shared" si="3"/>
        <v>No</v>
      </c>
      <c r="I115" s="12" t="str">
        <f t="shared" si="4"/>
        <v/>
      </c>
      <c r="J115" s="12">
        <f>SUMIF(OrderReport!A:A,A115,OrderReport!E:E)</f>
        <v>500</v>
      </c>
      <c r="K115" s="12">
        <f t="shared" si="5"/>
        <v>0.5</v>
      </c>
      <c r="L115" s="12">
        <f t="shared" si="6"/>
        <v>500</v>
      </c>
      <c r="M115" s="12">
        <f t="shared" si="7"/>
        <v>0.5</v>
      </c>
      <c r="N115" s="11" t="str">
        <f t="array" ref="N115">INDEX(PincodeZones!C:C,MATCH(1,(PincodeZones!A:A=C115)*(PincodeZones!B:B=D115),0))</f>
        <v>d</v>
      </c>
      <c r="O115" s="12">
        <f t="array" ref="O115">INDEX(RatesTable!E:E,MATCH(1,(RatesTable!B:B=G115)*(RatesTable!C:C=N115)*(RatesTable!D:D="fixed"),0))</f>
        <v>45.4</v>
      </c>
      <c r="P115" s="12">
        <f t="array" ref="P115">((M115-0.5)/0.5)*INDEX(RatesTable!E:E,MATCH(1,(RatesTable!B:B=G115)*(RatesTable!C:C=N115)*(RatesTable!D:D="additional"),0))</f>
        <v>0</v>
      </c>
      <c r="Q115" s="12">
        <f t="array" ref="Q115">IFNA(INDEX(RatesTable!E:E,MATCH(1,(RatesTable!B:B=I115)*(RatesTable!C:C=N115)*(RatesTable!D:D="fixed"),0)),0)</f>
        <v>0</v>
      </c>
      <c r="R115" s="13">
        <f t="array" ref="R115">((M115-0.5)/0.5)*IFNA(INDEX(RatesTable!E:E,MATCH(1,(RatesTable!B:B=I115)*(RatesTable!C:C=N115)*(RatesTable!D:D="additional"),0)),0)</f>
        <v>0</v>
      </c>
      <c r="S115" s="12">
        <f t="shared" si="8"/>
        <v>45.4</v>
      </c>
      <c r="T115" s="12" t="str">
        <f t="array" ref="T115">INDEX(Invoice!C:C,MATCH(B115,(Invoice!A:A),0))</f>
        <v>0.69</v>
      </c>
      <c r="U115" s="12">
        <f t="shared" si="9"/>
        <v>690</v>
      </c>
      <c r="V115" s="12">
        <f t="shared" si="10"/>
        <v>1</v>
      </c>
      <c r="W115" s="12" t="str">
        <f t="array" ref="W115">INDEX(Invoice!F:F,MATCH(B115,(Invoice!A:A),0))</f>
        <v>d</v>
      </c>
      <c r="X115" s="14">
        <f t="array" ref="X115">INDEX(Invoice!H:H,MATCH(B115,(Invoice!A:A),0))</f>
        <v>90.2</v>
      </c>
      <c r="Y115" s="15">
        <f t="shared" si="11"/>
        <v>-44.8</v>
      </c>
      <c r="Z115" s="16">
        <f t="shared" si="12"/>
        <v>-98.6784141</v>
      </c>
      <c r="AA115" s="16">
        <f t="shared" si="13"/>
        <v>90.8</v>
      </c>
      <c r="AB115" s="16">
        <f t="shared" si="14"/>
        <v>0</v>
      </c>
    </row>
    <row r="116" ht="15.75" customHeight="1">
      <c r="A116" s="11" t="str">
        <f>IFERROR(__xludf.DUMMYFUNCTION("""COMPUTED_VALUE"""),"2001806408")</f>
        <v>2001806408</v>
      </c>
      <c r="B116" s="11" t="str">
        <f t="array" ref="B116">INDEX(Invoice!A:A,MATCH(Calculations!A116,Invoice!B:B,0))</f>
        <v>1091117222931</v>
      </c>
      <c r="C116" s="12">
        <f t="array" ref="C116">INDEX(Invoice!D:D,MATCH(Calculations!A116,Invoice!B:B,0))</f>
        <v>121003</v>
      </c>
      <c r="D116" s="11" t="str">
        <f t="array" ref="D116">INDEX(Invoice!E:E,MATCH(Calculations!A116,Invoice!B:B,0))</f>
        <v>532484</v>
      </c>
      <c r="E116" s="12" t="str">
        <f t="array" ref="E116">INDEX(Invoice!G:G,MATCH(Calculations!A116,Invoice!B:B,0))</f>
        <v>Forward charges</v>
      </c>
      <c r="F116" s="12" t="str">
        <f t="shared" si="1"/>
        <v>Yes</v>
      </c>
      <c r="G116" s="13" t="str">
        <f t="shared" si="2"/>
        <v>fwd</v>
      </c>
      <c r="H116" s="13" t="str">
        <f t="shared" si="3"/>
        <v>No</v>
      </c>
      <c r="I116" s="12" t="str">
        <f t="shared" si="4"/>
        <v/>
      </c>
      <c r="J116" s="12">
        <f>SUMIF(OrderReport!A:A,A116,OrderReport!E:E)</f>
        <v>2265</v>
      </c>
      <c r="K116" s="12">
        <f t="shared" si="5"/>
        <v>2.265</v>
      </c>
      <c r="L116" s="12">
        <f t="shared" si="6"/>
        <v>2500</v>
      </c>
      <c r="M116" s="12">
        <f t="shared" si="7"/>
        <v>2.5</v>
      </c>
      <c r="N116" s="11" t="str">
        <f t="array" ref="N116">INDEX(PincodeZones!C:C,MATCH(1,(PincodeZones!A:A=C116)*(PincodeZones!B:B=D116),0))</f>
        <v>d</v>
      </c>
      <c r="O116" s="12">
        <f t="array" ref="O116">INDEX(RatesTable!E:E,MATCH(1,(RatesTable!B:B=G116)*(RatesTable!C:C=N116)*(RatesTable!D:D="fixed"),0))</f>
        <v>45.4</v>
      </c>
      <c r="P116" s="12">
        <f t="array" ref="P116">((M116-0.5)/0.5)*INDEX(RatesTable!E:E,MATCH(1,(RatesTable!B:B=G116)*(RatesTable!C:C=N116)*(RatesTable!D:D="additional"),0))</f>
        <v>179.2</v>
      </c>
      <c r="Q116" s="12">
        <f t="array" ref="Q116">IFNA(INDEX(RatesTable!E:E,MATCH(1,(RatesTable!B:B=I116)*(RatesTable!C:C=N116)*(RatesTable!D:D="fixed"),0)),0)</f>
        <v>0</v>
      </c>
      <c r="R116" s="13">
        <f t="array" ref="R116">((M116-0.5)/0.5)*IFNA(INDEX(RatesTable!E:E,MATCH(1,(RatesTable!B:B=I116)*(RatesTable!C:C=N116)*(RatesTable!D:D="additional"),0)),0)</f>
        <v>0</v>
      </c>
      <c r="S116" s="12">
        <f t="shared" si="8"/>
        <v>224.6</v>
      </c>
      <c r="T116" s="12" t="str">
        <f t="array" ref="T116">INDEX(Invoice!C:C,MATCH(B116,(Invoice!A:A),0))</f>
        <v>2.5</v>
      </c>
      <c r="U116" s="12">
        <f t="shared" si="9"/>
        <v>2500</v>
      </c>
      <c r="V116" s="12">
        <f t="shared" si="10"/>
        <v>2.5</v>
      </c>
      <c r="W116" s="12" t="str">
        <f t="array" ref="W116">INDEX(Invoice!F:F,MATCH(B116,(Invoice!A:A),0))</f>
        <v>d</v>
      </c>
      <c r="X116" s="14">
        <f t="array" ref="X116">INDEX(Invoice!H:H,MATCH(B116,(Invoice!A:A),0))</f>
        <v>224.6</v>
      </c>
      <c r="Y116" s="15">
        <f t="shared" si="11"/>
        <v>0</v>
      </c>
      <c r="Z116" s="16">
        <f t="shared" si="12"/>
        <v>0</v>
      </c>
      <c r="AA116" s="16">
        <f t="shared" si="13"/>
        <v>99.1611479</v>
      </c>
      <c r="AB116" s="16">
        <f t="shared" si="14"/>
        <v>0</v>
      </c>
    </row>
    <row r="117" ht="15.75" customHeight="1">
      <c r="A117" s="11" t="str">
        <f>IFERROR(__xludf.DUMMYFUNCTION("""COMPUTED_VALUE"""),"2001806338")</f>
        <v>2001806338</v>
      </c>
      <c r="B117" s="11" t="str">
        <f t="array" ref="B117">INDEX(Invoice!A:A,MATCH(Calculations!A117,Invoice!B:B,0))</f>
        <v>1091117222570</v>
      </c>
      <c r="C117" s="12">
        <f t="array" ref="C117">INDEX(Invoice!D:D,MATCH(Calculations!A117,Invoice!B:B,0))</f>
        <v>121003</v>
      </c>
      <c r="D117" s="11" t="str">
        <f t="array" ref="D117">INDEX(Invoice!E:E,MATCH(Calculations!A117,Invoice!B:B,0))</f>
        <v>392150</v>
      </c>
      <c r="E117" s="12" t="str">
        <f t="array" ref="E117">INDEX(Invoice!G:G,MATCH(Calculations!A117,Invoice!B:B,0))</f>
        <v>Forward charges</v>
      </c>
      <c r="F117" s="12" t="str">
        <f t="shared" si="1"/>
        <v>Yes</v>
      </c>
      <c r="G117" s="13" t="str">
        <f t="shared" si="2"/>
        <v>fwd</v>
      </c>
      <c r="H117" s="13" t="str">
        <f t="shared" si="3"/>
        <v>No</v>
      </c>
      <c r="I117" s="12" t="str">
        <f t="shared" si="4"/>
        <v/>
      </c>
      <c r="J117" s="12">
        <f>SUMIF(OrderReport!A:A,A117,OrderReport!E:E)</f>
        <v>500</v>
      </c>
      <c r="K117" s="12">
        <f t="shared" si="5"/>
        <v>0.5</v>
      </c>
      <c r="L117" s="12">
        <f t="shared" si="6"/>
        <v>500</v>
      </c>
      <c r="M117" s="12">
        <f t="shared" si="7"/>
        <v>0.5</v>
      </c>
      <c r="N117" s="11" t="str">
        <f t="array" ref="N117">INDEX(PincodeZones!C:C,MATCH(1,(PincodeZones!A:A=C117)*(PincodeZones!B:B=D117),0))</f>
        <v>d</v>
      </c>
      <c r="O117" s="12">
        <f t="array" ref="O117">INDEX(RatesTable!E:E,MATCH(1,(RatesTable!B:B=G117)*(RatesTable!C:C=N117)*(RatesTable!D:D="fixed"),0))</f>
        <v>45.4</v>
      </c>
      <c r="P117" s="12">
        <f t="array" ref="P117">((M117-0.5)/0.5)*INDEX(RatesTable!E:E,MATCH(1,(RatesTable!B:B=G117)*(RatesTable!C:C=N117)*(RatesTable!D:D="additional"),0))</f>
        <v>0</v>
      </c>
      <c r="Q117" s="12">
        <f t="array" ref="Q117">IFNA(INDEX(RatesTable!E:E,MATCH(1,(RatesTable!B:B=I117)*(RatesTable!C:C=N117)*(RatesTable!D:D="fixed"),0)),0)</f>
        <v>0</v>
      </c>
      <c r="R117" s="13">
        <f t="array" ref="R117">((M117-0.5)/0.5)*IFNA(INDEX(RatesTable!E:E,MATCH(1,(RatesTable!B:B=I117)*(RatesTable!C:C=N117)*(RatesTable!D:D="additional"),0)),0)</f>
        <v>0</v>
      </c>
      <c r="S117" s="12">
        <f t="shared" si="8"/>
        <v>45.4</v>
      </c>
      <c r="T117" s="12" t="str">
        <f t="array" ref="T117">INDEX(Invoice!C:C,MATCH(B117,(Invoice!A:A),0))</f>
        <v>0.7</v>
      </c>
      <c r="U117" s="12">
        <f t="shared" si="9"/>
        <v>700</v>
      </c>
      <c r="V117" s="12">
        <f t="shared" si="10"/>
        <v>1</v>
      </c>
      <c r="W117" s="12" t="str">
        <f t="array" ref="W117">INDEX(Invoice!F:F,MATCH(B117,(Invoice!A:A),0))</f>
        <v>d</v>
      </c>
      <c r="X117" s="14">
        <f t="array" ref="X117">INDEX(Invoice!H:H,MATCH(B117,(Invoice!A:A),0))</f>
        <v>90.2</v>
      </c>
      <c r="Y117" s="15">
        <f t="shared" si="11"/>
        <v>-44.8</v>
      </c>
      <c r="Z117" s="16">
        <f t="shared" si="12"/>
        <v>-98.6784141</v>
      </c>
      <c r="AA117" s="16">
        <f t="shared" si="13"/>
        <v>90.8</v>
      </c>
      <c r="AB117" s="16">
        <f t="shared" si="14"/>
        <v>0</v>
      </c>
    </row>
    <row r="118" ht="15.75" customHeight="1">
      <c r="A118" s="11" t="str">
        <f>IFERROR(__xludf.DUMMYFUNCTION("""COMPUTED_VALUE"""),"2001806304")</f>
        <v>2001806304</v>
      </c>
      <c r="B118" s="11" t="str">
        <f t="array" ref="B118">INDEX(Invoice!A:A,MATCH(Calculations!A118,Invoice!B:B,0))</f>
        <v>1091117222360</v>
      </c>
      <c r="C118" s="12">
        <f t="array" ref="C118">INDEX(Invoice!D:D,MATCH(Calculations!A118,Invoice!B:B,0))</f>
        <v>121003</v>
      </c>
      <c r="D118" s="11" t="str">
        <f t="array" ref="D118">INDEX(Invoice!E:E,MATCH(Calculations!A118,Invoice!B:B,0))</f>
        <v>302017</v>
      </c>
      <c r="E118" s="12" t="str">
        <f t="array" ref="E118">INDEX(Invoice!G:G,MATCH(Calculations!A118,Invoice!B:B,0))</f>
        <v>Forward charges</v>
      </c>
      <c r="F118" s="12" t="str">
        <f t="shared" si="1"/>
        <v>Yes</v>
      </c>
      <c r="G118" s="13" t="str">
        <f t="shared" si="2"/>
        <v>fwd</v>
      </c>
      <c r="H118" s="13" t="str">
        <f t="shared" si="3"/>
        <v>No</v>
      </c>
      <c r="I118" s="12" t="str">
        <f t="shared" si="4"/>
        <v/>
      </c>
      <c r="J118" s="12">
        <f>SUMIF(OrderReport!A:A,A118,OrderReport!E:E)</f>
        <v>500</v>
      </c>
      <c r="K118" s="12">
        <f t="shared" si="5"/>
        <v>0.5</v>
      </c>
      <c r="L118" s="12">
        <f t="shared" si="6"/>
        <v>500</v>
      </c>
      <c r="M118" s="12">
        <f t="shared" si="7"/>
        <v>0.5</v>
      </c>
      <c r="N118" s="11" t="str">
        <f t="array" ref="N118">INDEX(PincodeZones!C:C,MATCH(1,(PincodeZones!A:A=C118)*(PincodeZones!B:B=D118),0))</f>
        <v>b</v>
      </c>
      <c r="O118" s="12">
        <f t="array" ref="O118">INDEX(RatesTable!E:E,MATCH(1,(RatesTable!B:B=G118)*(RatesTable!C:C=N118)*(RatesTable!D:D="fixed"),0))</f>
        <v>33</v>
      </c>
      <c r="P118" s="12">
        <f t="array" ref="P118">((M118-0.5)/0.5)*INDEX(RatesTable!E:E,MATCH(1,(RatesTable!B:B=G118)*(RatesTable!C:C=N118)*(RatesTable!D:D="additional"),0))</f>
        <v>0</v>
      </c>
      <c r="Q118" s="12">
        <f t="array" ref="Q118">IFNA(INDEX(RatesTable!E:E,MATCH(1,(RatesTable!B:B=I118)*(RatesTable!C:C=N118)*(RatesTable!D:D="fixed"),0)),0)</f>
        <v>0</v>
      </c>
      <c r="R118" s="13">
        <f t="array" ref="R118">((M118-0.5)/0.5)*IFNA(INDEX(RatesTable!E:E,MATCH(1,(RatesTable!B:B=I118)*(RatesTable!C:C=N118)*(RatesTable!D:D="additional"),0)),0)</f>
        <v>0</v>
      </c>
      <c r="S118" s="12">
        <f t="shared" si="8"/>
        <v>33</v>
      </c>
      <c r="T118" s="12" t="str">
        <f t="array" ref="T118">INDEX(Invoice!C:C,MATCH(B118,(Invoice!A:A),0))</f>
        <v>0.71</v>
      </c>
      <c r="U118" s="12">
        <f t="shared" si="9"/>
        <v>710</v>
      </c>
      <c r="V118" s="12">
        <f t="shared" si="10"/>
        <v>1</v>
      </c>
      <c r="W118" s="12" t="str">
        <f t="array" ref="W118">INDEX(Invoice!F:F,MATCH(B118,(Invoice!A:A),0))</f>
        <v>d</v>
      </c>
      <c r="X118" s="14">
        <f t="array" ref="X118">INDEX(Invoice!H:H,MATCH(B118,(Invoice!A:A),0))</f>
        <v>90.2</v>
      </c>
      <c r="Y118" s="15">
        <f t="shared" si="11"/>
        <v>-57.2</v>
      </c>
      <c r="Z118" s="16">
        <f t="shared" si="12"/>
        <v>-173.3333333</v>
      </c>
      <c r="AA118" s="16">
        <f t="shared" si="13"/>
        <v>66</v>
      </c>
      <c r="AB118" s="16">
        <f t="shared" si="14"/>
        <v>0</v>
      </c>
    </row>
    <row r="119" ht="15.75" customHeight="1">
      <c r="A119" s="11" t="str">
        <f>IFERROR(__xludf.DUMMYFUNCTION("""COMPUTED_VALUE"""),"2001806273")</f>
        <v>2001806273</v>
      </c>
      <c r="B119" s="11" t="str">
        <f t="array" ref="B119">INDEX(Invoice!A:A,MATCH(Calculations!A119,Invoice!B:B,0))</f>
        <v>1091117222194</v>
      </c>
      <c r="C119" s="12">
        <f t="array" ref="C119">INDEX(Invoice!D:D,MATCH(Calculations!A119,Invoice!B:B,0))</f>
        <v>121003</v>
      </c>
      <c r="D119" s="11" t="str">
        <f t="array" ref="D119">INDEX(Invoice!E:E,MATCH(Calculations!A119,Invoice!B:B,0))</f>
        <v>486886</v>
      </c>
      <c r="E119" s="12" t="str">
        <f t="array" ref="E119">INDEX(Invoice!G:G,MATCH(Calculations!A119,Invoice!B:B,0))</f>
        <v>Forward charges</v>
      </c>
      <c r="F119" s="12" t="str">
        <f t="shared" si="1"/>
        <v>Yes</v>
      </c>
      <c r="G119" s="13" t="str">
        <f t="shared" si="2"/>
        <v>fwd</v>
      </c>
      <c r="H119" s="13" t="str">
        <f t="shared" si="3"/>
        <v>No</v>
      </c>
      <c r="I119" s="12" t="str">
        <f t="shared" si="4"/>
        <v/>
      </c>
      <c r="J119" s="12">
        <f>SUMIF(OrderReport!A:A,A119,OrderReport!E:E)</f>
        <v>615</v>
      </c>
      <c r="K119" s="12">
        <f t="shared" si="5"/>
        <v>0.615</v>
      </c>
      <c r="L119" s="12">
        <f t="shared" si="6"/>
        <v>1000</v>
      </c>
      <c r="M119" s="12">
        <f t="shared" si="7"/>
        <v>1</v>
      </c>
      <c r="N119" s="11" t="str">
        <f t="array" ref="N119">INDEX(PincodeZones!C:C,MATCH(1,(PincodeZones!A:A=C119)*(PincodeZones!B:B=D119),0))</f>
        <v>d</v>
      </c>
      <c r="O119" s="12">
        <f t="array" ref="O119">INDEX(RatesTable!E:E,MATCH(1,(RatesTable!B:B=G119)*(RatesTable!C:C=N119)*(RatesTable!D:D="fixed"),0))</f>
        <v>45.4</v>
      </c>
      <c r="P119" s="12">
        <f t="array" ref="P119">((M119-0.5)/0.5)*INDEX(RatesTable!E:E,MATCH(1,(RatesTable!B:B=G119)*(RatesTable!C:C=N119)*(RatesTable!D:D="additional"),0))</f>
        <v>44.8</v>
      </c>
      <c r="Q119" s="12">
        <f t="array" ref="Q119">IFNA(INDEX(RatesTable!E:E,MATCH(1,(RatesTable!B:B=I119)*(RatesTable!C:C=N119)*(RatesTable!D:D="fixed"),0)),0)</f>
        <v>0</v>
      </c>
      <c r="R119" s="13">
        <f t="array" ref="R119">((M119-0.5)/0.5)*IFNA(INDEX(RatesTable!E:E,MATCH(1,(RatesTable!B:B=I119)*(RatesTable!C:C=N119)*(RatesTable!D:D="additional"),0)),0)</f>
        <v>0</v>
      </c>
      <c r="S119" s="12">
        <f t="shared" si="8"/>
        <v>90.2</v>
      </c>
      <c r="T119" s="12" t="str">
        <f t="array" ref="T119">INDEX(Invoice!C:C,MATCH(B119,(Invoice!A:A),0))</f>
        <v>1</v>
      </c>
      <c r="U119" s="12">
        <f t="shared" si="9"/>
        <v>1000</v>
      </c>
      <c r="V119" s="12">
        <f t="shared" si="10"/>
        <v>1</v>
      </c>
      <c r="W119" s="12" t="str">
        <f t="array" ref="W119">INDEX(Invoice!F:F,MATCH(B119,(Invoice!A:A),0))</f>
        <v>d</v>
      </c>
      <c r="X119" s="14">
        <f t="array" ref="X119">INDEX(Invoice!H:H,MATCH(B119,(Invoice!A:A),0))</f>
        <v>90.2</v>
      </c>
      <c r="Y119" s="15">
        <f t="shared" si="11"/>
        <v>0</v>
      </c>
      <c r="Z119" s="16">
        <f t="shared" si="12"/>
        <v>0</v>
      </c>
      <c r="AA119" s="16">
        <f t="shared" si="13"/>
        <v>146.6666667</v>
      </c>
      <c r="AB119" s="16">
        <f t="shared" si="14"/>
        <v>0</v>
      </c>
    </row>
    <row r="120" ht="15.75" customHeight="1">
      <c r="A120" s="11" t="str">
        <f>IFERROR(__xludf.DUMMYFUNCTION("""COMPUTED_VALUE"""),"2001806251")</f>
        <v>2001806251</v>
      </c>
      <c r="B120" s="11" t="str">
        <f t="array" ref="B120">INDEX(Invoice!A:A,MATCH(Calculations!A120,Invoice!B:B,0))</f>
        <v>1091117222146</v>
      </c>
      <c r="C120" s="12">
        <f t="array" ref="C120">INDEX(Invoice!D:D,MATCH(Calculations!A120,Invoice!B:B,0))</f>
        <v>121003</v>
      </c>
      <c r="D120" s="11" t="str">
        <f t="array" ref="D120">INDEX(Invoice!E:E,MATCH(Calculations!A120,Invoice!B:B,0))</f>
        <v>743263</v>
      </c>
      <c r="E120" s="12" t="str">
        <f t="array" ref="E120">INDEX(Invoice!G:G,MATCH(Calculations!A120,Invoice!B:B,0))</f>
        <v>Forward charges</v>
      </c>
      <c r="F120" s="12" t="str">
        <f t="shared" si="1"/>
        <v>Yes</v>
      </c>
      <c r="G120" s="13" t="str">
        <f t="shared" si="2"/>
        <v>fwd</v>
      </c>
      <c r="H120" s="13" t="str">
        <f t="shared" si="3"/>
        <v>No</v>
      </c>
      <c r="I120" s="12" t="str">
        <f t="shared" si="4"/>
        <v/>
      </c>
      <c r="J120" s="12">
        <f>SUMIF(OrderReport!A:A,A120,OrderReport!E:E)</f>
        <v>245</v>
      </c>
      <c r="K120" s="12">
        <f t="shared" si="5"/>
        <v>0.245</v>
      </c>
      <c r="L120" s="12">
        <f t="shared" si="6"/>
        <v>500</v>
      </c>
      <c r="M120" s="12">
        <f t="shared" si="7"/>
        <v>0.5</v>
      </c>
      <c r="N120" s="11" t="str">
        <f t="array" ref="N120">INDEX(PincodeZones!C:C,MATCH(1,(PincodeZones!A:A=C120)*(PincodeZones!B:B=D120),0))</f>
        <v>d</v>
      </c>
      <c r="O120" s="12">
        <f t="array" ref="O120">INDEX(RatesTable!E:E,MATCH(1,(RatesTable!B:B=G120)*(RatesTable!C:C=N120)*(RatesTable!D:D="fixed"),0))</f>
        <v>45.4</v>
      </c>
      <c r="P120" s="12">
        <f t="array" ref="P120">((M120-0.5)/0.5)*INDEX(RatesTable!E:E,MATCH(1,(RatesTable!B:B=G120)*(RatesTable!C:C=N120)*(RatesTable!D:D="additional"),0))</f>
        <v>0</v>
      </c>
      <c r="Q120" s="12">
        <f t="array" ref="Q120">IFNA(INDEX(RatesTable!E:E,MATCH(1,(RatesTable!B:B=I120)*(RatesTable!C:C=N120)*(RatesTable!D:D="fixed"),0)),0)</f>
        <v>0</v>
      </c>
      <c r="R120" s="13">
        <f t="array" ref="R120">((M120-0.5)/0.5)*IFNA(INDEX(RatesTable!E:E,MATCH(1,(RatesTable!B:B=I120)*(RatesTable!C:C=N120)*(RatesTable!D:D="additional"),0)),0)</f>
        <v>0</v>
      </c>
      <c r="S120" s="12">
        <f t="shared" si="8"/>
        <v>45.4</v>
      </c>
      <c r="T120" s="12" t="str">
        <f t="array" ref="T120">INDEX(Invoice!C:C,MATCH(B120,(Invoice!A:A),0))</f>
        <v>1.27</v>
      </c>
      <c r="U120" s="12">
        <f t="shared" si="9"/>
        <v>1270</v>
      </c>
      <c r="V120" s="12">
        <f t="shared" si="10"/>
        <v>1.5</v>
      </c>
      <c r="W120" s="12" t="str">
        <f t="array" ref="W120">INDEX(Invoice!F:F,MATCH(B120,(Invoice!A:A),0))</f>
        <v>d</v>
      </c>
      <c r="X120" s="14">
        <f t="array" ref="X120">INDEX(Invoice!H:H,MATCH(B120,(Invoice!A:A),0))</f>
        <v>135</v>
      </c>
      <c r="Y120" s="15">
        <f t="shared" si="11"/>
        <v>-89.6</v>
      </c>
      <c r="Z120" s="16">
        <f t="shared" si="12"/>
        <v>-197.3568282</v>
      </c>
      <c r="AA120" s="16">
        <f t="shared" si="13"/>
        <v>185.3061224</v>
      </c>
      <c r="AB120" s="16">
        <f t="shared" si="14"/>
        <v>0</v>
      </c>
    </row>
    <row r="121" ht="15.75" customHeight="1">
      <c r="A121" s="11" t="str">
        <f>IFERROR(__xludf.DUMMYFUNCTION("""COMPUTED_VALUE"""),"2001806233")</f>
        <v>2001806233</v>
      </c>
      <c r="B121" s="11" t="str">
        <f t="array" ref="B121">INDEX(Invoice!A:A,MATCH(Calculations!A121,Invoice!B:B,0))</f>
        <v>1091117222135</v>
      </c>
      <c r="C121" s="12">
        <f t="array" ref="C121">INDEX(Invoice!D:D,MATCH(Calculations!A121,Invoice!B:B,0))</f>
        <v>121003</v>
      </c>
      <c r="D121" s="11" t="str">
        <f t="array" ref="D121">INDEX(Invoice!E:E,MATCH(Calculations!A121,Invoice!B:B,0))</f>
        <v>263139</v>
      </c>
      <c r="E121" s="12" t="str">
        <f t="array" ref="E121">INDEX(Invoice!G:G,MATCH(Calculations!A121,Invoice!B:B,0))</f>
        <v>Forward charges</v>
      </c>
      <c r="F121" s="12" t="str">
        <f t="shared" si="1"/>
        <v>Yes</v>
      </c>
      <c r="G121" s="13" t="str">
        <f t="shared" si="2"/>
        <v>fwd</v>
      </c>
      <c r="H121" s="13" t="str">
        <f t="shared" si="3"/>
        <v>No</v>
      </c>
      <c r="I121" s="12" t="str">
        <f t="shared" si="4"/>
        <v/>
      </c>
      <c r="J121" s="12">
        <f>SUMIF(OrderReport!A:A,A121,OrderReport!E:E)</f>
        <v>245</v>
      </c>
      <c r="K121" s="12">
        <f t="shared" si="5"/>
        <v>0.245</v>
      </c>
      <c r="L121" s="12">
        <f t="shared" si="6"/>
        <v>500</v>
      </c>
      <c r="M121" s="12">
        <f t="shared" si="7"/>
        <v>0.5</v>
      </c>
      <c r="N121" s="11" t="str">
        <f t="array" ref="N121">INDEX(PincodeZones!C:C,MATCH(1,(PincodeZones!A:A=C121)*(PincodeZones!B:B=D121),0))</f>
        <v>b</v>
      </c>
      <c r="O121" s="12">
        <f t="array" ref="O121">INDEX(RatesTable!E:E,MATCH(1,(RatesTable!B:B=G121)*(RatesTable!C:C=N121)*(RatesTable!D:D="fixed"),0))</f>
        <v>33</v>
      </c>
      <c r="P121" s="12">
        <f t="array" ref="P121">((M121-0.5)/0.5)*INDEX(RatesTable!E:E,MATCH(1,(RatesTable!B:B=G121)*(RatesTable!C:C=N121)*(RatesTable!D:D="additional"),0))</f>
        <v>0</v>
      </c>
      <c r="Q121" s="12">
        <f t="array" ref="Q121">IFNA(INDEX(RatesTable!E:E,MATCH(1,(RatesTable!B:B=I121)*(RatesTable!C:C=N121)*(RatesTable!D:D="fixed"),0)),0)</f>
        <v>0</v>
      </c>
      <c r="R121" s="13">
        <f t="array" ref="R121">((M121-0.5)/0.5)*IFNA(INDEX(RatesTable!E:E,MATCH(1,(RatesTable!B:B=I121)*(RatesTable!C:C=N121)*(RatesTable!D:D="additional"),0)),0)</f>
        <v>0</v>
      </c>
      <c r="S121" s="12">
        <f t="shared" si="8"/>
        <v>33</v>
      </c>
      <c r="T121" s="12" t="str">
        <f t="array" ref="T121">INDEX(Invoice!C:C,MATCH(B121,(Invoice!A:A),0))</f>
        <v>0.78</v>
      </c>
      <c r="U121" s="12">
        <f t="shared" si="9"/>
        <v>780</v>
      </c>
      <c r="V121" s="12">
        <f t="shared" si="10"/>
        <v>1</v>
      </c>
      <c r="W121" s="12" t="str">
        <f t="array" ref="W121">INDEX(Invoice!F:F,MATCH(B121,(Invoice!A:A),0))</f>
        <v>b</v>
      </c>
      <c r="X121" s="14">
        <f t="array" ref="X121">INDEX(Invoice!H:H,MATCH(B121,(Invoice!A:A),0))</f>
        <v>61.3</v>
      </c>
      <c r="Y121" s="15">
        <f t="shared" si="11"/>
        <v>-28.3</v>
      </c>
      <c r="Z121" s="16">
        <f t="shared" si="12"/>
        <v>-85.75757576</v>
      </c>
      <c r="AA121" s="16">
        <f t="shared" si="13"/>
        <v>134.6938776</v>
      </c>
      <c r="AB121" s="16">
        <f t="shared" si="14"/>
        <v>0</v>
      </c>
    </row>
    <row r="122" ht="15.75" customHeight="1">
      <c r="A122" s="11" t="str">
        <f>IFERROR(__xludf.DUMMYFUNCTION("""COMPUTED_VALUE"""),"2001806232")</f>
        <v>2001806232</v>
      </c>
      <c r="B122" s="11" t="str">
        <f t="array" ref="B122">INDEX(Invoice!A:A,MATCH(Calculations!A122,Invoice!B:B,0))</f>
        <v>1091117222124</v>
      </c>
      <c r="C122" s="12">
        <f t="array" ref="C122">INDEX(Invoice!D:D,MATCH(Calculations!A122,Invoice!B:B,0))</f>
        <v>121003</v>
      </c>
      <c r="D122" s="11" t="str">
        <f t="array" ref="D122">INDEX(Invoice!E:E,MATCH(Calculations!A122,Invoice!B:B,0))</f>
        <v>507101</v>
      </c>
      <c r="E122" s="12" t="str">
        <f t="array" ref="E122">INDEX(Invoice!G:G,MATCH(Calculations!A122,Invoice!B:B,0))</f>
        <v>Forward charges</v>
      </c>
      <c r="F122" s="12" t="str">
        <f t="shared" si="1"/>
        <v>Yes</v>
      </c>
      <c r="G122" s="13" t="str">
        <f t="shared" si="2"/>
        <v>fwd</v>
      </c>
      <c r="H122" s="13" t="str">
        <f t="shared" si="3"/>
        <v>No</v>
      </c>
      <c r="I122" s="12" t="str">
        <f t="shared" si="4"/>
        <v/>
      </c>
      <c r="J122" s="12">
        <f>SUMIF(OrderReport!A:A,A122,OrderReport!E:E)</f>
        <v>1302</v>
      </c>
      <c r="K122" s="12">
        <f t="shared" si="5"/>
        <v>1.302</v>
      </c>
      <c r="L122" s="12">
        <f t="shared" si="6"/>
        <v>1500</v>
      </c>
      <c r="M122" s="12">
        <f t="shared" si="7"/>
        <v>1.5</v>
      </c>
      <c r="N122" s="11" t="str">
        <f t="array" ref="N122">INDEX(PincodeZones!C:C,MATCH(1,(PincodeZones!A:A=C122)*(PincodeZones!B:B=D122),0))</f>
        <v>d</v>
      </c>
      <c r="O122" s="12">
        <f t="array" ref="O122">INDEX(RatesTable!E:E,MATCH(1,(RatesTable!B:B=G122)*(RatesTable!C:C=N122)*(RatesTable!D:D="fixed"),0))</f>
        <v>45.4</v>
      </c>
      <c r="P122" s="12">
        <f t="array" ref="P122">((M122-0.5)/0.5)*INDEX(RatesTable!E:E,MATCH(1,(RatesTable!B:B=G122)*(RatesTable!C:C=N122)*(RatesTable!D:D="additional"),0))</f>
        <v>89.6</v>
      </c>
      <c r="Q122" s="12">
        <f t="array" ref="Q122">IFNA(INDEX(RatesTable!E:E,MATCH(1,(RatesTable!B:B=I122)*(RatesTable!C:C=N122)*(RatesTable!D:D="fixed"),0)),0)</f>
        <v>0</v>
      </c>
      <c r="R122" s="13">
        <f t="array" ref="R122">((M122-0.5)/0.5)*IFNA(INDEX(RatesTable!E:E,MATCH(1,(RatesTable!B:B=I122)*(RatesTable!C:C=N122)*(RatesTable!D:D="additional"),0)),0)</f>
        <v>0</v>
      </c>
      <c r="S122" s="12">
        <f t="shared" si="8"/>
        <v>135</v>
      </c>
      <c r="T122" s="12" t="str">
        <f t="array" ref="T122">INDEX(Invoice!C:C,MATCH(B122,(Invoice!A:A),0))</f>
        <v>1.3</v>
      </c>
      <c r="U122" s="12">
        <f t="shared" si="9"/>
        <v>1300</v>
      </c>
      <c r="V122" s="12">
        <f t="shared" si="10"/>
        <v>1.5</v>
      </c>
      <c r="W122" s="12" t="str">
        <f t="array" ref="W122">INDEX(Invoice!F:F,MATCH(B122,(Invoice!A:A),0))</f>
        <v>d</v>
      </c>
      <c r="X122" s="14">
        <f t="array" ref="X122">INDEX(Invoice!H:H,MATCH(B122,(Invoice!A:A),0))</f>
        <v>135</v>
      </c>
      <c r="Y122" s="15">
        <f t="shared" si="11"/>
        <v>0</v>
      </c>
      <c r="Z122" s="16">
        <f t="shared" si="12"/>
        <v>0</v>
      </c>
      <c r="AA122" s="16">
        <f t="shared" si="13"/>
        <v>103.6866359</v>
      </c>
      <c r="AB122" s="16">
        <f t="shared" si="14"/>
        <v>0</v>
      </c>
    </row>
    <row r="123" ht="15.75" customHeight="1">
      <c r="A123" s="11" t="str">
        <f>IFERROR(__xludf.DUMMYFUNCTION("""COMPUTED_VALUE"""),"2001806229")</f>
        <v>2001806229</v>
      </c>
      <c r="B123" s="11" t="str">
        <f t="array" ref="B123">INDEX(Invoice!A:A,MATCH(Calculations!A123,Invoice!B:B,0))</f>
        <v>1091117222080</v>
      </c>
      <c r="C123" s="12">
        <f t="array" ref="C123">INDEX(Invoice!D:D,MATCH(Calculations!A123,Invoice!B:B,0))</f>
        <v>121003</v>
      </c>
      <c r="D123" s="11" t="str">
        <f t="array" ref="D123">INDEX(Invoice!E:E,MATCH(Calculations!A123,Invoice!B:B,0))</f>
        <v>421204</v>
      </c>
      <c r="E123" s="12" t="str">
        <f t="array" ref="E123">INDEX(Invoice!G:G,MATCH(Calculations!A123,Invoice!B:B,0))</f>
        <v>Forward charges</v>
      </c>
      <c r="F123" s="12" t="str">
        <f t="shared" si="1"/>
        <v>Yes</v>
      </c>
      <c r="G123" s="13" t="str">
        <f t="shared" si="2"/>
        <v>fwd</v>
      </c>
      <c r="H123" s="13" t="str">
        <f t="shared" si="3"/>
        <v>No</v>
      </c>
      <c r="I123" s="12" t="str">
        <f t="shared" si="4"/>
        <v/>
      </c>
      <c r="J123" s="12">
        <f>SUMIF(OrderReport!A:A,A123,OrderReport!E:E)</f>
        <v>500</v>
      </c>
      <c r="K123" s="12">
        <f t="shared" si="5"/>
        <v>0.5</v>
      </c>
      <c r="L123" s="12">
        <f t="shared" si="6"/>
        <v>500</v>
      </c>
      <c r="M123" s="12">
        <f t="shared" si="7"/>
        <v>0.5</v>
      </c>
      <c r="N123" s="11" t="str">
        <f t="array" ref="N123">INDEX(PincodeZones!C:C,MATCH(1,(PincodeZones!A:A=C123)*(PincodeZones!B:B=D123),0))</f>
        <v>d</v>
      </c>
      <c r="O123" s="12">
        <f t="array" ref="O123">INDEX(RatesTable!E:E,MATCH(1,(RatesTable!B:B=G123)*(RatesTable!C:C=N123)*(RatesTable!D:D="fixed"),0))</f>
        <v>45.4</v>
      </c>
      <c r="P123" s="12">
        <f t="array" ref="P123">((M123-0.5)/0.5)*INDEX(RatesTable!E:E,MATCH(1,(RatesTable!B:B=G123)*(RatesTable!C:C=N123)*(RatesTable!D:D="additional"),0))</f>
        <v>0</v>
      </c>
      <c r="Q123" s="12">
        <f t="array" ref="Q123">IFNA(INDEX(RatesTable!E:E,MATCH(1,(RatesTable!B:B=I123)*(RatesTable!C:C=N123)*(RatesTable!D:D="fixed"),0)),0)</f>
        <v>0</v>
      </c>
      <c r="R123" s="13">
        <f t="array" ref="R123">((M123-0.5)/0.5)*IFNA(INDEX(RatesTable!E:E,MATCH(1,(RatesTable!B:B=I123)*(RatesTable!C:C=N123)*(RatesTable!D:D="additional"),0)),0)</f>
        <v>0</v>
      </c>
      <c r="S123" s="12">
        <f t="shared" si="8"/>
        <v>45.4</v>
      </c>
      <c r="T123" s="12" t="str">
        <f t="array" ref="T123">INDEX(Invoice!C:C,MATCH(B123,(Invoice!A:A),0))</f>
        <v>0.71</v>
      </c>
      <c r="U123" s="12">
        <f t="shared" si="9"/>
        <v>710</v>
      </c>
      <c r="V123" s="12">
        <f t="shared" si="10"/>
        <v>1</v>
      </c>
      <c r="W123" s="12" t="str">
        <f t="array" ref="W123">INDEX(Invoice!F:F,MATCH(B123,(Invoice!A:A),0))</f>
        <v>d</v>
      </c>
      <c r="X123" s="14">
        <f t="array" ref="X123">INDEX(Invoice!H:H,MATCH(B123,(Invoice!A:A),0))</f>
        <v>90.2</v>
      </c>
      <c r="Y123" s="15">
        <f t="shared" si="11"/>
        <v>-44.8</v>
      </c>
      <c r="Z123" s="16">
        <f t="shared" si="12"/>
        <v>-98.6784141</v>
      </c>
      <c r="AA123" s="16">
        <f t="shared" si="13"/>
        <v>90.8</v>
      </c>
      <c r="AB123" s="16">
        <f t="shared" si="14"/>
        <v>0</v>
      </c>
    </row>
    <row r="124" ht="15.75" customHeight="1">
      <c r="A124" s="11" t="str">
        <f>IFERROR(__xludf.DUMMYFUNCTION("""COMPUTED_VALUE"""),"2001806226")</f>
        <v>2001806226</v>
      </c>
      <c r="B124" s="11" t="str">
        <f t="array" ref="B124">INDEX(Invoice!A:A,MATCH(Calculations!A124,Invoice!B:B,0))</f>
        <v>1091117222065</v>
      </c>
      <c r="C124" s="12">
        <f t="array" ref="C124">INDEX(Invoice!D:D,MATCH(Calculations!A124,Invoice!B:B,0))</f>
        <v>121003</v>
      </c>
      <c r="D124" s="11" t="str">
        <f t="array" ref="D124">INDEX(Invoice!E:E,MATCH(Calculations!A124,Invoice!B:B,0))</f>
        <v>723146</v>
      </c>
      <c r="E124" s="12" t="str">
        <f t="array" ref="E124">INDEX(Invoice!G:G,MATCH(Calculations!A124,Invoice!B:B,0))</f>
        <v>Forward charges</v>
      </c>
      <c r="F124" s="12" t="str">
        <f t="shared" si="1"/>
        <v>Yes</v>
      </c>
      <c r="G124" s="13" t="str">
        <f t="shared" si="2"/>
        <v>fwd</v>
      </c>
      <c r="H124" s="13" t="str">
        <f t="shared" si="3"/>
        <v>No</v>
      </c>
      <c r="I124" s="12" t="str">
        <f t="shared" si="4"/>
        <v/>
      </c>
      <c r="J124" s="12">
        <f>SUMIF(OrderReport!A:A,A124,OrderReport!E:E)</f>
        <v>480</v>
      </c>
      <c r="K124" s="12">
        <f t="shared" si="5"/>
        <v>0.48</v>
      </c>
      <c r="L124" s="12">
        <f t="shared" si="6"/>
        <v>500</v>
      </c>
      <c r="M124" s="12">
        <f t="shared" si="7"/>
        <v>0.5</v>
      </c>
      <c r="N124" s="11" t="str">
        <f t="array" ref="N124">INDEX(PincodeZones!C:C,MATCH(1,(PincodeZones!A:A=C124)*(PincodeZones!B:B=D124),0))</f>
        <v>d</v>
      </c>
      <c r="O124" s="12">
        <f t="array" ref="O124">INDEX(RatesTable!E:E,MATCH(1,(RatesTable!B:B=G124)*(RatesTable!C:C=N124)*(RatesTable!D:D="fixed"),0))</f>
        <v>45.4</v>
      </c>
      <c r="P124" s="12">
        <f t="array" ref="P124">((M124-0.5)/0.5)*INDEX(RatesTable!E:E,MATCH(1,(RatesTable!B:B=G124)*(RatesTable!C:C=N124)*(RatesTable!D:D="additional"),0))</f>
        <v>0</v>
      </c>
      <c r="Q124" s="12">
        <f t="array" ref="Q124">IFNA(INDEX(RatesTable!E:E,MATCH(1,(RatesTable!B:B=I124)*(RatesTable!C:C=N124)*(RatesTable!D:D="fixed"),0)),0)</f>
        <v>0</v>
      </c>
      <c r="R124" s="13">
        <f t="array" ref="R124">((M124-0.5)/0.5)*IFNA(INDEX(RatesTable!E:E,MATCH(1,(RatesTable!B:B=I124)*(RatesTable!C:C=N124)*(RatesTable!D:D="additional"),0)),0)</f>
        <v>0</v>
      </c>
      <c r="S124" s="12">
        <f t="shared" si="8"/>
        <v>45.4</v>
      </c>
      <c r="T124" s="12" t="str">
        <f t="array" ref="T124">INDEX(Invoice!C:C,MATCH(B124,(Invoice!A:A),0))</f>
        <v>0.68</v>
      </c>
      <c r="U124" s="12">
        <f t="shared" si="9"/>
        <v>680</v>
      </c>
      <c r="V124" s="12">
        <f t="shared" si="10"/>
        <v>1</v>
      </c>
      <c r="W124" s="12" t="str">
        <f t="array" ref="W124">INDEX(Invoice!F:F,MATCH(B124,(Invoice!A:A),0))</f>
        <v>d</v>
      </c>
      <c r="X124" s="14">
        <f t="array" ref="X124">INDEX(Invoice!H:H,MATCH(B124,(Invoice!A:A),0))</f>
        <v>90.2</v>
      </c>
      <c r="Y124" s="15">
        <f t="shared" si="11"/>
        <v>-44.8</v>
      </c>
      <c r="Z124" s="16">
        <f t="shared" si="12"/>
        <v>-98.6784141</v>
      </c>
      <c r="AA124" s="16">
        <f t="shared" si="13"/>
        <v>94.58333333</v>
      </c>
      <c r="AB124" s="16">
        <f t="shared" si="14"/>
        <v>0</v>
      </c>
    </row>
    <row r="125" ht="15.75" customHeight="1">
      <c r="A125" s="11" t="str">
        <f>IFERROR(__xludf.DUMMYFUNCTION("""COMPUTED_VALUE"""),"2001806210")</f>
        <v>2001806210</v>
      </c>
      <c r="B125" s="11" t="str">
        <f t="array" ref="B125">INDEX(Invoice!A:A,MATCH(Calculations!A125,Invoice!B:B,0))</f>
        <v>1091117221940</v>
      </c>
      <c r="C125" s="12">
        <f t="array" ref="C125">INDEX(Invoice!D:D,MATCH(Calculations!A125,Invoice!B:B,0))</f>
        <v>121003</v>
      </c>
      <c r="D125" s="11" t="str">
        <f t="array" ref="D125">INDEX(Invoice!E:E,MATCH(Calculations!A125,Invoice!B:B,0))</f>
        <v>140604</v>
      </c>
      <c r="E125" s="12" t="str">
        <f t="array" ref="E125">INDEX(Invoice!G:G,MATCH(Calculations!A125,Invoice!B:B,0))</f>
        <v>Forward charges</v>
      </c>
      <c r="F125" s="12" t="str">
        <f t="shared" si="1"/>
        <v>Yes</v>
      </c>
      <c r="G125" s="13" t="str">
        <f t="shared" si="2"/>
        <v>fwd</v>
      </c>
      <c r="H125" s="13" t="str">
        <f t="shared" si="3"/>
        <v>No</v>
      </c>
      <c r="I125" s="12" t="str">
        <f t="shared" si="4"/>
        <v/>
      </c>
      <c r="J125" s="12">
        <f>SUMIF(OrderReport!A:A,A125,OrderReport!E:E)</f>
        <v>220</v>
      </c>
      <c r="K125" s="12">
        <f t="shared" si="5"/>
        <v>0.22</v>
      </c>
      <c r="L125" s="12">
        <f t="shared" si="6"/>
        <v>500</v>
      </c>
      <c r="M125" s="12">
        <f t="shared" si="7"/>
        <v>0.5</v>
      </c>
      <c r="N125" s="11" t="str">
        <f t="array" ref="N125">INDEX(PincodeZones!C:C,MATCH(1,(PincodeZones!A:A=C125)*(PincodeZones!B:B=D125),0))</f>
        <v>b</v>
      </c>
      <c r="O125" s="12">
        <f t="array" ref="O125">INDEX(RatesTable!E:E,MATCH(1,(RatesTable!B:B=G125)*(RatesTable!C:C=N125)*(RatesTable!D:D="fixed"),0))</f>
        <v>33</v>
      </c>
      <c r="P125" s="12">
        <f t="array" ref="P125">((M125-0.5)/0.5)*INDEX(RatesTable!E:E,MATCH(1,(RatesTable!B:B=G125)*(RatesTable!C:C=N125)*(RatesTable!D:D="additional"),0))</f>
        <v>0</v>
      </c>
      <c r="Q125" s="12">
        <f t="array" ref="Q125">IFNA(INDEX(RatesTable!E:E,MATCH(1,(RatesTable!B:B=I125)*(RatesTable!C:C=N125)*(RatesTable!D:D="fixed"),0)),0)</f>
        <v>0</v>
      </c>
      <c r="R125" s="13">
        <f t="array" ref="R125">((M125-0.5)/0.5)*IFNA(INDEX(RatesTable!E:E,MATCH(1,(RatesTable!B:B=I125)*(RatesTable!C:C=N125)*(RatesTable!D:D="additional"),0)),0)</f>
        <v>0</v>
      </c>
      <c r="S125" s="12">
        <f t="shared" si="8"/>
        <v>33</v>
      </c>
      <c r="T125" s="12" t="str">
        <f t="array" ref="T125">INDEX(Invoice!C:C,MATCH(B125,(Invoice!A:A),0))</f>
        <v>2.92</v>
      </c>
      <c r="U125" s="12">
        <f t="shared" si="9"/>
        <v>2920</v>
      </c>
      <c r="V125" s="12">
        <f t="shared" si="10"/>
        <v>3</v>
      </c>
      <c r="W125" s="12" t="str">
        <f t="array" ref="W125">INDEX(Invoice!F:F,MATCH(B125,(Invoice!A:A),0))</f>
        <v>b</v>
      </c>
      <c r="X125" s="14">
        <f t="array" ref="X125">INDEX(Invoice!H:H,MATCH(B125,(Invoice!A:A),0))</f>
        <v>174.5</v>
      </c>
      <c r="Y125" s="15">
        <f t="shared" si="11"/>
        <v>-141.5</v>
      </c>
      <c r="Z125" s="16">
        <f t="shared" si="12"/>
        <v>-428.7878788</v>
      </c>
      <c r="AA125" s="16">
        <f t="shared" si="13"/>
        <v>150</v>
      </c>
      <c r="AB125" s="16">
        <f t="shared" si="14"/>
        <v>0</v>
      </c>
    </row>
    <row r="126" ht="15.75" customHeight="1">
      <c r="A126" s="17"/>
      <c r="B126" s="17"/>
      <c r="X126" s="18"/>
      <c r="Y126" s="18"/>
    </row>
    <row r="127" ht="15.75" customHeight="1">
      <c r="A127" s="17"/>
      <c r="B127" s="17"/>
      <c r="X127" s="18"/>
      <c r="Y127" s="18"/>
    </row>
    <row r="128" ht="15.75" customHeight="1">
      <c r="A128" s="17"/>
      <c r="B128" s="17"/>
      <c r="X128" s="18"/>
      <c r="Y128" s="18"/>
    </row>
    <row r="129" ht="15.75" customHeight="1">
      <c r="A129" s="17"/>
      <c r="B129" s="17"/>
      <c r="X129" s="18"/>
      <c r="Y129" s="18"/>
    </row>
    <row r="130" ht="15.75" customHeight="1">
      <c r="A130" s="17"/>
      <c r="B130" s="17"/>
      <c r="X130" s="18"/>
      <c r="Y130" s="18"/>
    </row>
    <row r="131" ht="15.75" customHeight="1">
      <c r="A131" s="17"/>
      <c r="B131" s="17"/>
      <c r="X131" s="18"/>
      <c r="Y131" s="18"/>
    </row>
    <row r="132" ht="15.75" customHeight="1">
      <c r="A132" s="17"/>
      <c r="B132" s="17"/>
      <c r="X132" s="18"/>
      <c r="Y132" s="18"/>
    </row>
    <row r="133" ht="15.75" customHeight="1">
      <c r="A133" s="17"/>
      <c r="B133" s="17"/>
      <c r="X133" s="18"/>
      <c r="Y133" s="18"/>
    </row>
    <row r="134" ht="15.75" customHeight="1">
      <c r="A134" s="17"/>
      <c r="B134" s="17"/>
      <c r="X134" s="18"/>
      <c r="Y134" s="18"/>
    </row>
    <row r="135" ht="15.75" customHeight="1">
      <c r="A135" s="17"/>
      <c r="B135" s="17"/>
      <c r="X135" s="18"/>
      <c r="Y135" s="18"/>
    </row>
    <row r="136" ht="15.75" customHeight="1">
      <c r="A136" s="17"/>
      <c r="B136" s="17"/>
      <c r="X136" s="18"/>
      <c r="Y136" s="18"/>
    </row>
    <row r="137" ht="15.75" customHeight="1">
      <c r="A137" s="17"/>
      <c r="B137" s="17"/>
      <c r="X137" s="18"/>
      <c r="Y137" s="18"/>
    </row>
    <row r="138" ht="15.75" customHeight="1">
      <c r="A138" s="17"/>
      <c r="B138" s="17"/>
      <c r="X138" s="18"/>
      <c r="Y138" s="18"/>
    </row>
    <row r="139" ht="15.75" customHeight="1">
      <c r="A139" s="17"/>
      <c r="B139" s="17"/>
      <c r="X139" s="18"/>
      <c r="Y139" s="18"/>
    </row>
    <row r="140" ht="15.75" customHeight="1">
      <c r="A140" s="17"/>
      <c r="B140" s="17"/>
      <c r="X140" s="18"/>
      <c r="Y140" s="18"/>
    </row>
    <row r="141" ht="15.75" customHeight="1">
      <c r="A141" s="17"/>
      <c r="B141" s="17"/>
      <c r="X141" s="18"/>
      <c r="Y141" s="18"/>
    </row>
    <row r="142" ht="15.75" customHeight="1">
      <c r="A142" s="17"/>
      <c r="B142" s="17"/>
      <c r="X142" s="18"/>
      <c r="Y142" s="18"/>
    </row>
    <row r="143" ht="15.75" customHeight="1">
      <c r="A143" s="17"/>
      <c r="B143" s="17"/>
      <c r="X143" s="18"/>
      <c r="Y143" s="18"/>
    </row>
    <row r="144" ht="15.75" customHeight="1">
      <c r="A144" s="17"/>
      <c r="B144" s="17"/>
      <c r="X144" s="18"/>
      <c r="Y144" s="18"/>
    </row>
    <row r="145" ht="15.75" customHeight="1">
      <c r="A145" s="17"/>
      <c r="B145" s="17"/>
      <c r="X145" s="18"/>
      <c r="Y145" s="18"/>
    </row>
    <row r="146" ht="15.75" customHeight="1">
      <c r="A146" s="17"/>
      <c r="B146" s="17"/>
      <c r="X146" s="18"/>
      <c r="Y146" s="18"/>
    </row>
    <row r="147" ht="15.75" customHeight="1">
      <c r="A147" s="17"/>
      <c r="B147" s="17"/>
      <c r="X147" s="18"/>
      <c r="Y147" s="18"/>
    </row>
    <row r="148" ht="15.75" customHeight="1">
      <c r="A148" s="17"/>
      <c r="B148" s="17"/>
      <c r="X148" s="18"/>
      <c r="Y148" s="18"/>
    </row>
    <row r="149" ht="15.75" customHeight="1">
      <c r="A149" s="17"/>
      <c r="B149" s="17"/>
      <c r="X149" s="18"/>
      <c r="Y149" s="18"/>
    </row>
    <row r="150" ht="15.75" customHeight="1">
      <c r="A150" s="17"/>
      <c r="B150" s="17"/>
      <c r="X150" s="18"/>
      <c r="Y150" s="18"/>
    </row>
    <row r="151" ht="15.75" customHeight="1">
      <c r="A151" s="17"/>
      <c r="B151" s="17"/>
      <c r="X151" s="18"/>
      <c r="Y151" s="18"/>
    </row>
    <row r="152" ht="15.75" customHeight="1">
      <c r="A152" s="17"/>
      <c r="B152" s="17"/>
      <c r="X152" s="18"/>
      <c r="Y152" s="18"/>
    </row>
    <row r="153" ht="15.75" customHeight="1">
      <c r="A153" s="17"/>
      <c r="B153" s="17"/>
      <c r="X153" s="18"/>
      <c r="Y153" s="18"/>
    </row>
    <row r="154" ht="15.75" customHeight="1">
      <c r="A154" s="17"/>
      <c r="B154" s="17"/>
      <c r="X154" s="18"/>
      <c r="Y154" s="18"/>
    </row>
    <row r="155" ht="15.75" customHeight="1">
      <c r="A155" s="17"/>
      <c r="B155" s="17"/>
      <c r="X155" s="18"/>
      <c r="Y155" s="18"/>
    </row>
    <row r="156" ht="15.75" customHeight="1">
      <c r="A156" s="17"/>
      <c r="B156" s="17"/>
      <c r="X156" s="18"/>
      <c r="Y156" s="18"/>
    </row>
    <row r="157" ht="15.75" customHeight="1">
      <c r="A157" s="17"/>
      <c r="B157" s="17"/>
      <c r="X157" s="18"/>
      <c r="Y157" s="18"/>
    </row>
    <row r="158" ht="15.75" customHeight="1">
      <c r="A158" s="17"/>
      <c r="B158" s="17"/>
      <c r="X158" s="18"/>
      <c r="Y158" s="18"/>
    </row>
    <row r="159" ht="15.75" customHeight="1">
      <c r="A159" s="17"/>
      <c r="B159" s="17"/>
      <c r="X159" s="18"/>
      <c r="Y159" s="18"/>
    </row>
    <row r="160" ht="15.75" customHeight="1">
      <c r="A160" s="17"/>
      <c r="B160" s="17"/>
      <c r="X160" s="18"/>
      <c r="Y160" s="18"/>
    </row>
    <row r="161" ht="15.75" customHeight="1">
      <c r="A161" s="17"/>
      <c r="B161" s="17"/>
      <c r="X161" s="18"/>
      <c r="Y161" s="18"/>
    </row>
    <row r="162" ht="15.75" customHeight="1">
      <c r="A162" s="17"/>
      <c r="B162" s="17"/>
      <c r="X162" s="18"/>
      <c r="Y162" s="18"/>
    </row>
    <row r="163" ht="15.75" customHeight="1">
      <c r="A163" s="17"/>
      <c r="B163" s="17"/>
      <c r="X163" s="18"/>
      <c r="Y163" s="18"/>
    </row>
    <row r="164" ht="15.75" customHeight="1">
      <c r="A164" s="17"/>
      <c r="B164" s="17"/>
      <c r="X164" s="18"/>
      <c r="Y164" s="18"/>
    </row>
    <row r="165" ht="15.75" customHeight="1">
      <c r="A165" s="17"/>
      <c r="B165" s="17"/>
      <c r="X165" s="18"/>
      <c r="Y165" s="18"/>
    </row>
    <row r="166" ht="15.75" customHeight="1">
      <c r="A166" s="17"/>
      <c r="B166" s="17"/>
      <c r="X166" s="18"/>
      <c r="Y166" s="18"/>
    </row>
    <row r="167" ht="15.75" customHeight="1">
      <c r="A167" s="17"/>
      <c r="B167" s="17"/>
      <c r="X167" s="18"/>
      <c r="Y167" s="18"/>
    </row>
    <row r="168" ht="15.75" customHeight="1">
      <c r="A168" s="17"/>
      <c r="B168" s="17"/>
      <c r="X168" s="18"/>
      <c r="Y168" s="18"/>
    </row>
    <row r="169" ht="15.75" customHeight="1">
      <c r="A169" s="17"/>
      <c r="B169" s="17"/>
      <c r="X169" s="18"/>
      <c r="Y169" s="18"/>
    </row>
    <row r="170" ht="15.75" customHeight="1">
      <c r="A170" s="17"/>
      <c r="B170" s="17"/>
      <c r="X170" s="18"/>
      <c r="Y170" s="18"/>
    </row>
    <row r="171" ht="15.75" customHeight="1">
      <c r="A171" s="17"/>
      <c r="B171" s="17"/>
      <c r="X171" s="18"/>
      <c r="Y171" s="18"/>
    </row>
    <row r="172" ht="15.75" customHeight="1">
      <c r="A172" s="17"/>
      <c r="B172" s="17"/>
      <c r="X172" s="18"/>
      <c r="Y172" s="18"/>
    </row>
    <row r="173" ht="15.75" customHeight="1">
      <c r="A173" s="17"/>
      <c r="B173" s="17"/>
      <c r="X173" s="18"/>
      <c r="Y173" s="18"/>
    </row>
    <row r="174" ht="15.75" customHeight="1">
      <c r="A174" s="17"/>
      <c r="B174" s="17"/>
      <c r="X174" s="18"/>
      <c r="Y174" s="18"/>
    </row>
    <row r="175" ht="15.75" customHeight="1">
      <c r="A175" s="17"/>
      <c r="B175" s="17"/>
      <c r="X175" s="18"/>
      <c r="Y175" s="18"/>
    </row>
    <row r="176" ht="15.75" customHeight="1">
      <c r="A176" s="17"/>
      <c r="B176" s="17"/>
      <c r="X176" s="18"/>
      <c r="Y176" s="18"/>
    </row>
    <row r="177" ht="15.75" customHeight="1">
      <c r="A177" s="17"/>
      <c r="B177" s="17"/>
      <c r="X177" s="18"/>
      <c r="Y177" s="18"/>
    </row>
    <row r="178" ht="15.75" customHeight="1">
      <c r="A178" s="17"/>
      <c r="B178" s="17"/>
      <c r="X178" s="18"/>
      <c r="Y178" s="18"/>
    </row>
    <row r="179" ht="15.75" customHeight="1">
      <c r="A179" s="17"/>
      <c r="B179" s="17"/>
      <c r="X179" s="18"/>
      <c r="Y179" s="18"/>
    </row>
    <row r="180" ht="15.75" customHeight="1">
      <c r="A180" s="17"/>
      <c r="B180" s="17"/>
      <c r="X180" s="18"/>
      <c r="Y180" s="18"/>
    </row>
    <row r="181" ht="15.75" customHeight="1">
      <c r="A181" s="17"/>
      <c r="B181" s="17"/>
      <c r="X181" s="18"/>
      <c r="Y181" s="18"/>
    </row>
    <row r="182" ht="15.75" customHeight="1">
      <c r="A182" s="17"/>
      <c r="B182" s="17"/>
      <c r="X182" s="18"/>
      <c r="Y182" s="18"/>
    </row>
    <row r="183" ht="15.75" customHeight="1">
      <c r="A183" s="17"/>
      <c r="B183" s="17"/>
      <c r="X183" s="18"/>
      <c r="Y183" s="18"/>
    </row>
    <row r="184" ht="15.75" customHeight="1">
      <c r="A184" s="17"/>
      <c r="B184" s="17"/>
      <c r="X184" s="18"/>
      <c r="Y184" s="18"/>
    </row>
    <row r="185" ht="15.75" customHeight="1">
      <c r="A185" s="17"/>
      <c r="B185" s="17"/>
      <c r="X185" s="18"/>
      <c r="Y185" s="18"/>
    </row>
    <row r="186" ht="15.75" customHeight="1">
      <c r="A186" s="17"/>
      <c r="B186" s="17"/>
      <c r="X186" s="18"/>
      <c r="Y186" s="18"/>
    </row>
    <row r="187" ht="15.75" customHeight="1">
      <c r="A187" s="17"/>
      <c r="B187" s="17"/>
      <c r="X187" s="18"/>
      <c r="Y187" s="18"/>
    </row>
    <row r="188" ht="15.75" customHeight="1">
      <c r="A188" s="17"/>
      <c r="B188" s="17"/>
      <c r="X188" s="18"/>
      <c r="Y188" s="18"/>
    </row>
    <row r="189" ht="15.75" customHeight="1">
      <c r="A189" s="17"/>
      <c r="B189" s="17"/>
      <c r="X189" s="18"/>
      <c r="Y189" s="18"/>
    </row>
    <row r="190" ht="15.75" customHeight="1">
      <c r="A190" s="17"/>
      <c r="B190" s="17"/>
      <c r="X190" s="18"/>
      <c r="Y190" s="18"/>
    </row>
    <row r="191" ht="15.75" customHeight="1">
      <c r="A191" s="17"/>
      <c r="B191" s="17"/>
      <c r="X191" s="18"/>
      <c r="Y191" s="18"/>
    </row>
    <row r="192" ht="15.75" customHeight="1">
      <c r="A192" s="17"/>
      <c r="B192" s="17"/>
      <c r="X192" s="18"/>
      <c r="Y192" s="18"/>
    </row>
    <row r="193" ht="15.75" customHeight="1">
      <c r="A193" s="17"/>
      <c r="B193" s="17"/>
      <c r="X193" s="18"/>
      <c r="Y193" s="18"/>
    </row>
    <row r="194" ht="15.75" customHeight="1">
      <c r="A194" s="17"/>
      <c r="B194" s="17"/>
      <c r="X194" s="18"/>
      <c r="Y194" s="18"/>
    </row>
    <row r="195" ht="15.75" customHeight="1">
      <c r="A195" s="17"/>
      <c r="B195" s="17"/>
      <c r="X195" s="18"/>
      <c r="Y195" s="18"/>
    </row>
    <row r="196" ht="15.75" customHeight="1">
      <c r="A196" s="17"/>
      <c r="B196" s="17"/>
      <c r="X196" s="18"/>
      <c r="Y196" s="18"/>
    </row>
    <row r="197" ht="15.75" customHeight="1">
      <c r="A197" s="17"/>
      <c r="B197" s="17"/>
      <c r="X197" s="18"/>
      <c r="Y197" s="18"/>
    </row>
    <row r="198" ht="15.75" customHeight="1">
      <c r="A198" s="17"/>
      <c r="B198" s="17"/>
      <c r="X198" s="18"/>
      <c r="Y198" s="18"/>
    </row>
    <row r="199" ht="15.75" customHeight="1">
      <c r="A199" s="17"/>
      <c r="B199" s="17"/>
      <c r="X199" s="18"/>
      <c r="Y199" s="18"/>
    </row>
    <row r="200" ht="15.75" customHeight="1">
      <c r="A200" s="17"/>
      <c r="B200" s="17"/>
      <c r="X200" s="18"/>
      <c r="Y200" s="18"/>
    </row>
    <row r="201" ht="15.75" customHeight="1">
      <c r="A201" s="17"/>
      <c r="B201" s="17"/>
      <c r="X201" s="18"/>
      <c r="Y201" s="18"/>
    </row>
    <row r="202" ht="15.75" customHeight="1">
      <c r="A202" s="17"/>
      <c r="B202" s="17"/>
      <c r="X202" s="18"/>
      <c r="Y202" s="18"/>
    </row>
    <row r="203" ht="15.75" customHeight="1">
      <c r="A203" s="17"/>
      <c r="B203" s="17"/>
      <c r="X203" s="18"/>
      <c r="Y203" s="18"/>
    </row>
    <row r="204" ht="15.75" customHeight="1">
      <c r="A204" s="17"/>
      <c r="B204" s="17"/>
      <c r="X204" s="18"/>
      <c r="Y204" s="18"/>
    </row>
    <row r="205" ht="15.75" customHeight="1">
      <c r="A205" s="17"/>
      <c r="B205" s="17"/>
      <c r="X205" s="18"/>
      <c r="Y205" s="18"/>
    </row>
    <row r="206" ht="15.75" customHeight="1">
      <c r="A206" s="17"/>
      <c r="B206" s="17"/>
      <c r="X206" s="18"/>
      <c r="Y206" s="18"/>
    </row>
    <row r="207" ht="15.75" customHeight="1">
      <c r="A207" s="17"/>
      <c r="B207" s="17"/>
      <c r="X207" s="18"/>
      <c r="Y207" s="18"/>
    </row>
    <row r="208" ht="15.75" customHeight="1">
      <c r="A208" s="17"/>
      <c r="B208" s="17"/>
      <c r="X208" s="18"/>
      <c r="Y208" s="18"/>
    </row>
    <row r="209" ht="15.75" customHeight="1">
      <c r="A209" s="17"/>
      <c r="B209" s="17"/>
      <c r="X209" s="18"/>
      <c r="Y209" s="18"/>
    </row>
    <row r="210" ht="15.75" customHeight="1">
      <c r="A210" s="17"/>
      <c r="B210" s="17"/>
      <c r="X210" s="18"/>
      <c r="Y210" s="18"/>
    </row>
    <row r="211" ht="15.75" customHeight="1">
      <c r="A211" s="17"/>
      <c r="B211" s="17"/>
      <c r="X211" s="18"/>
      <c r="Y211" s="18"/>
    </row>
    <row r="212" ht="15.75" customHeight="1">
      <c r="A212" s="17"/>
      <c r="B212" s="17"/>
      <c r="X212" s="18"/>
      <c r="Y212" s="18"/>
    </row>
    <row r="213" ht="15.75" customHeight="1">
      <c r="A213" s="17"/>
      <c r="B213" s="17"/>
      <c r="X213" s="18"/>
      <c r="Y213" s="18"/>
    </row>
    <row r="214" ht="15.75" customHeight="1">
      <c r="A214" s="17"/>
      <c r="B214" s="17"/>
      <c r="X214" s="18"/>
      <c r="Y214" s="18"/>
    </row>
    <row r="215" ht="15.75" customHeight="1">
      <c r="A215" s="17"/>
      <c r="B215" s="17"/>
      <c r="X215" s="18"/>
      <c r="Y215" s="18"/>
    </row>
    <row r="216" ht="15.75" customHeight="1">
      <c r="A216" s="17"/>
      <c r="B216" s="17"/>
      <c r="X216" s="18"/>
      <c r="Y216" s="18"/>
    </row>
    <row r="217" ht="15.75" customHeight="1">
      <c r="A217" s="17"/>
      <c r="B217" s="17"/>
      <c r="X217" s="18"/>
      <c r="Y217" s="18"/>
    </row>
    <row r="218" ht="15.75" customHeight="1">
      <c r="A218" s="17"/>
      <c r="B218" s="17"/>
      <c r="X218" s="18"/>
      <c r="Y218" s="18"/>
    </row>
    <row r="219" ht="15.75" customHeight="1">
      <c r="A219" s="17"/>
      <c r="B219" s="17"/>
      <c r="X219" s="18"/>
      <c r="Y219" s="18"/>
    </row>
    <row r="220" ht="15.75" customHeight="1">
      <c r="A220" s="17"/>
      <c r="B220" s="17"/>
      <c r="X220" s="18"/>
      <c r="Y220" s="18"/>
    </row>
    <row r="221" ht="15.75" customHeight="1">
      <c r="A221" s="17"/>
      <c r="B221" s="17"/>
      <c r="X221" s="18"/>
      <c r="Y221" s="18"/>
    </row>
    <row r="222" ht="15.75" customHeight="1">
      <c r="A222" s="17"/>
      <c r="B222" s="17"/>
      <c r="X222" s="18"/>
      <c r="Y222" s="18"/>
    </row>
    <row r="223" ht="15.75" customHeight="1">
      <c r="A223" s="17"/>
      <c r="B223" s="17"/>
      <c r="X223" s="18"/>
      <c r="Y223" s="18"/>
    </row>
    <row r="224" ht="15.75" customHeight="1">
      <c r="A224" s="17"/>
      <c r="B224" s="17"/>
      <c r="X224" s="18"/>
      <c r="Y224" s="18"/>
    </row>
    <row r="225" ht="15.75" customHeight="1">
      <c r="A225" s="17"/>
      <c r="B225" s="17"/>
      <c r="X225" s="18"/>
      <c r="Y225" s="18"/>
    </row>
    <row r="226" ht="15.75" customHeight="1">
      <c r="A226" s="17"/>
      <c r="B226" s="17"/>
      <c r="X226" s="18"/>
      <c r="Y226" s="18"/>
    </row>
    <row r="227" ht="15.75" customHeight="1">
      <c r="A227" s="17"/>
      <c r="B227" s="17"/>
      <c r="X227" s="18"/>
      <c r="Y227" s="18"/>
    </row>
    <row r="228" ht="15.75" customHeight="1">
      <c r="A228" s="17"/>
      <c r="B228" s="17"/>
      <c r="X228" s="18"/>
      <c r="Y228" s="18"/>
    </row>
    <row r="229" ht="15.75" customHeight="1">
      <c r="A229" s="17"/>
      <c r="B229" s="17"/>
      <c r="X229" s="18"/>
      <c r="Y229" s="18"/>
    </row>
    <row r="230" ht="15.75" customHeight="1">
      <c r="A230" s="17"/>
      <c r="B230" s="17"/>
      <c r="X230" s="18"/>
      <c r="Y230" s="18"/>
    </row>
    <row r="231" ht="15.75" customHeight="1">
      <c r="A231" s="17"/>
      <c r="B231" s="17"/>
      <c r="X231" s="18"/>
      <c r="Y231" s="18"/>
    </row>
    <row r="232" ht="15.75" customHeight="1">
      <c r="A232" s="17"/>
      <c r="B232" s="17"/>
      <c r="X232" s="18"/>
      <c r="Y232" s="18"/>
    </row>
    <row r="233" ht="15.75" customHeight="1">
      <c r="A233" s="17"/>
      <c r="B233" s="17"/>
      <c r="X233" s="18"/>
      <c r="Y233" s="18"/>
    </row>
    <row r="234" ht="15.75" customHeight="1">
      <c r="A234" s="17"/>
      <c r="B234" s="17"/>
      <c r="X234" s="18"/>
      <c r="Y234" s="18"/>
    </row>
    <row r="235" ht="15.75" customHeight="1">
      <c r="A235" s="17"/>
      <c r="B235" s="17"/>
      <c r="X235" s="18"/>
      <c r="Y235" s="18"/>
    </row>
    <row r="236" ht="15.75" customHeight="1">
      <c r="A236" s="17"/>
      <c r="B236" s="17"/>
      <c r="X236" s="18"/>
      <c r="Y236" s="18"/>
    </row>
    <row r="237" ht="15.75" customHeight="1">
      <c r="A237" s="17"/>
      <c r="B237" s="17"/>
      <c r="X237" s="18"/>
      <c r="Y237" s="18"/>
    </row>
    <row r="238" ht="15.75" customHeight="1">
      <c r="A238" s="17"/>
      <c r="B238" s="17"/>
      <c r="X238" s="18"/>
      <c r="Y238" s="18"/>
    </row>
    <row r="239" ht="15.75" customHeight="1">
      <c r="A239" s="17"/>
      <c r="B239" s="17"/>
      <c r="X239" s="18"/>
      <c r="Y239" s="18"/>
    </row>
    <row r="240" ht="15.75" customHeight="1">
      <c r="A240" s="17"/>
      <c r="B240" s="17"/>
      <c r="X240" s="18"/>
      <c r="Y240" s="18"/>
    </row>
    <row r="241" ht="15.75" customHeight="1">
      <c r="A241" s="17"/>
      <c r="B241" s="17"/>
      <c r="X241" s="18"/>
      <c r="Y241" s="18"/>
    </row>
    <row r="242" ht="15.75" customHeight="1">
      <c r="A242" s="17"/>
      <c r="B242" s="17"/>
      <c r="X242" s="18"/>
      <c r="Y242" s="18"/>
    </row>
    <row r="243" ht="15.75" customHeight="1">
      <c r="A243" s="17"/>
      <c r="B243" s="17"/>
      <c r="X243" s="18"/>
      <c r="Y243" s="18"/>
    </row>
    <row r="244" ht="15.75" customHeight="1">
      <c r="A244" s="17"/>
      <c r="B244" s="17"/>
      <c r="X244" s="18"/>
      <c r="Y244" s="18"/>
    </row>
    <row r="245" ht="15.75" customHeight="1">
      <c r="A245" s="17"/>
      <c r="B245" s="17"/>
      <c r="X245" s="18"/>
      <c r="Y245" s="18"/>
    </row>
    <row r="246" ht="15.75" customHeight="1">
      <c r="A246" s="17"/>
      <c r="B246" s="17"/>
      <c r="X246" s="18"/>
      <c r="Y246" s="18"/>
    </row>
    <row r="247" ht="15.75" customHeight="1">
      <c r="A247" s="17"/>
      <c r="B247" s="17"/>
      <c r="X247" s="18"/>
      <c r="Y247" s="18"/>
    </row>
    <row r="248" ht="15.75" customHeight="1">
      <c r="A248" s="17"/>
      <c r="B248" s="17"/>
      <c r="X248" s="18"/>
      <c r="Y248" s="18"/>
    </row>
    <row r="249" ht="15.75" customHeight="1">
      <c r="A249" s="17"/>
      <c r="B249" s="17"/>
      <c r="X249" s="18"/>
      <c r="Y249" s="18"/>
    </row>
    <row r="250" ht="15.75" customHeight="1">
      <c r="A250" s="17"/>
      <c r="B250" s="17"/>
      <c r="X250" s="18"/>
      <c r="Y250" s="18"/>
    </row>
    <row r="251" ht="15.75" customHeight="1">
      <c r="A251" s="17"/>
      <c r="B251" s="17"/>
      <c r="X251" s="18"/>
      <c r="Y251" s="18"/>
    </row>
    <row r="252" ht="15.75" customHeight="1">
      <c r="A252" s="17"/>
      <c r="B252" s="17"/>
      <c r="X252" s="18"/>
      <c r="Y252" s="18"/>
    </row>
    <row r="253" ht="15.75" customHeight="1">
      <c r="A253" s="17"/>
      <c r="B253" s="17"/>
      <c r="X253" s="18"/>
      <c r="Y253" s="18"/>
    </row>
    <row r="254" ht="15.75" customHeight="1">
      <c r="A254" s="17"/>
      <c r="B254" s="17"/>
      <c r="X254" s="18"/>
      <c r="Y254" s="18"/>
    </row>
    <row r="255" ht="15.75" customHeight="1">
      <c r="A255" s="17"/>
      <c r="B255" s="17"/>
      <c r="X255" s="18"/>
      <c r="Y255" s="18"/>
    </row>
    <row r="256" ht="15.75" customHeight="1">
      <c r="A256" s="17"/>
      <c r="B256" s="17"/>
      <c r="X256" s="18"/>
      <c r="Y256" s="18"/>
    </row>
    <row r="257" ht="15.75" customHeight="1">
      <c r="A257" s="17"/>
      <c r="B257" s="17"/>
      <c r="X257" s="18"/>
      <c r="Y257" s="18"/>
    </row>
    <row r="258" ht="15.75" customHeight="1">
      <c r="A258" s="17"/>
      <c r="B258" s="17"/>
      <c r="X258" s="18"/>
      <c r="Y258" s="18"/>
    </row>
    <row r="259" ht="15.75" customHeight="1">
      <c r="A259" s="17"/>
      <c r="B259" s="17"/>
      <c r="X259" s="18"/>
      <c r="Y259" s="18"/>
    </row>
    <row r="260" ht="15.75" customHeight="1">
      <c r="A260" s="17"/>
      <c r="B260" s="17"/>
      <c r="X260" s="18"/>
      <c r="Y260" s="18"/>
    </row>
    <row r="261" ht="15.75" customHeight="1">
      <c r="A261" s="17"/>
      <c r="B261" s="17"/>
      <c r="X261" s="18"/>
      <c r="Y261" s="18"/>
    </row>
    <row r="262" ht="15.75" customHeight="1">
      <c r="A262" s="17"/>
      <c r="B262" s="17"/>
      <c r="X262" s="18"/>
      <c r="Y262" s="18"/>
    </row>
    <row r="263" ht="15.75" customHeight="1">
      <c r="A263" s="17"/>
      <c r="B263" s="17"/>
      <c r="X263" s="18"/>
      <c r="Y263" s="18"/>
    </row>
    <row r="264" ht="15.75" customHeight="1">
      <c r="A264" s="17"/>
      <c r="B264" s="17"/>
      <c r="X264" s="18"/>
      <c r="Y264" s="18"/>
    </row>
    <row r="265" ht="15.75" customHeight="1">
      <c r="A265" s="17"/>
      <c r="B265" s="17"/>
      <c r="X265" s="18"/>
      <c r="Y265" s="18"/>
    </row>
    <row r="266" ht="15.75" customHeight="1">
      <c r="A266" s="17"/>
      <c r="B266" s="17"/>
      <c r="X266" s="18"/>
      <c r="Y266" s="18"/>
    </row>
    <row r="267" ht="15.75" customHeight="1">
      <c r="A267" s="17"/>
      <c r="B267" s="17"/>
      <c r="X267" s="18"/>
      <c r="Y267" s="18"/>
    </row>
    <row r="268" ht="15.75" customHeight="1">
      <c r="A268" s="17"/>
      <c r="B268" s="17"/>
      <c r="X268" s="18"/>
      <c r="Y268" s="18"/>
    </row>
    <row r="269" ht="15.75" customHeight="1">
      <c r="A269" s="17"/>
      <c r="B269" s="17"/>
      <c r="X269" s="18"/>
      <c r="Y269" s="18"/>
    </row>
    <row r="270" ht="15.75" customHeight="1">
      <c r="A270" s="17"/>
      <c r="B270" s="17"/>
      <c r="X270" s="18"/>
      <c r="Y270" s="18"/>
    </row>
    <row r="271" ht="15.75" customHeight="1">
      <c r="A271" s="17"/>
      <c r="B271" s="17"/>
      <c r="X271" s="18"/>
      <c r="Y271" s="18"/>
    </row>
    <row r="272" ht="15.75" customHeight="1">
      <c r="A272" s="17"/>
      <c r="B272" s="17"/>
      <c r="X272" s="18"/>
      <c r="Y272" s="18"/>
    </row>
    <row r="273" ht="15.75" customHeight="1">
      <c r="A273" s="17"/>
      <c r="B273" s="17"/>
      <c r="X273" s="18"/>
      <c r="Y273" s="18"/>
    </row>
    <row r="274" ht="15.75" customHeight="1">
      <c r="A274" s="17"/>
      <c r="B274" s="17"/>
      <c r="X274" s="18"/>
      <c r="Y274" s="18"/>
    </row>
    <row r="275" ht="15.75" customHeight="1">
      <c r="A275" s="17"/>
      <c r="B275" s="17"/>
      <c r="X275" s="18"/>
      <c r="Y275" s="18"/>
    </row>
    <row r="276" ht="15.75" customHeight="1">
      <c r="A276" s="17"/>
      <c r="B276" s="17"/>
      <c r="X276" s="18"/>
      <c r="Y276" s="18"/>
    </row>
    <row r="277" ht="15.75" customHeight="1">
      <c r="A277" s="17"/>
      <c r="B277" s="17"/>
      <c r="X277" s="18"/>
      <c r="Y277" s="18"/>
    </row>
    <row r="278" ht="15.75" customHeight="1">
      <c r="A278" s="17"/>
      <c r="B278" s="17"/>
      <c r="X278" s="18"/>
      <c r="Y278" s="18"/>
    </row>
    <row r="279" ht="15.75" customHeight="1">
      <c r="A279" s="17"/>
      <c r="B279" s="17"/>
      <c r="X279" s="18"/>
      <c r="Y279" s="18"/>
    </row>
    <row r="280" ht="15.75" customHeight="1">
      <c r="A280" s="17"/>
      <c r="B280" s="17"/>
      <c r="X280" s="18"/>
      <c r="Y280" s="18"/>
    </row>
    <row r="281" ht="15.75" customHeight="1">
      <c r="A281" s="17"/>
      <c r="B281" s="17"/>
      <c r="X281" s="18"/>
      <c r="Y281" s="18"/>
    </row>
    <row r="282" ht="15.75" customHeight="1">
      <c r="A282" s="17"/>
      <c r="B282" s="17"/>
      <c r="X282" s="18"/>
      <c r="Y282" s="18"/>
    </row>
    <row r="283" ht="15.75" customHeight="1">
      <c r="A283" s="17"/>
      <c r="B283" s="17"/>
      <c r="X283" s="18"/>
      <c r="Y283" s="18"/>
    </row>
    <row r="284" ht="15.75" customHeight="1">
      <c r="A284" s="17"/>
      <c r="B284" s="17"/>
      <c r="X284" s="18"/>
      <c r="Y284" s="18"/>
    </row>
    <row r="285" ht="15.75" customHeight="1">
      <c r="A285" s="17"/>
      <c r="B285" s="17"/>
      <c r="X285" s="18"/>
      <c r="Y285" s="18"/>
    </row>
    <row r="286" ht="15.75" customHeight="1">
      <c r="A286" s="17"/>
      <c r="B286" s="17"/>
      <c r="X286" s="18"/>
      <c r="Y286" s="18"/>
    </row>
    <row r="287" ht="15.75" customHeight="1">
      <c r="A287" s="17"/>
      <c r="B287" s="17"/>
      <c r="X287" s="18"/>
      <c r="Y287" s="18"/>
    </row>
    <row r="288" ht="15.75" customHeight="1">
      <c r="A288" s="17"/>
      <c r="B288" s="17"/>
      <c r="X288" s="18"/>
      <c r="Y288" s="18"/>
    </row>
    <row r="289" ht="15.75" customHeight="1">
      <c r="A289" s="17"/>
      <c r="B289" s="17"/>
      <c r="X289" s="18"/>
      <c r="Y289" s="18"/>
    </row>
    <row r="290" ht="15.75" customHeight="1">
      <c r="A290" s="17"/>
      <c r="B290" s="17"/>
      <c r="X290" s="18"/>
      <c r="Y290" s="18"/>
    </row>
    <row r="291" ht="15.75" customHeight="1">
      <c r="A291" s="17"/>
      <c r="B291" s="17"/>
      <c r="X291" s="18"/>
      <c r="Y291" s="18"/>
    </row>
    <row r="292" ht="15.75" customHeight="1">
      <c r="A292" s="17"/>
      <c r="B292" s="17"/>
      <c r="X292" s="18"/>
      <c r="Y292" s="18"/>
    </row>
    <row r="293" ht="15.75" customHeight="1">
      <c r="A293" s="17"/>
      <c r="B293" s="17"/>
      <c r="X293" s="18"/>
      <c r="Y293" s="18"/>
    </row>
    <row r="294" ht="15.75" customHeight="1">
      <c r="A294" s="17"/>
      <c r="B294" s="17"/>
      <c r="X294" s="18"/>
      <c r="Y294" s="18"/>
    </row>
    <row r="295" ht="15.75" customHeight="1">
      <c r="A295" s="17"/>
      <c r="B295" s="17"/>
      <c r="X295" s="18"/>
      <c r="Y295" s="18"/>
    </row>
    <row r="296" ht="15.75" customHeight="1">
      <c r="A296" s="17"/>
      <c r="B296" s="17"/>
      <c r="X296" s="18"/>
      <c r="Y296" s="18"/>
    </row>
    <row r="297" ht="15.75" customHeight="1">
      <c r="A297" s="17"/>
      <c r="B297" s="17"/>
      <c r="X297" s="18"/>
      <c r="Y297" s="18"/>
    </row>
    <row r="298" ht="15.75" customHeight="1">
      <c r="A298" s="17"/>
      <c r="B298" s="17"/>
      <c r="X298" s="18"/>
      <c r="Y298" s="18"/>
    </row>
    <row r="299" ht="15.75" customHeight="1">
      <c r="A299" s="17"/>
      <c r="B299" s="17"/>
      <c r="X299" s="18"/>
      <c r="Y299" s="18"/>
    </row>
    <row r="300" ht="15.75" customHeight="1">
      <c r="A300" s="17"/>
      <c r="B300" s="17"/>
      <c r="X300" s="18"/>
      <c r="Y300" s="18"/>
    </row>
    <row r="301" ht="15.75" customHeight="1">
      <c r="A301" s="17"/>
      <c r="B301" s="17"/>
      <c r="X301" s="18"/>
      <c r="Y301" s="18"/>
    </row>
    <row r="302" ht="15.75" customHeight="1">
      <c r="A302" s="17"/>
      <c r="B302" s="17"/>
      <c r="X302" s="18"/>
      <c r="Y302" s="18"/>
    </row>
    <row r="303" ht="15.75" customHeight="1">
      <c r="A303" s="17"/>
      <c r="B303" s="17"/>
      <c r="X303" s="18"/>
      <c r="Y303" s="18"/>
    </row>
    <row r="304" ht="15.75" customHeight="1">
      <c r="A304" s="17"/>
      <c r="B304" s="17"/>
      <c r="X304" s="18"/>
      <c r="Y304" s="18"/>
    </row>
    <row r="305" ht="15.75" customHeight="1">
      <c r="A305" s="17"/>
      <c r="B305" s="17"/>
      <c r="X305" s="18"/>
      <c r="Y305" s="18"/>
    </row>
    <row r="306" ht="15.75" customHeight="1">
      <c r="A306" s="17"/>
      <c r="B306" s="17"/>
      <c r="X306" s="18"/>
      <c r="Y306" s="18"/>
    </row>
    <row r="307" ht="15.75" customHeight="1">
      <c r="A307" s="17"/>
      <c r="B307" s="17"/>
      <c r="X307" s="18"/>
      <c r="Y307" s="18"/>
    </row>
    <row r="308" ht="15.75" customHeight="1">
      <c r="A308" s="17"/>
      <c r="B308" s="17"/>
      <c r="X308" s="18"/>
      <c r="Y308" s="18"/>
    </row>
    <row r="309" ht="15.75" customHeight="1">
      <c r="A309" s="17"/>
      <c r="B309" s="17"/>
      <c r="X309" s="18"/>
      <c r="Y309" s="18"/>
    </row>
    <row r="310" ht="15.75" customHeight="1">
      <c r="A310" s="17"/>
      <c r="B310" s="17"/>
      <c r="X310" s="18"/>
      <c r="Y310" s="18"/>
    </row>
    <row r="311" ht="15.75" customHeight="1">
      <c r="A311" s="17"/>
      <c r="B311" s="17"/>
      <c r="X311" s="18"/>
      <c r="Y311" s="18"/>
    </row>
    <row r="312" ht="15.75" customHeight="1">
      <c r="A312" s="17"/>
      <c r="B312" s="17"/>
      <c r="X312" s="18"/>
      <c r="Y312" s="18"/>
    </row>
    <row r="313" ht="15.75" customHeight="1">
      <c r="A313" s="17"/>
      <c r="B313" s="17"/>
      <c r="X313" s="18"/>
      <c r="Y313" s="18"/>
    </row>
    <row r="314" ht="15.75" customHeight="1">
      <c r="A314" s="17"/>
      <c r="B314" s="17"/>
      <c r="X314" s="18"/>
      <c r="Y314" s="18"/>
    </row>
    <row r="315" ht="15.75" customHeight="1">
      <c r="A315" s="17"/>
      <c r="B315" s="17"/>
      <c r="X315" s="18"/>
      <c r="Y315" s="18"/>
    </row>
    <row r="316" ht="15.75" customHeight="1">
      <c r="A316" s="17"/>
      <c r="B316" s="17"/>
      <c r="X316" s="18"/>
      <c r="Y316" s="18"/>
    </row>
    <row r="317" ht="15.75" customHeight="1">
      <c r="A317" s="17"/>
      <c r="B317" s="17"/>
      <c r="X317" s="18"/>
      <c r="Y317" s="18"/>
    </row>
    <row r="318" ht="15.75" customHeight="1">
      <c r="A318" s="17"/>
      <c r="B318" s="17"/>
      <c r="X318" s="18"/>
      <c r="Y318" s="18"/>
    </row>
    <row r="319" ht="15.75" customHeight="1">
      <c r="A319" s="17"/>
      <c r="B319" s="17"/>
      <c r="X319" s="18"/>
      <c r="Y319" s="18"/>
    </row>
    <row r="320" ht="15.75" customHeight="1">
      <c r="A320" s="17"/>
      <c r="B320" s="17"/>
      <c r="X320" s="18"/>
      <c r="Y320" s="18"/>
    </row>
    <row r="321" ht="15.75" customHeight="1">
      <c r="A321" s="17"/>
      <c r="B321" s="17"/>
      <c r="X321" s="18"/>
      <c r="Y321" s="18"/>
    </row>
    <row r="322" ht="15.75" customHeight="1">
      <c r="A322" s="17"/>
      <c r="B322" s="17"/>
      <c r="X322" s="18"/>
      <c r="Y322" s="18"/>
    </row>
    <row r="323" ht="15.75" customHeight="1">
      <c r="A323" s="17"/>
      <c r="B323" s="17"/>
      <c r="X323" s="18"/>
      <c r="Y323" s="18"/>
    </row>
    <row r="324" ht="15.75" customHeight="1">
      <c r="A324" s="17"/>
      <c r="B324" s="17"/>
      <c r="X324" s="18"/>
      <c r="Y324" s="18"/>
    </row>
    <row r="325" ht="15.75" customHeight="1">
      <c r="A325" s="17"/>
      <c r="B325" s="17"/>
      <c r="X325" s="18"/>
      <c r="Y325" s="18"/>
    </row>
    <row r="326" ht="15.75" customHeight="1">
      <c r="A326" s="17"/>
      <c r="B326" s="17"/>
      <c r="X326" s="18"/>
      <c r="Y326" s="18"/>
    </row>
    <row r="327" ht="15.75" customHeight="1">
      <c r="A327" s="17"/>
      <c r="B327" s="17"/>
      <c r="X327" s="18"/>
      <c r="Y327" s="18"/>
    </row>
    <row r="328" ht="15.75" customHeight="1">
      <c r="A328" s="17"/>
      <c r="B328" s="17"/>
      <c r="X328" s="18"/>
      <c r="Y328" s="18"/>
    </row>
    <row r="329" ht="15.75" customHeight="1">
      <c r="A329" s="17"/>
      <c r="B329" s="17"/>
      <c r="X329" s="18"/>
      <c r="Y329" s="18"/>
    </row>
    <row r="330" ht="15.75" customHeight="1">
      <c r="A330" s="17"/>
      <c r="B330" s="17"/>
      <c r="X330" s="18"/>
      <c r="Y330" s="18"/>
    </row>
    <row r="331" ht="15.75" customHeight="1">
      <c r="A331" s="17"/>
      <c r="B331" s="17"/>
      <c r="X331" s="18"/>
      <c r="Y331" s="18"/>
    </row>
    <row r="332" ht="15.75" customHeight="1">
      <c r="A332" s="17"/>
      <c r="B332" s="17"/>
      <c r="X332" s="18"/>
      <c r="Y332" s="18"/>
    </row>
    <row r="333" ht="15.75" customHeight="1">
      <c r="A333" s="17"/>
      <c r="B333" s="17"/>
      <c r="X333" s="18"/>
      <c r="Y333" s="18"/>
    </row>
    <row r="334" ht="15.75" customHeight="1">
      <c r="A334" s="17"/>
      <c r="B334" s="17"/>
      <c r="X334" s="18"/>
      <c r="Y334" s="18"/>
    </row>
    <row r="335" ht="15.75" customHeight="1">
      <c r="A335" s="17"/>
      <c r="B335" s="17"/>
      <c r="X335" s="18"/>
      <c r="Y335" s="18"/>
    </row>
    <row r="336" ht="15.75" customHeight="1">
      <c r="A336" s="17"/>
      <c r="B336" s="17"/>
      <c r="X336" s="18"/>
      <c r="Y336" s="18"/>
    </row>
    <row r="337" ht="15.75" customHeight="1">
      <c r="A337" s="17"/>
      <c r="B337" s="17"/>
      <c r="X337" s="18"/>
      <c r="Y337" s="18"/>
    </row>
    <row r="338" ht="15.75" customHeight="1">
      <c r="A338" s="17"/>
      <c r="B338" s="17"/>
      <c r="X338" s="18"/>
      <c r="Y338" s="18"/>
    </row>
    <row r="339" ht="15.75" customHeight="1">
      <c r="A339" s="17"/>
      <c r="B339" s="17"/>
      <c r="X339" s="18"/>
      <c r="Y339" s="18"/>
    </row>
    <row r="340" ht="15.75" customHeight="1">
      <c r="A340" s="17"/>
      <c r="B340" s="17"/>
      <c r="X340" s="18"/>
      <c r="Y340" s="18"/>
    </row>
    <row r="341" ht="15.75" customHeight="1">
      <c r="A341" s="17"/>
      <c r="B341" s="17"/>
      <c r="X341" s="18"/>
      <c r="Y341" s="18"/>
    </row>
    <row r="342" ht="15.75" customHeight="1">
      <c r="A342" s="17"/>
      <c r="B342" s="17"/>
      <c r="X342" s="18"/>
      <c r="Y342" s="18"/>
    </row>
    <row r="343" ht="15.75" customHeight="1">
      <c r="A343" s="17"/>
      <c r="B343" s="17"/>
      <c r="X343" s="18"/>
      <c r="Y343" s="18"/>
    </row>
    <row r="344" ht="15.75" customHeight="1">
      <c r="A344" s="17"/>
      <c r="B344" s="17"/>
      <c r="X344" s="18"/>
      <c r="Y344" s="18"/>
    </row>
    <row r="345" ht="15.75" customHeight="1">
      <c r="A345" s="17"/>
      <c r="B345" s="17"/>
      <c r="X345" s="18"/>
      <c r="Y345" s="18"/>
    </row>
    <row r="346" ht="15.75" customHeight="1">
      <c r="A346" s="17"/>
      <c r="B346" s="17"/>
      <c r="X346" s="18"/>
      <c r="Y346" s="18"/>
    </row>
    <row r="347" ht="15.75" customHeight="1">
      <c r="A347" s="17"/>
      <c r="B347" s="17"/>
      <c r="X347" s="18"/>
      <c r="Y347" s="18"/>
    </row>
    <row r="348" ht="15.75" customHeight="1">
      <c r="A348" s="17"/>
      <c r="B348" s="17"/>
      <c r="X348" s="18"/>
      <c r="Y348" s="18"/>
    </row>
    <row r="349" ht="15.75" customHeight="1">
      <c r="A349" s="17"/>
      <c r="B349" s="17"/>
      <c r="X349" s="18"/>
      <c r="Y349" s="18"/>
    </row>
    <row r="350" ht="15.75" customHeight="1">
      <c r="A350" s="17"/>
      <c r="B350" s="17"/>
      <c r="X350" s="18"/>
      <c r="Y350" s="18"/>
    </row>
    <row r="351" ht="15.75" customHeight="1">
      <c r="A351" s="17"/>
      <c r="B351" s="17"/>
      <c r="X351" s="18"/>
      <c r="Y351" s="18"/>
    </row>
    <row r="352" ht="15.75" customHeight="1">
      <c r="A352" s="17"/>
      <c r="B352" s="17"/>
      <c r="X352" s="18"/>
      <c r="Y352" s="18"/>
    </row>
    <row r="353" ht="15.75" customHeight="1">
      <c r="A353" s="17"/>
      <c r="B353" s="17"/>
      <c r="X353" s="18"/>
      <c r="Y353" s="18"/>
    </row>
    <row r="354" ht="15.75" customHeight="1">
      <c r="A354" s="17"/>
      <c r="B354" s="17"/>
      <c r="X354" s="18"/>
      <c r="Y354" s="18"/>
    </row>
    <row r="355" ht="15.75" customHeight="1">
      <c r="A355" s="17"/>
      <c r="B355" s="17"/>
      <c r="X355" s="18"/>
      <c r="Y355" s="18"/>
    </row>
    <row r="356" ht="15.75" customHeight="1">
      <c r="A356" s="17"/>
      <c r="B356" s="17"/>
      <c r="X356" s="18"/>
      <c r="Y356" s="18"/>
    </row>
    <row r="357" ht="15.75" customHeight="1">
      <c r="A357" s="17"/>
      <c r="B357" s="17"/>
      <c r="X357" s="18"/>
      <c r="Y357" s="18"/>
    </row>
    <row r="358" ht="15.75" customHeight="1">
      <c r="A358" s="17"/>
      <c r="B358" s="17"/>
      <c r="X358" s="18"/>
      <c r="Y358" s="18"/>
    </row>
    <row r="359" ht="15.75" customHeight="1">
      <c r="A359" s="17"/>
      <c r="B359" s="17"/>
      <c r="X359" s="18"/>
      <c r="Y359" s="18"/>
    </row>
    <row r="360" ht="15.75" customHeight="1">
      <c r="A360" s="17"/>
      <c r="B360" s="17"/>
      <c r="X360" s="18"/>
      <c r="Y360" s="18"/>
    </row>
    <row r="361" ht="15.75" customHeight="1">
      <c r="A361" s="17"/>
      <c r="B361" s="17"/>
      <c r="X361" s="18"/>
      <c r="Y361" s="18"/>
    </row>
    <row r="362" ht="15.75" customHeight="1">
      <c r="A362" s="17"/>
      <c r="B362" s="17"/>
      <c r="X362" s="18"/>
      <c r="Y362" s="18"/>
    </row>
    <row r="363" ht="15.75" customHeight="1">
      <c r="A363" s="17"/>
      <c r="B363" s="17"/>
      <c r="X363" s="18"/>
      <c r="Y363" s="18"/>
    </row>
    <row r="364" ht="15.75" customHeight="1">
      <c r="A364" s="17"/>
      <c r="B364" s="17"/>
      <c r="X364" s="18"/>
      <c r="Y364" s="18"/>
    </row>
    <row r="365" ht="15.75" customHeight="1">
      <c r="A365" s="17"/>
      <c r="B365" s="17"/>
      <c r="X365" s="18"/>
      <c r="Y365" s="18"/>
    </row>
    <row r="366" ht="15.75" customHeight="1">
      <c r="A366" s="17"/>
      <c r="B366" s="17"/>
      <c r="X366" s="18"/>
      <c r="Y366" s="18"/>
    </row>
    <row r="367" ht="15.75" customHeight="1">
      <c r="A367" s="17"/>
      <c r="B367" s="17"/>
      <c r="X367" s="18"/>
      <c r="Y367" s="18"/>
    </row>
    <row r="368" ht="15.75" customHeight="1">
      <c r="A368" s="17"/>
      <c r="B368" s="17"/>
      <c r="X368" s="18"/>
      <c r="Y368" s="18"/>
    </row>
    <row r="369" ht="15.75" customHeight="1">
      <c r="A369" s="17"/>
      <c r="B369" s="17"/>
      <c r="X369" s="18"/>
      <c r="Y369" s="18"/>
    </row>
    <row r="370" ht="15.75" customHeight="1">
      <c r="A370" s="17"/>
      <c r="B370" s="17"/>
      <c r="X370" s="18"/>
      <c r="Y370" s="18"/>
    </row>
    <row r="371" ht="15.75" customHeight="1">
      <c r="A371" s="17"/>
      <c r="B371" s="17"/>
      <c r="X371" s="18"/>
      <c r="Y371" s="18"/>
    </row>
    <row r="372" ht="15.75" customHeight="1">
      <c r="A372" s="17"/>
      <c r="B372" s="17"/>
      <c r="X372" s="18"/>
      <c r="Y372" s="18"/>
    </row>
    <row r="373" ht="15.75" customHeight="1">
      <c r="A373" s="17"/>
      <c r="B373" s="17"/>
      <c r="X373" s="18"/>
      <c r="Y373" s="18"/>
    </row>
    <row r="374" ht="15.75" customHeight="1">
      <c r="A374" s="17"/>
      <c r="B374" s="17"/>
      <c r="X374" s="18"/>
      <c r="Y374" s="18"/>
    </row>
    <row r="375" ht="15.75" customHeight="1">
      <c r="A375" s="17"/>
      <c r="B375" s="17"/>
      <c r="X375" s="18"/>
      <c r="Y375" s="18"/>
    </row>
    <row r="376" ht="15.75" customHeight="1">
      <c r="A376" s="17"/>
      <c r="B376" s="17"/>
      <c r="X376" s="18"/>
      <c r="Y376" s="18"/>
    </row>
    <row r="377" ht="15.75" customHeight="1">
      <c r="A377" s="17"/>
      <c r="B377" s="17"/>
      <c r="X377" s="18"/>
      <c r="Y377" s="18"/>
    </row>
    <row r="378" ht="15.75" customHeight="1">
      <c r="A378" s="17"/>
      <c r="B378" s="17"/>
      <c r="X378" s="18"/>
      <c r="Y378" s="18"/>
    </row>
    <row r="379" ht="15.75" customHeight="1">
      <c r="A379" s="17"/>
      <c r="B379" s="17"/>
      <c r="X379" s="18"/>
      <c r="Y379" s="18"/>
    </row>
    <row r="380" ht="15.75" customHeight="1">
      <c r="A380" s="17"/>
      <c r="B380" s="17"/>
      <c r="X380" s="18"/>
      <c r="Y380" s="18"/>
    </row>
    <row r="381" ht="15.75" customHeight="1">
      <c r="A381" s="17"/>
      <c r="B381" s="17"/>
      <c r="X381" s="18"/>
      <c r="Y381" s="18"/>
    </row>
    <row r="382" ht="15.75" customHeight="1">
      <c r="A382" s="17"/>
      <c r="B382" s="17"/>
      <c r="X382" s="18"/>
      <c r="Y382" s="18"/>
    </row>
    <row r="383" ht="15.75" customHeight="1">
      <c r="A383" s="17"/>
      <c r="B383" s="17"/>
      <c r="X383" s="18"/>
      <c r="Y383" s="18"/>
    </row>
    <row r="384" ht="15.75" customHeight="1">
      <c r="A384" s="17"/>
      <c r="B384" s="17"/>
      <c r="X384" s="18"/>
      <c r="Y384" s="18"/>
    </row>
    <row r="385" ht="15.75" customHeight="1">
      <c r="A385" s="17"/>
      <c r="B385" s="17"/>
      <c r="X385" s="18"/>
      <c r="Y385" s="18"/>
    </row>
    <row r="386" ht="15.75" customHeight="1">
      <c r="A386" s="17"/>
      <c r="B386" s="17"/>
      <c r="X386" s="18"/>
      <c r="Y386" s="18"/>
    </row>
    <row r="387" ht="15.75" customHeight="1">
      <c r="A387" s="17"/>
      <c r="B387" s="17"/>
      <c r="X387" s="18"/>
      <c r="Y387" s="18"/>
    </row>
    <row r="388" ht="15.75" customHeight="1">
      <c r="A388" s="17"/>
      <c r="B388" s="17"/>
      <c r="X388" s="18"/>
      <c r="Y388" s="18"/>
    </row>
    <row r="389" ht="15.75" customHeight="1">
      <c r="A389" s="17"/>
      <c r="B389" s="17"/>
      <c r="X389" s="18"/>
      <c r="Y389" s="18"/>
    </row>
    <row r="390" ht="15.75" customHeight="1">
      <c r="A390" s="17"/>
      <c r="B390" s="17"/>
      <c r="X390" s="18"/>
      <c r="Y390" s="18"/>
    </row>
    <row r="391" ht="15.75" customHeight="1">
      <c r="A391" s="17"/>
      <c r="B391" s="17"/>
      <c r="X391" s="18"/>
      <c r="Y391" s="18"/>
    </row>
    <row r="392" ht="15.75" customHeight="1">
      <c r="A392" s="17"/>
      <c r="B392" s="17"/>
      <c r="X392" s="18"/>
      <c r="Y392" s="18"/>
    </row>
    <row r="393" ht="15.75" customHeight="1">
      <c r="A393" s="17"/>
      <c r="B393" s="17"/>
      <c r="X393" s="18"/>
      <c r="Y393" s="18"/>
    </row>
    <row r="394" ht="15.75" customHeight="1">
      <c r="A394" s="17"/>
      <c r="B394" s="17"/>
      <c r="X394" s="18"/>
      <c r="Y394" s="18"/>
    </row>
    <row r="395" ht="15.75" customHeight="1">
      <c r="A395" s="17"/>
      <c r="B395" s="17"/>
      <c r="X395" s="18"/>
      <c r="Y395" s="18"/>
    </row>
    <row r="396" ht="15.75" customHeight="1">
      <c r="A396" s="17"/>
      <c r="B396" s="17"/>
      <c r="X396" s="18"/>
      <c r="Y396" s="18"/>
    </row>
    <row r="397" ht="15.75" customHeight="1">
      <c r="A397" s="17"/>
      <c r="B397" s="17"/>
      <c r="X397" s="18"/>
      <c r="Y397" s="18"/>
    </row>
    <row r="398" ht="15.75" customHeight="1">
      <c r="A398" s="17"/>
      <c r="B398" s="17"/>
      <c r="X398" s="18"/>
      <c r="Y398" s="18"/>
    </row>
    <row r="399" ht="15.75" customHeight="1">
      <c r="A399" s="17"/>
      <c r="B399" s="17"/>
      <c r="X399" s="18"/>
      <c r="Y399" s="18"/>
    </row>
    <row r="400" ht="15.75" customHeight="1">
      <c r="A400" s="17"/>
      <c r="B400" s="17"/>
      <c r="X400" s="18"/>
      <c r="Y400" s="18"/>
    </row>
    <row r="401" ht="15.75" customHeight="1">
      <c r="A401" s="17"/>
      <c r="B401" s="17"/>
      <c r="X401" s="18"/>
      <c r="Y401" s="18"/>
    </row>
    <row r="402" ht="15.75" customHeight="1">
      <c r="A402" s="17"/>
      <c r="B402" s="17"/>
      <c r="X402" s="18"/>
      <c r="Y402" s="18"/>
    </row>
    <row r="403" ht="15.75" customHeight="1">
      <c r="A403" s="17"/>
      <c r="B403" s="17"/>
      <c r="X403" s="18"/>
      <c r="Y403" s="18"/>
    </row>
    <row r="404" ht="15.75" customHeight="1">
      <c r="A404" s="17"/>
      <c r="B404" s="17"/>
      <c r="X404" s="18"/>
      <c r="Y404" s="18"/>
    </row>
    <row r="405" ht="15.75" customHeight="1">
      <c r="A405" s="17"/>
      <c r="B405" s="17"/>
      <c r="X405" s="18"/>
      <c r="Y405" s="18"/>
    </row>
    <row r="406" ht="15.75" customHeight="1">
      <c r="A406" s="17"/>
      <c r="B406" s="17"/>
      <c r="X406" s="18"/>
      <c r="Y406" s="18"/>
    </row>
    <row r="407" ht="15.75" customHeight="1">
      <c r="A407" s="17"/>
      <c r="B407" s="17"/>
      <c r="X407" s="18"/>
      <c r="Y407" s="18"/>
    </row>
    <row r="408" ht="15.75" customHeight="1">
      <c r="A408" s="17"/>
      <c r="B408" s="17"/>
      <c r="X408" s="18"/>
      <c r="Y408" s="18"/>
    </row>
    <row r="409" ht="15.75" customHeight="1">
      <c r="A409" s="17"/>
      <c r="B409" s="17"/>
      <c r="X409" s="18"/>
      <c r="Y409" s="18"/>
    </row>
    <row r="410" ht="15.75" customHeight="1">
      <c r="A410" s="17"/>
      <c r="B410" s="17"/>
      <c r="X410" s="18"/>
      <c r="Y410" s="18"/>
    </row>
    <row r="411" ht="15.75" customHeight="1">
      <c r="A411" s="17"/>
      <c r="B411" s="17"/>
      <c r="X411" s="18"/>
      <c r="Y411" s="18"/>
    </row>
    <row r="412" ht="15.75" customHeight="1">
      <c r="A412" s="17"/>
      <c r="B412" s="17"/>
      <c r="X412" s="18"/>
      <c r="Y412" s="18"/>
    </row>
    <row r="413" ht="15.75" customHeight="1">
      <c r="A413" s="17"/>
      <c r="B413" s="17"/>
      <c r="X413" s="18"/>
      <c r="Y413" s="18"/>
    </row>
    <row r="414" ht="15.75" customHeight="1">
      <c r="A414" s="17"/>
      <c r="B414" s="17"/>
      <c r="X414" s="18"/>
      <c r="Y414" s="18"/>
    </row>
    <row r="415" ht="15.75" customHeight="1">
      <c r="A415" s="17"/>
      <c r="B415" s="17"/>
      <c r="X415" s="18"/>
      <c r="Y415" s="18"/>
    </row>
    <row r="416" ht="15.75" customHeight="1">
      <c r="A416" s="17"/>
      <c r="B416" s="17"/>
      <c r="X416" s="18"/>
      <c r="Y416" s="18"/>
    </row>
    <row r="417" ht="15.75" customHeight="1">
      <c r="A417" s="17"/>
      <c r="B417" s="17"/>
      <c r="X417" s="18"/>
      <c r="Y417" s="18"/>
    </row>
    <row r="418" ht="15.75" customHeight="1">
      <c r="A418" s="17"/>
      <c r="B418" s="17"/>
      <c r="X418" s="18"/>
      <c r="Y418" s="18"/>
    </row>
    <row r="419" ht="15.75" customHeight="1">
      <c r="A419" s="17"/>
      <c r="B419" s="17"/>
      <c r="X419" s="18"/>
      <c r="Y419" s="18"/>
    </row>
    <row r="420" ht="15.75" customHeight="1">
      <c r="A420" s="17"/>
      <c r="B420" s="17"/>
      <c r="X420" s="18"/>
      <c r="Y420" s="18"/>
    </row>
    <row r="421" ht="15.75" customHeight="1">
      <c r="A421" s="17"/>
      <c r="B421" s="17"/>
      <c r="X421" s="18"/>
      <c r="Y421" s="18"/>
    </row>
    <row r="422" ht="15.75" customHeight="1">
      <c r="A422" s="17"/>
      <c r="B422" s="17"/>
      <c r="X422" s="18"/>
      <c r="Y422" s="18"/>
    </row>
    <row r="423" ht="15.75" customHeight="1">
      <c r="A423" s="17"/>
      <c r="B423" s="17"/>
      <c r="X423" s="18"/>
      <c r="Y423" s="18"/>
    </row>
    <row r="424" ht="15.75" customHeight="1">
      <c r="A424" s="17"/>
      <c r="B424" s="17"/>
      <c r="X424" s="18"/>
      <c r="Y424" s="18"/>
    </row>
    <row r="425" ht="15.75" customHeight="1">
      <c r="A425" s="17"/>
      <c r="B425" s="17"/>
      <c r="X425" s="18"/>
      <c r="Y425" s="18"/>
    </row>
    <row r="426" ht="15.75" customHeight="1">
      <c r="A426" s="17"/>
      <c r="B426" s="17"/>
      <c r="X426" s="18"/>
      <c r="Y426" s="18"/>
    </row>
    <row r="427" ht="15.75" customHeight="1">
      <c r="A427" s="17"/>
      <c r="B427" s="17"/>
      <c r="X427" s="18"/>
      <c r="Y427" s="18"/>
    </row>
    <row r="428" ht="15.75" customHeight="1">
      <c r="A428" s="17"/>
      <c r="B428" s="17"/>
      <c r="X428" s="18"/>
      <c r="Y428" s="18"/>
    </row>
    <row r="429" ht="15.75" customHeight="1">
      <c r="A429" s="17"/>
      <c r="B429" s="17"/>
      <c r="X429" s="18"/>
      <c r="Y429" s="18"/>
    </row>
    <row r="430" ht="15.75" customHeight="1">
      <c r="A430" s="17"/>
      <c r="B430" s="17"/>
      <c r="X430" s="18"/>
      <c r="Y430" s="18"/>
    </row>
    <row r="431" ht="15.75" customHeight="1">
      <c r="A431" s="17"/>
      <c r="B431" s="17"/>
      <c r="X431" s="18"/>
      <c r="Y431" s="18"/>
    </row>
    <row r="432" ht="15.75" customHeight="1">
      <c r="A432" s="17"/>
      <c r="B432" s="17"/>
      <c r="X432" s="18"/>
      <c r="Y432" s="18"/>
    </row>
    <row r="433" ht="15.75" customHeight="1">
      <c r="A433" s="17"/>
      <c r="B433" s="17"/>
      <c r="X433" s="18"/>
      <c r="Y433" s="18"/>
    </row>
    <row r="434" ht="15.75" customHeight="1">
      <c r="A434" s="17"/>
      <c r="B434" s="17"/>
      <c r="X434" s="18"/>
      <c r="Y434" s="18"/>
    </row>
    <row r="435" ht="15.75" customHeight="1">
      <c r="A435" s="17"/>
      <c r="B435" s="17"/>
      <c r="X435" s="18"/>
      <c r="Y435" s="18"/>
    </row>
    <row r="436" ht="15.75" customHeight="1">
      <c r="A436" s="17"/>
      <c r="B436" s="17"/>
      <c r="X436" s="18"/>
      <c r="Y436" s="18"/>
    </row>
    <row r="437" ht="15.75" customHeight="1">
      <c r="A437" s="17"/>
      <c r="B437" s="17"/>
      <c r="X437" s="18"/>
      <c r="Y437" s="18"/>
    </row>
    <row r="438" ht="15.75" customHeight="1">
      <c r="A438" s="17"/>
      <c r="B438" s="17"/>
      <c r="X438" s="18"/>
      <c r="Y438" s="18"/>
    </row>
    <row r="439" ht="15.75" customHeight="1">
      <c r="A439" s="17"/>
      <c r="B439" s="17"/>
      <c r="X439" s="18"/>
      <c r="Y439" s="18"/>
    </row>
    <row r="440" ht="15.75" customHeight="1">
      <c r="A440" s="17"/>
      <c r="B440" s="17"/>
      <c r="X440" s="18"/>
      <c r="Y440" s="18"/>
    </row>
    <row r="441" ht="15.75" customHeight="1">
      <c r="A441" s="17"/>
      <c r="B441" s="17"/>
      <c r="X441" s="18"/>
      <c r="Y441" s="18"/>
    </row>
    <row r="442" ht="15.75" customHeight="1">
      <c r="A442" s="17"/>
      <c r="B442" s="17"/>
      <c r="X442" s="18"/>
      <c r="Y442" s="18"/>
    </row>
    <row r="443" ht="15.75" customHeight="1">
      <c r="A443" s="17"/>
      <c r="B443" s="17"/>
      <c r="X443" s="18"/>
      <c r="Y443" s="18"/>
    </row>
    <row r="444" ht="15.75" customHeight="1">
      <c r="A444" s="17"/>
      <c r="B444" s="17"/>
      <c r="X444" s="18"/>
      <c r="Y444" s="18"/>
    </row>
    <row r="445" ht="15.75" customHeight="1">
      <c r="A445" s="17"/>
      <c r="B445" s="17"/>
      <c r="X445" s="18"/>
      <c r="Y445" s="18"/>
    </row>
    <row r="446" ht="15.75" customHeight="1">
      <c r="A446" s="17"/>
      <c r="B446" s="17"/>
      <c r="X446" s="18"/>
      <c r="Y446" s="18"/>
    </row>
    <row r="447" ht="15.75" customHeight="1">
      <c r="A447" s="17"/>
      <c r="B447" s="17"/>
      <c r="X447" s="18"/>
      <c r="Y447" s="18"/>
    </row>
    <row r="448" ht="15.75" customHeight="1">
      <c r="A448" s="17"/>
      <c r="B448" s="17"/>
      <c r="X448" s="18"/>
      <c r="Y448" s="18"/>
    </row>
    <row r="449" ht="15.75" customHeight="1">
      <c r="A449" s="17"/>
      <c r="B449" s="17"/>
      <c r="X449" s="18"/>
      <c r="Y449" s="18"/>
    </row>
    <row r="450" ht="15.75" customHeight="1">
      <c r="A450" s="17"/>
      <c r="B450" s="17"/>
      <c r="X450" s="18"/>
      <c r="Y450" s="18"/>
    </row>
    <row r="451" ht="15.75" customHeight="1">
      <c r="A451" s="17"/>
      <c r="B451" s="17"/>
      <c r="X451" s="18"/>
      <c r="Y451" s="18"/>
    </row>
    <row r="452" ht="15.75" customHeight="1">
      <c r="A452" s="17"/>
      <c r="B452" s="17"/>
      <c r="X452" s="18"/>
      <c r="Y452" s="18"/>
    </row>
    <row r="453" ht="15.75" customHeight="1">
      <c r="A453" s="17"/>
      <c r="B453" s="17"/>
      <c r="X453" s="18"/>
      <c r="Y453" s="18"/>
    </row>
    <row r="454" ht="15.75" customHeight="1">
      <c r="A454" s="17"/>
      <c r="B454" s="17"/>
      <c r="X454" s="18"/>
      <c r="Y454" s="18"/>
    </row>
    <row r="455" ht="15.75" customHeight="1">
      <c r="A455" s="17"/>
      <c r="B455" s="17"/>
      <c r="X455" s="18"/>
      <c r="Y455" s="18"/>
    </row>
    <row r="456" ht="15.75" customHeight="1">
      <c r="A456" s="17"/>
      <c r="B456" s="17"/>
      <c r="X456" s="18"/>
      <c r="Y456" s="18"/>
    </row>
    <row r="457" ht="15.75" customHeight="1">
      <c r="A457" s="17"/>
      <c r="B457" s="17"/>
      <c r="X457" s="18"/>
      <c r="Y457" s="18"/>
    </row>
    <row r="458" ht="15.75" customHeight="1">
      <c r="A458" s="17"/>
      <c r="B458" s="17"/>
      <c r="X458" s="18"/>
      <c r="Y458" s="18"/>
    </row>
    <row r="459" ht="15.75" customHeight="1">
      <c r="A459" s="17"/>
      <c r="B459" s="17"/>
      <c r="X459" s="18"/>
      <c r="Y459" s="18"/>
    </row>
    <row r="460" ht="15.75" customHeight="1">
      <c r="A460" s="17"/>
      <c r="B460" s="17"/>
      <c r="X460" s="18"/>
      <c r="Y460" s="18"/>
    </row>
    <row r="461" ht="15.75" customHeight="1">
      <c r="A461" s="17"/>
      <c r="B461" s="17"/>
      <c r="X461" s="18"/>
      <c r="Y461" s="18"/>
    </row>
    <row r="462" ht="15.75" customHeight="1">
      <c r="A462" s="17"/>
      <c r="B462" s="17"/>
      <c r="X462" s="18"/>
      <c r="Y462" s="18"/>
    </row>
    <row r="463" ht="15.75" customHeight="1">
      <c r="A463" s="17"/>
      <c r="B463" s="17"/>
      <c r="X463" s="18"/>
      <c r="Y463" s="18"/>
    </row>
    <row r="464" ht="15.75" customHeight="1">
      <c r="A464" s="17"/>
      <c r="B464" s="17"/>
      <c r="X464" s="18"/>
      <c r="Y464" s="18"/>
    </row>
    <row r="465" ht="15.75" customHeight="1">
      <c r="A465" s="17"/>
      <c r="B465" s="17"/>
      <c r="X465" s="18"/>
      <c r="Y465" s="18"/>
    </row>
    <row r="466" ht="15.75" customHeight="1">
      <c r="A466" s="17"/>
      <c r="B466" s="17"/>
      <c r="X466" s="18"/>
      <c r="Y466" s="18"/>
    </row>
    <row r="467" ht="15.75" customHeight="1">
      <c r="A467" s="17"/>
      <c r="B467" s="17"/>
      <c r="X467" s="18"/>
      <c r="Y467" s="18"/>
    </row>
    <row r="468" ht="15.75" customHeight="1">
      <c r="A468" s="17"/>
      <c r="B468" s="17"/>
      <c r="X468" s="18"/>
      <c r="Y468" s="18"/>
    </row>
    <row r="469" ht="15.75" customHeight="1">
      <c r="A469" s="17"/>
      <c r="B469" s="17"/>
      <c r="X469" s="18"/>
      <c r="Y469" s="18"/>
    </row>
    <row r="470" ht="15.75" customHeight="1">
      <c r="A470" s="17"/>
      <c r="B470" s="17"/>
      <c r="X470" s="18"/>
      <c r="Y470" s="18"/>
    </row>
    <row r="471" ht="15.75" customHeight="1">
      <c r="A471" s="17"/>
      <c r="B471" s="17"/>
      <c r="X471" s="18"/>
      <c r="Y471" s="18"/>
    </row>
    <row r="472" ht="15.75" customHeight="1">
      <c r="A472" s="17"/>
      <c r="B472" s="17"/>
      <c r="X472" s="18"/>
      <c r="Y472" s="18"/>
    </row>
    <row r="473" ht="15.75" customHeight="1">
      <c r="A473" s="17"/>
      <c r="B473" s="17"/>
      <c r="X473" s="18"/>
      <c r="Y473" s="18"/>
    </row>
    <row r="474" ht="15.75" customHeight="1">
      <c r="A474" s="17"/>
      <c r="B474" s="17"/>
      <c r="X474" s="18"/>
      <c r="Y474" s="18"/>
    </row>
    <row r="475" ht="15.75" customHeight="1">
      <c r="A475" s="17"/>
      <c r="B475" s="17"/>
      <c r="X475" s="18"/>
      <c r="Y475" s="18"/>
    </row>
    <row r="476" ht="15.75" customHeight="1">
      <c r="A476" s="17"/>
      <c r="B476" s="17"/>
      <c r="X476" s="18"/>
      <c r="Y476" s="18"/>
    </row>
    <row r="477" ht="15.75" customHeight="1">
      <c r="A477" s="17"/>
      <c r="B477" s="17"/>
      <c r="X477" s="18"/>
      <c r="Y477" s="18"/>
    </row>
    <row r="478" ht="15.75" customHeight="1">
      <c r="A478" s="17"/>
      <c r="B478" s="17"/>
      <c r="X478" s="18"/>
      <c r="Y478" s="18"/>
    </row>
    <row r="479" ht="15.75" customHeight="1">
      <c r="A479" s="17"/>
      <c r="B479" s="17"/>
      <c r="X479" s="18"/>
      <c r="Y479" s="18"/>
    </row>
    <row r="480" ht="15.75" customHeight="1">
      <c r="A480" s="17"/>
      <c r="B480" s="17"/>
      <c r="X480" s="18"/>
      <c r="Y480" s="18"/>
    </row>
    <row r="481" ht="15.75" customHeight="1">
      <c r="A481" s="17"/>
      <c r="B481" s="17"/>
      <c r="X481" s="18"/>
      <c r="Y481" s="18"/>
    </row>
    <row r="482" ht="15.75" customHeight="1">
      <c r="A482" s="17"/>
      <c r="B482" s="17"/>
      <c r="X482" s="18"/>
      <c r="Y482" s="18"/>
    </row>
    <row r="483" ht="15.75" customHeight="1">
      <c r="A483" s="17"/>
      <c r="B483" s="17"/>
      <c r="X483" s="18"/>
      <c r="Y483" s="18"/>
    </row>
    <row r="484" ht="15.75" customHeight="1">
      <c r="A484" s="17"/>
      <c r="B484" s="17"/>
      <c r="X484" s="18"/>
      <c r="Y484" s="18"/>
    </row>
    <row r="485" ht="15.75" customHeight="1">
      <c r="A485" s="17"/>
      <c r="B485" s="17"/>
      <c r="X485" s="18"/>
      <c r="Y485" s="18"/>
    </row>
    <row r="486" ht="15.75" customHeight="1">
      <c r="A486" s="17"/>
      <c r="B486" s="17"/>
      <c r="X486" s="18"/>
      <c r="Y486" s="18"/>
    </row>
    <row r="487" ht="15.75" customHeight="1">
      <c r="A487" s="17"/>
      <c r="B487" s="17"/>
      <c r="X487" s="18"/>
      <c r="Y487" s="18"/>
    </row>
    <row r="488" ht="15.75" customHeight="1">
      <c r="A488" s="17"/>
      <c r="B488" s="17"/>
      <c r="X488" s="18"/>
      <c r="Y488" s="18"/>
    </row>
    <row r="489" ht="15.75" customHeight="1">
      <c r="A489" s="17"/>
      <c r="B489" s="17"/>
      <c r="X489" s="18"/>
      <c r="Y489" s="18"/>
    </row>
    <row r="490" ht="15.75" customHeight="1">
      <c r="A490" s="17"/>
      <c r="B490" s="17"/>
      <c r="X490" s="18"/>
      <c r="Y490" s="18"/>
    </row>
    <row r="491" ht="15.75" customHeight="1">
      <c r="A491" s="17"/>
      <c r="B491" s="17"/>
      <c r="X491" s="18"/>
      <c r="Y491" s="18"/>
    </row>
    <row r="492" ht="15.75" customHeight="1">
      <c r="A492" s="17"/>
      <c r="B492" s="17"/>
      <c r="X492" s="18"/>
      <c r="Y492" s="18"/>
    </row>
    <row r="493" ht="15.75" customHeight="1">
      <c r="A493" s="17"/>
      <c r="B493" s="17"/>
      <c r="X493" s="18"/>
      <c r="Y493" s="18"/>
    </row>
    <row r="494" ht="15.75" customHeight="1">
      <c r="A494" s="17"/>
      <c r="B494" s="17"/>
      <c r="X494" s="18"/>
      <c r="Y494" s="18"/>
    </row>
    <row r="495" ht="15.75" customHeight="1">
      <c r="A495" s="17"/>
      <c r="B495" s="17"/>
      <c r="X495" s="18"/>
      <c r="Y495" s="18"/>
    </row>
    <row r="496" ht="15.75" customHeight="1">
      <c r="A496" s="17"/>
      <c r="B496" s="17"/>
      <c r="X496" s="18"/>
      <c r="Y496" s="18"/>
    </row>
    <row r="497" ht="15.75" customHeight="1">
      <c r="A497" s="17"/>
      <c r="B497" s="17"/>
      <c r="X497" s="18"/>
      <c r="Y497" s="18"/>
    </row>
    <row r="498" ht="15.75" customHeight="1">
      <c r="A498" s="17"/>
      <c r="B498" s="17"/>
      <c r="X498" s="18"/>
      <c r="Y498" s="18"/>
    </row>
    <row r="499" ht="15.75" customHeight="1">
      <c r="A499" s="17"/>
      <c r="B499" s="17"/>
      <c r="X499" s="18"/>
      <c r="Y499" s="18"/>
    </row>
    <row r="500" ht="15.75" customHeight="1">
      <c r="A500" s="17"/>
      <c r="B500" s="17"/>
      <c r="X500" s="18"/>
      <c r="Y500" s="18"/>
    </row>
    <row r="501" ht="15.75" customHeight="1">
      <c r="A501" s="17"/>
      <c r="B501" s="17"/>
      <c r="X501" s="18"/>
      <c r="Y501" s="18"/>
    </row>
    <row r="502" ht="15.75" customHeight="1">
      <c r="A502" s="17"/>
      <c r="B502" s="17"/>
      <c r="X502" s="18"/>
      <c r="Y502" s="18"/>
    </row>
    <row r="503" ht="15.75" customHeight="1">
      <c r="A503" s="17"/>
      <c r="B503" s="17"/>
      <c r="X503" s="18"/>
      <c r="Y503" s="18"/>
    </row>
    <row r="504" ht="15.75" customHeight="1">
      <c r="A504" s="17"/>
      <c r="B504" s="17"/>
      <c r="X504" s="18"/>
      <c r="Y504" s="18"/>
    </row>
    <row r="505" ht="15.75" customHeight="1">
      <c r="A505" s="17"/>
      <c r="B505" s="17"/>
      <c r="X505" s="18"/>
      <c r="Y505" s="18"/>
    </row>
    <row r="506" ht="15.75" customHeight="1">
      <c r="A506" s="17"/>
      <c r="B506" s="17"/>
      <c r="X506" s="18"/>
      <c r="Y506" s="18"/>
    </row>
    <row r="507" ht="15.75" customHeight="1">
      <c r="A507" s="17"/>
      <c r="B507" s="17"/>
      <c r="X507" s="18"/>
      <c r="Y507" s="18"/>
    </row>
    <row r="508" ht="15.75" customHeight="1">
      <c r="A508" s="17"/>
      <c r="B508" s="17"/>
      <c r="X508" s="18"/>
      <c r="Y508" s="18"/>
    </row>
    <row r="509" ht="15.75" customHeight="1">
      <c r="A509" s="17"/>
      <c r="B509" s="17"/>
      <c r="X509" s="18"/>
      <c r="Y509" s="18"/>
    </row>
    <row r="510" ht="15.75" customHeight="1">
      <c r="A510" s="17"/>
      <c r="B510" s="17"/>
      <c r="X510" s="18"/>
      <c r="Y510" s="18"/>
    </row>
    <row r="511" ht="15.75" customHeight="1">
      <c r="A511" s="17"/>
      <c r="B511" s="17"/>
      <c r="X511" s="18"/>
      <c r="Y511" s="18"/>
    </row>
    <row r="512" ht="15.75" customHeight="1">
      <c r="A512" s="17"/>
      <c r="B512" s="17"/>
      <c r="X512" s="18"/>
      <c r="Y512" s="18"/>
    </row>
    <row r="513" ht="15.75" customHeight="1">
      <c r="A513" s="17"/>
      <c r="B513" s="17"/>
      <c r="X513" s="18"/>
      <c r="Y513" s="18"/>
    </row>
    <row r="514" ht="15.75" customHeight="1">
      <c r="A514" s="17"/>
      <c r="B514" s="17"/>
      <c r="X514" s="18"/>
      <c r="Y514" s="18"/>
    </row>
    <row r="515" ht="15.75" customHeight="1">
      <c r="A515" s="17"/>
      <c r="B515" s="17"/>
      <c r="X515" s="18"/>
      <c r="Y515" s="18"/>
    </row>
    <row r="516" ht="15.75" customHeight="1">
      <c r="A516" s="17"/>
      <c r="B516" s="17"/>
      <c r="X516" s="18"/>
      <c r="Y516" s="18"/>
    </row>
    <row r="517" ht="15.75" customHeight="1">
      <c r="A517" s="17"/>
      <c r="B517" s="17"/>
      <c r="X517" s="18"/>
      <c r="Y517" s="18"/>
    </row>
    <row r="518" ht="15.75" customHeight="1">
      <c r="A518" s="17"/>
      <c r="B518" s="17"/>
      <c r="X518" s="18"/>
      <c r="Y518" s="18"/>
    </row>
    <row r="519" ht="15.75" customHeight="1">
      <c r="A519" s="17"/>
      <c r="B519" s="17"/>
      <c r="X519" s="18"/>
      <c r="Y519" s="18"/>
    </row>
    <row r="520" ht="15.75" customHeight="1">
      <c r="A520" s="17"/>
      <c r="B520" s="17"/>
      <c r="X520" s="18"/>
      <c r="Y520" s="18"/>
    </row>
    <row r="521" ht="15.75" customHeight="1">
      <c r="A521" s="17"/>
      <c r="B521" s="17"/>
      <c r="X521" s="18"/>
      <c r="Y521" s="18"/>
    </row>
    <row r="522" ht="15.75" customHeight="1">
      <c r="A522" s="17"/>
      <c r="B522" s="17"/>
      <c r="X522" s="18"/>
      <c r="Y522" s="18"/>
    </row>
    <row r="523" ht="15.75" customHeight="1">
      <c r="A523" s="17"/>
      <c r="B523" s="17"/>
      <c r="X523" s="18"/>
      <c r="Y523" s="18"/>
    </row>
    <row r="524" ht="15.75" customHeight="1">
      <c r="A524" s="17"/>
      <c r="B524" s="17"/>
      <c r="X524" s="18"/>
      <c r="Y524" s="18"/>
    </row>
    <row r="525" ht="15.75" customHeight="1">
      <c r="A525" s="17"/>
      <c r="B525" s="17"/>
      <c r="X525" s="18"/>
      <c r="Y525" s="18"/>
    </row>
    <row r="526" ht="15.75" customHeight="1">
      <c r="A526" s="17"/>
      <c r="B526" s="17"/>
      <c r="X526" s="18"/>
      <c r="Y526" s="18"/>
    </row>
    <row r="527" ht="15.75" customHeight="1">
      <c r="A527" s="17"/>
      <c r="B527" s="17"/>
      <c r="X527" s="18"/>
      <c r="Y527" s="18"/>
    </row>
    <row r="528" ht="15.75" customHeight="1">
      <c r="A528" s="17"/>
      <c r="B528" s="17"/>
      <c r="X528" s="18"/>
      <c r="Y528" s="18"/>
    </row>
    <row r="529" ht="15.75" customHeight="1">
      <c r="A529" s="17"/>
      <c r="B529" s="17"/>
      <c r="X529" s="18"/>
      <c r="Y529" s="18"/>
    </row>
    <row r="530" ht="15.75" customHeight="1">
      <c r="A530" s="17"/>
      <c r="B530" s="17"/>
      <c r="X530" s="18"/>
      <c r="Y530" s="18"/>
    </row>
    <row r="531" ht="15.75" customHeight="1">
      <c r="A531" s="17"/>
      <c r="B531" s="17"/>
      <c r="X531" s="18"/>
      <c r="Y531" s="18"/>
    </row>
    <row r="532" ht="15.75" customHeight="1">
      <c r="A532" s="17"/>
      <c r="B532" s="17"/>
      <c r="X532" s="18"/>
      <c r="Y532" s="18"/>
    </row>
    <row r="533" ht="15.75" customHeight="1">
      <c r="A533" s="17"/>
      <c r="B533" s="17"/>
      <c r="X533" s="18"/>
      <c r="Y533" s="18"/>
    </row>
    <row r="534" ht="15.75" customHeight="1">
      <c r="A534" s="17"/>
      <c r="B534" s="17"/>
      <c r="X534" s="18"/>
      <c r="Y534" s="18"/>
    </row>
    <row r="535" ht="15.75" customHeight="1">
      <c r="A535" s="17"/>
      <c r="B535" s="17"/>
      <c r="X535" s="18"/>
      <c r="Y535" s="18"/>
    </row>
    <row r="536" ht="15.75" customHeight="1">
      <c r="A536" s="17"/>
      <c r="B536" s="17"/>
      <c r="X536" s="18"/>
      <c r="Y536" s="18"/>
    </row>
    <row r="537" ht="15.75" customHeight="1">
      <c r="A537" s="17"/>
      <c r="B537" s="17"/>
      <c r="X537" s="18"/>
      <c r="Y537" s="18"/>
    </row>
    <row r="538" ht="15.75" customHeight="1">
      <c r="A538" s="17"/>
      <c r="B538" s="17"/>
      <c r="X538" s="18"/>
      <c r="Y538" s="18"/>
    </row>
    <row r="539" ht="15.75" customHeight="1">
      <c r="A539" s="17"/>
      <c r="B539" s="17"/>
      <c r="X539" s="18"/>
      <c r="Y539" s="18"/>
    </row>
    <row r="540" ht="15.75" customHeight="1">
      <c r="A540" s="17"/>
      <c r="B540" s="17"/>
      <c r="X540" s="18"/>
      <c r="Y540" s="18"/>
    </row>
    <row r="541" ht="15.75" customHeight="1">
      <c r="A541" s="17"/>
      <c r="B541" s="17"/>
      <c r="X541" s="18"/>
      <c r="Y541" s="18"/>
    </row>
    <row r="542" ht="15.75" customHeight="1">
      <c r="A542" s="17"/>
      <c r="B542" s="17"/>
      <c r="X542" s="18"/>
      <c r="Y542" s="18"/>
    </row>
    <row r="543" ht="15.75" customHeight="1">
      <c r="A543" s="17"/>
      <c r="B543" s="17"/>
      <c r="X543" s="18"/>
      <c r="Y543" s="18"/>
    </row>
    <row r="544" ht="15.75" customHeight="1">
      <c r="A544" s="17"/>
      <c r="B544" s="17"/>
      <c r="X544" s="18"/>
      <c r="Y544" s="18"/>
    </row>
    <row r="545" ht="15.75" customHeight="1">
      <c r="A545" s="17"/>
      <c r="B545" s="17"/>
      <c r="X545" s="18"/>
      <c r="Y545" s="18"/>
    </row>
    <row r="546" ht="15.75" customHeight="1">
      <c r="A546" s="17"/>
      <c r="B546" s="17"/>
      <c r="X546" s="18"/>
      <c r="Y546" s="18"/>
    </row>
    <row r="547" ht="15.75" customHeight="1">
      <c r="A547" s="17"/>
      <c r="B547" s="17"/>
      <c r="X547" s="18"/>
      <c r="Y547" s="18"/>
    </row>
    <row r="548" ht="15.75" customHeight="1">
      <c r="A548" s="17"/>
      <c r="B548" s="17"/>
      <c r="X548" s="18"/>
      <c r="Y548" s="18"/>
    </row>
    <row r="549" ht="15.75" customHeight="1">
      <c r="A549" s="17"/>
      <c r="B549" s="17"/>
      <c r="X549" s="18"/>
      <c r="Y549" s="18"/>
    </row>
    <row r="550" ht="15.75" customHeight="1">
      <c r="A550" s="17"/>
      <c r="B550" s="17"/>
      <c r="X550" s="18"/>
      <c r="Y550" s="18"/>
    </row>
    <row r="551" ht="15.75" customHeight="1">
      <c r="A551" s="17"/>
      <c r="B551" s="17"/>
      <c r="X551" s="18"/>
      <c r="Y551" s="18"/>
    </row>
    <row r="552" ht="15.75" customHeight="1">
      <c r="A552" s="17"/>
      <c r="B552" s="17"/>
      <c r="X552" s="18"/>
      <c r="Y552" s="18"/>
    </row>
    <row r="553" ht="15.75" customHeight="1">
      <c r="A553" s="17"/>
      <c r="B553" s="17"/>
      <c r="X553" s="18"/>
      <c r="Y553" s="18"/>
    </row>
    <row r="554" ht="15.75" customHeight="1">
      <c r="A554" s="17"/>
      <c r="B554" s="17"/>
      <c r="X554" s="18"/>
      <c r="Y554" s="18"/>
    </row>
    <row r="555" ht="15.75" customHeight="1">
      <c r="A555" s="17"/>
      <c r="B555" s="17"/>
      <c r="X555" s="18"/>
      <c r="Y555" s="18"/>
    </row>
    <row r="556" ht="15.75" customHeight="1">
      <c r="A556" s="17"/>
      <c r="B556" s="17"/>
      <c r="X556" s="18"/>
      <c r="Y556" s="18"/>
    </row>
    <row r="557" ht="15.75" customHeight="1">
      <c r="A557" s="17"/>
      <c r="B557" s="17"/>
      <c r="X557" s="18"/>
      <c r="Y557" s="18"/>
    </row>
    <row r="558" ht="15.75" customHeight="1">
      <c r="A558" s="17"/>
      <c r="B558" s="17"/>
      <c r="X558" s="18"/>
      <c r="Y558" s="18"/>
    </row>
    <row r="559" ht="15.75" customHeight="1">
      <c r="A559" s="17"/>
      <c r="B559" s="17"/>
      <c r="X559" s="18"/>
      <c r="Y559" s="18"/>
    </row>
    <row r="560" ht="15.75" customHeight="1">
      <c r="A560" s="17"/>
      <c r="B560" s="17"/>
      <c r="X560" s="18"/>
      <c r="Y560" s="18"/>
    </row>
    <row r="561" ht="15.75" customHeight="1">
      <c r="A561" s="17"/>
      <c r="B561" s="17"/>
      <c r="X561" s="18"/>
      <c r="Y561" s="18"/>
    </row>
    <row r="562" ht="15.75" customHeight="1">
      <c r="A562" s="17"/>
      <c r="B562" s="17"/>
      <c r="X562" s="18"/>
      <c r="Y562" s="18"/>
    </row>
    <row r="563" ht="15.75" customHeight="1">
      <c r="A563" s="17"/>
      <c r="B563" s="17"/>
      <c r="X563" s="18"/>
      <c r="Y563" s="18"/>
    </row>
    <row r="564" ht="15.75" customHeight="1">
      <c r="A564" s="17"/>
      <c r="B564" s="17"/>
      <c r="X564" s="18"/>
      <c r="Y564" s="18"/>
    </row>
    <row r="565" ht="15.75" customHeight="1">
      <c r="A565" s="17"/>
      <c r="B565" s="17"/>
      <c r="X565" s="18"/>
      <c r="Y565" s="18"/>
    </row>
    <row r="566" ht="15.75" customHeight="1">
      <c r="A566" s="17"/>
      <c r="B566" s="17"/>
      <c r="X566" s="18"/>
      <c r="Y566" s="18"/>
    </row>
    <row r="567" ht="15.75" customHeight="1">
      <c r="A567" s="17"/>
      <c r="B567" s="17"/>
      <c r="X567" s="18"/>
      <c r="Y567" s="18"/>
    </row>
    <row r="568" ht="15.75" customHeight="1">
      <c r="A568" s="17"/>
      <c r="B568" s="17"/>
      <c r="X568" s="18"/>
      <c r="Y568" s="18"/>
    </row>
    <row r="569" ht="15.75" customHeight="1">
      <c r="A569" s="17"/>
      <c r="B569" s="17"/>
      <c r="X569" s="18"/>
      <c r="Y569" s="18"/>
    </row>
    <row r="570" ht="15.75" customHeight="1">
      <c r="A570" s="17"/>
      <c r="B570" s="17"/>
      <c r="X570" s="18"/>
      <c r="Y570" s="18"/>
    </row>
    <row r="571" ht="15.75" customHeight="1">
      <c r="A571" s="17"/>
      <c r="B571" s="17"/>
      <c r="X571" s="18"/>
      <c r="Y571" s="18"/>
    </row>
    <row r="572" ht="15.75" customHeight="1">
      <c r="A572" s="17"/>
      <c r="B572" s="17"/>
      <c r="X572" s="18"/>
      <c r="Y572" s="18"/>
    </row>
    <row r="573" ht="15.75" customHeight="1">
      <c r="A573" s="17"/>
      <c r="B573" s="17"/>
      <c r="X573" s="18"/>
      <c r="Y573" s="18"/>
    </row>
    <row r="574" ht="15.75" customHeight="1">
      <c r="A574" s="17"/>
      <c r="B574" s="17"/>
      <c r="X574" s="18"/>
      <c r="Y574" s="18"/>
    </row>
    <row r="575" ht="15.75" customHeight="1">
      <c r="A575" s="17"/>
      <c r="B575" s="17"/>
      <c r="X575" s="18"/>
      <c r="Y575" s="18"/>
    </row>
    <row r="576" ht="15.75" customHeight="1">
      <c r="A576" s="17"/>
      <c r="B576" s="17"/>
      <c r="X576" s="18"/>
      <c r="Y576" s="18"/>
    </row>
    <row r="577" ht="15.75" customHeight="1">
      <c r="A577" s="17"/>
      <c r="B577" s="17"/>
      <c r="X577" s="18"/>
      <c r="Y577" s="18"/>
    </row>
    <row r="578" ht="15.75" customHeight="1">
      <c r="A578" s="17"/>
      <c r="B578" s="17"/>
      <c r="X578" s="18"/>
      <c r="Y578" s="18"/>
    </row>
    <row r="579" ht="15.75" customHeight="1">
      <c r="A579" s="17"/>
      <c r="B579" s="17"/>
      <c r="X579" s="18"/>
      <c r="Y579" s="18"/>
    </row>
    <row r="580" ht="15.75" customHeight="1">
      <c r="A580" s="17"/>
      <c r="B580" s="17"/>
      <c r="X580" s="18"/>
      <c r="Y580" s="18"/>
    </row>
    <row r="581" ht="15.75" customHeight="1">
      <c r="A581" s="17"/>
      <c r="B581" s="17"/>
      <c r="X581" s="18"/>
      <c r="Y581" s="18"/>
    </row>
    <row r="582" ht="15.75" customHeight="1">
      <c r="A582" s="17"/>
      <c r="B582" s="17"/>
      <c r="X582" s="18"/>
      <c r="Y582" s="18"/>
    </row>
    <row r="583" ht="15.75" customHeight="1">
      <c r="A583" s="17"/>
      <c r="B583" s="17"/>
      <c r="X583" s="18"/>
      <c r="Y583" s="18"/>
    </row>
    <row r="584" ht="15.75" customHeight="1">
      <c r="A584" s="17"/>
      <c r="B584" s="17"/>
      <c r="X584" s="18"/>
      <c r="Y584" s="18"/>
    </row>
    <row r="585" ht="15.75" customHeight="1">
      <c r="A585" s="17"/>
      <c r="B585" s="17"/>
      <c r="X585" s="18"/>
      <c r="Y585" s="18"/>
    </row>
    <row r="586" ht="15.75" customHeight="1">
      <c r="A586" s="17"/>
      <c r="B586" s="17"/>
      <c r="X586" s="18"/>
      <c r="Y586" s="18"/>
    </row>
    <row r="587" ht="15.75" customHeight="1">
      <c r="A587" s="17"/>
      <c r="B587" s="17"/>
      <c r="X587" s="18"/>
      <c r="Y587" s="18"/>
    </row>
    <row r="588" ht="15.75" customHeight="1">
      <c r="A588" s="17"/>
      <c r="B588" s="17"/>
      <c r="X588" s="18"/>
      <c r="Y588" s="18"/>
    </row>
    <row r="589" ht="15.75" customHeight="1">
      <c r="A589" s="17"/>
      <c r="B589" s="17"/>
      <c r="X589" s="18"/>
      <c r="Y589" s="18"/>
    </row>
    <row r="590" ht="15.75" customHeight="1">
      <c r="A590" s="17"/>
      <c r="B590" s="17"/>
      <c r="X590" s="18"/>
      <c r="Y590" s="18"/>
    </row>
    <row r="591" ht="15.75" customHeight="1">
      <c r="A591" s="17"/>
      <c r="B591" s="17"/>
      <c r="X591" s="18"/>
      <c r="Y591" s="18"/>
    </row>
    <row r="592" ht="15.75" customHeight="1">
      <c r="A592" s="17"/>
      <c r="B592" s="17"/>
      <c r="X592" s="18"/>
      <c r="Y592" s="18"/>
    </row>
    <row r="593" ht="15.75" customHeight="1">
      <c r="A593" s="17"/>
      <c r="B593" s="17"/>
      <c r="X593" s="18"/>
      <c r="Y593" s="18"/>
    </row>
    <row r="594" ht="15.75" customHeight="1">
      <c r="A594" s="17"/>
      <c r="B594" s="17"/>
      <c r="X594" s="18"/>
      <c r="Y594" s="18"/>
    </row>
    <row r="595" ht="15.75" customHeight="1">
      <c r="A595" s="17"/>
      <c r="B595" s="17"/>
      <c r="X595" s="18"/>
      <c r="Y595" s="18"/>
    </row>
    <row r="596" ht="15.75" customHeight="1">
      <c r="A596" s="17"/>
      <c r="B596" s="17"/>
      <c r="X596" s="18"/>
      <c r="Y596" s="18"/>
    </row>
    <row r="597" ht="15.75" customHeight="1">
      <c r="A597" s="17"/>
      <c r="B597" s="17"/>
      <c r="X597" s="18"/>
      <c r="Y597" s="18"/>
    </row>
    <row r="598" ht="15.75" customHeight="1">
      <c r="A598" s="17"/>
      <c r="B598" s="17"/>
      <c r="X598" s="18"/>
      <c r="Y598" s="18"/>
    </row>
    <row r="599" ht="15.75" customHeight="1">
      <c r="A599" s="17"/>
      <c r="B599" s="17"/>
      <c r="X599" s="18"/>
      <c r="Y599" s="18"/>
    </row>
    <row r="600" ht="15.75" customHeight="1">
      <c r="A600" s="17"/>
      <c r="B600" s="17"/>
      <c r="X600" s="18"/>
      <c r="Y600" s="18"/>
    </row>
    <row r="601" ht="15.75" customHeight="1">
      <c r="A601" s="17"/>
      <c r="B601" s="17"/>
      <c r="X601" s="18"/>
      <c r="Y601" s="18"/>
    </row>
    <row r="602" ht="15.75" customHeight="1">
      <c r="A602" s="17"/>
      <c r="B602" s="17"/>
      <c r="X602" s="18"/>
      <c r="Y602" s="18"/>
    </row>
    <row r="603" ht="15.75" customHeight="1">
      <c r="A603" s="17"/>
      <c r="B603" s="17"/>
      <c r="X603" s="18"/>
      <c r="Y603" s="18"/>
    </row>
    <row r="604" ht="15.75" customHeight="1">
      <c r="A604" s="17"/>
      <c r="B604" s="17"/>
      <c r="X604" s="18"/>
      <c r="Y604" s="18"/>
    </row>
    <row r="605" ht="15.75" customHeight="1">
      <c r="A605" s="17"/>
      <c r="B605" s="17"/>
      <c r="X605" s="18"/>
      <c r="Y605" s="18"/>
    </row>
    <row r="606" ht="15.75" customHeight="1">
      <c r="A606" s="17"/>
      <c r="B606" s="17"/>
      <c r="X606" s="18"/>
      <c r="Y606" s="18"/>
    </row>
    <row r="607" ht="15.75" customHeight="1">
      <c r="A607" s="17"/>
      <c r="B607" s="17"/>
      <c r="X607" s="18"/>
      <c r="Y607" s="18"/>
    </row>
    <row r="608" ht="15.75" customHeight="1">
      <c r="A608" s="17"/>
      <c r="B608" s="17"/>
      <c r="X608" s="18"/>
      <c r="Y608" s="18"/>
    </row>
    <row r="609" ht="15.75" customHeight="1">
      <c r="A609" s="17"/>
      <c r="B609" s="17"/>
      <c r="X609" s="18"/>
      <c r="Y609" s="18"/>
    </row>
    <row r="610" ht="15.75" customHeight="1">
      <c r="A610" s="17"/>
      <c r="B610" s="17"/>
      <c r="X610" s="18"/>
      <c r="Y610" s="18"/>
    </row>
    <row r="611" ht="15.75" customHeight="1">
      <c r="A611" s="17"/>
      <c r="B611" s="17"/>
      <c r="X611" s="18"/>
      <c r="Y611" s="18"/>
    </row>
    <row r="612" ht="15.75" customHeight="1">
      <c r="A612" s="17"/>
      <c r="B612" s="17"/>
      <c r="X612" s="18"/>
      <c r="Y612" s="18"/>
    </row>
    <row r="613" ht="15.75" customHeight="1">
      <c r="A613" s="17"/>
      <c r="B613" s="17"/>
      <c r="X613" s="18"/>
      <c r="Y613" s="18"/>
    </row>
    <row r="614" ht="15.75" customHeight="1">
      <c r="A614" s="17"/>
      <c r="B614" s="17"/>
      <c r="X614" s="18"/>
      <c r="Y614" s="18"/>
    </row>
    <row r="615" ht="15.75" customHeight="1">
      <c r="A615" s="17"/>
      <c r="B615" s="17"/>
      <c r="X615" s="18"/>
      <c r="Y615" s="18"/>
    </row>
    <row r="616" ht="15.75" customHeight="1">
      <c r="A616" s="17"/>
      <c r="B616" s="17"/>
      <c r="X616" s="18"/>
      <c r="Y616" s="18"/>
    </row>
    <row r="617" ht="15.75" customHeight="1">
      <c r="A617" s="17"/>
      <c r="B617" s="17"/>
      <c r="X617" s="18"/>
      <c r="Y617" s="18"/>
    </row>
    <row r="618" ht="15.75" customHeight="1">
      <c r="A618" s="17"/>
      <c r="B618" s="17"/>
      <c r="X618" s="18"/>
      <c r="Y618" s="18"/>
    </row>
    <row r="619" ht="15.75" customHeight="1">
      <c r="A619" s="17"/>
      <c r="B619" s="17"/>
      <c r="X619" s="18"/>
      <c r="Y619" s="18"/>
    </row>
    <row r="620" ht="15.75" customHeight="1">
      <c r="A620" s="17"/>
      <c r="B620" s="17"/>
      <c r="X620" s="18"/>
      <c r="Y620" s="18"/>
    </row>
    <row r="621" ht="15.75" customHeight="1">
      <c r="A621" s="17"/>
      <c r="B621" s="17"/>
      <c r="X621" s="18"/>
      <c r="Y621" s="18"/>
    </row>
    <row r="622" ht="15.75" customHeight="1">
      <c r="A622" s="17"/>
      <c r="B622" s="17"/>
      <c r="X622" s="18"/>
      <c r="Y622" s="18"/>
    </row>
    <row r="623" ht="15.75" customHeight="1">
      <c r="A623" s="17"/>
      <c r="B623" s="17"/>
      <c r="X623" s="18"/>
      <c r="Y623" s="18"/>
    </row>
    <row r="624" ht="15.75" customHeight="1">
      <c r="A624" s="17"/>
      <c r="B624" s="17"/>
      <c r="X624" s="18"/>
      <c r="Y624" s="18"/>
    </row>
    <row r="625" ht="15.75" customHeight="1">
      <c r="A625" s="17"/>
      <c r="B625" s="17"/>
      <c r="X625" s="18"/>
      <c r="Y625" s="18"/>
    </row>
    <row r="626" ht="15.75" customHeight="1">
      <c r="A626" s="17"/>
      <c r="B626" s="17"/>
      <c r="X626" s="18"/>
      <c r="Y626" s="18"/>
    </row>
    <row r="627" ht="15.75" customHeight="1">
      <c r="A627" s="17"/>
      <c r="B627" s="17"/>
      <c r="X627" s="18"/>
      <c r="Y627" s="18"/>
    </row>
    <row r="628" ht="15.75" customHeight="1">
      <c r="A628" s="17"/>
      <c r="B628" s="17"/>
      <c r="X628" s="18"/>
      <c r="Y628" s="18"/>
    </row>
    <row r="629" ht="15.75" customHeight="1">
      <c r="A629" s="17"/>
      <c r="B629" s="17"/>
      <c r="X629" s="18"/>
      <c r="Y629" s="18"/>
    </row>
    <row r="630" ht="15.75" customHeight="1">
      <c r="A630" s="17"/>
      <c r="B630" s="17"/>
      <c r="X630" s="18"/>
      <c r="Y630" s="18"/>
    </row>
    <row r="631" ht="15.75" customHeight="1">
      <c r="A631" s="17"/>
      <c r="B631" s="17"/>
      <c r="X631" s="18"/>
      <c r="Y631" s="18"/>
    </row>
    <row r="632" ht="15.75" customHeight="1">
      <c r="A632" s="17"/>
      <c r="B632" s="17"/>
      <c r="X632" s="18"/>
      <c r="Y632" s="18"/>
    </row>
    <row r="633" ht="15.75" customHeight="1">
      <c r="A633" s="17"/>
      <c r="B633" s="17"/>
      <c r="X633" s="18"/>
      <c r="Y633" s="18"/>
    </row>
    <row r="634" ht="15.75" customHeight="1">
      <c r="A634" s="17"/>
      <c r="B634" s="17"/>
      <c r="X634" s="18"/>
      <c r="Y634" s="18"/>
    </row>
    <row r="635" ht="15.75" customHeight="1">
      <c r="A635" s="17"/>
      <c r="B635" s="17"/>
      <c r="X635" s="18"/>
      <c r="Y635" s="18"/>
    </row>
    <row r="636" ht="15.75" customHeight="1">
      <c r="A636" s="17"/>
      <c r="B636" s="17"/>
      <c r="X636" s="18"/>
      <c r="Y636" s="18"/>
    </row>
    <row r="637" ht="15.75" customHeight="1">
      <c r="A637" s="17"/>
      <c r="B637" s="17"/>
      <c r="X637" s="18"/>
      <c r="Y637" s="18"/>
    </row>
    <row r="638" ht="15.75" customHeight="1">
      <c r="A638" s="17"/>
      <c r="B638" s="17"/>
      <c r="X638" s="18"/>
      <c r="Y638" s="18"/>
    </row>
    <row r="639" ht="15.75" customHeight="1">
      <c r="A639" s="17"/>
      <c r="B639" s="17"/>
      <c r="X639" s="18"/>
      <c r="Y639" s="18"/>
    </row>
    <row r="640" ht="15.75" customHeight="1">
      <c r="A640" s="17"/>
      <c r="B640" s="17"/>
      <c r="X640" s="18"/>
      <c r="Y640" s="18"/>
    </row>
    <row r="641" ht="15.75" customHeight="1">
      <c r="A641" s="17"/>
      <c r="B641" s="17"/>
      <c r="X641" s="18"/>
      <c r="Y641" s="18"/>
    </row>
    <row r="642" ht="15.75" customHeight="1">
      <c r="A642" s="17"/>
      <c r="B642" s="17"/>
      <c r="X642" s="18"/>
      <c r="Y642" s="18"/>
    </row>
    <row r="643" ht="15.75" customHeight="1">
      <c r="A643" s="17"/>
      <c r="B643" s="17"/>
      <c r="X643" s="18"/>
      <c r="Y643" s="18"/>
    </row>
    <row r="644" ht="15.75" customHeight="1">
      <c r="A644" s="17"/>
      <c r="B644" s="17"/>
      <c r="X644" s="18"/>
      <c r="Y644" s="18"/>
    </row>
    <row r="645" ht="15.75" customHeight="1">
      <c r="A645" s="17"/>
      <c r="B645" s="17"/>
      <c r="X645" s="18"/>
      <c r="Y645" s="18"/>
    </row>
    <row r="646" ht="15.75" customHeight="1">
      <c r="A646" s="17"/>
      <c r="B646" s="17"/>
      <c r="X646" s="18"/>
      <c r="Y646" s="18"/>
    </row>
    <row r="647" ht="15.75" customHeight="1">
      <c r="A647" s="17"/>
      <c r="B647" s="17"/>
      <c r="X647" s="18"/>
      <c r="Y647" s="18"/>
    </row>
    <row r="648" ht="15.75" customHeight="1">
      <c r="A648" s="17"/>
      <c r="B648" s="17"/>
      <c r="X648" s="18"/>
      <c r="Y648" s="18"/>
    </row>
    <row r="649" ht="15.75" customHeight="1">
      <c r="A649" s="17"/>
      <c r="B649" s="17"/>
      <c r="X649" s="18"/>
      <c r="Y649" s="18"/>
    </row>
    <row r="650" ht="15.75" customHeight="1">
      <c r="A650" s="17"/>
      <c r="B650" s="17"/>
      <c r="X650" s="18"/>
      <c r="Y650" s="18"/>
    </row>
    <row r="651" ht="15.75" customHeight="1">
      <c r="A651" s="17"/>
      <c r="B651" s="17"/>
      <c r="X651" s="18"/>
      <c r="Y651" s="18"/>
    </row>
    <row r="652" ht="15.75" customHeight="1">
      <c r="A652" s="17"/>
      <c r="B652" s="17"/>
      <c r="X652" s="18"/>
      <c r="Y652" s="18"/>
    </row>
    <row r="653" ht="15.75" customHeight="1">
      <c r="A653" s="17"/>
      <c r="B653" s="17"/>
      <c r="X653" s="18"/>
      <c r="Y653" s="18"/>
    </row>
    <row r="654" ht="15.75" customHeight="1">
      <c r="A654" s="17"/>
      <c r="B654" s="17"/>
      <c r="X654" s="18"/>
      <c r="Y654" s="18"/>
    </row>
    <row r="655" ht="15.75" customHeight="1">
      <c r="A655" s="17"/>
      <c r="B655" s="17"/>
      <c r="X655" s="18"/>
      <c r="Y655" s="18"/>
    </row>
    <row r="656" ht="15.75" customHeight="1">
      <c r="A656" s="17"/>
      <c r="B656" s="17"/>
      <c r="X656" s="18"/>
      <c r="Y656" s="18"/>
    </row>
    <row r="657" ht="15.75" customHeight="1">
      <c r="A657" s="17"/>
      <c r="B657" s="17"/>
      <c r="X657" s="18"/>
      <c r="Y657" s="18"/>
    </row>
    <row r="658" ht="15.75" customHeight="1">
      <c r="A658" s="17"/>
      <c r="B658" s="17"/>
      <c r="X658" s="18"/>
      <c r="Y658" s="18"/>
    </row>
    <row r="659" ht="15.75" customHeight="1">
      <c r="A659" s="17"/>
      <c r="B659" s="17"/>
      <c r="X659" s="18"/>
      <c r="Y659" s="18"/>
    </row>
    <row r="660" ht="15.75" customHeight="1">
      <c r="A660" s="17"/>
      <c r="B660" s="17"/>
      <c r="X660" s="18"/>
      <c r="Y660" s="18"/>
    </row>
    <row r="661" ht="15.75" customHeight="1">
      <c r="A661" s="17"/>
      <c r="B661" s="17"/>
      <c r="X661" s="18"/>
      <c r="Y661" s="18"/>
    </row>
    <row r="662" ht="15.75" customHeight="1">
      <c r="A662" s="17"/>
      <c r="B662" s="17"/>
      <c r="X662" s="18"/>
      <c r="Y662" s="18"/>
    </row>
    <row r="663" ht="15.75" customHeight="1">
      <c r="A663" s="17"/>
      <c r="B663" s="17"/>
      <c r="X663" s="18"/>
      <c r="Y663" s="18"/>
    </row>
    <row r="664" ht="15.75" customHeight="1">
      <c r="A664" s="17"/>
      <c r="B664" s="17"/>
      <c r="X664" s="18"/>
      <c r="Y664" s="18"/>
    </row>
    <row r="665" ht="15.75" customHeight="1">
      <c r="A665" s="17"/>
      <c r="B665" s="17"/>
      <c r="X665" s="18"/>
      <c r="Y665" s="18"/>
    </row>
    <row r="666" ht="15.75" customHeight="1">
      <c r="A666" s="17"/>
      <c r="B666" s="17"/>
      <c r="X666" s="18"/>
      <c r="Y666" s="18"/>
    </row>
    <row r="667" ht="15.75" customHeight="1">
      <c r="A667" s="17"/>
      <c r="B667" s="17"/>
      <c r="X667" s="18"/>
      <c r="Y667" s="18"/>
    </row>
    <row r="668" ht="15.75" customHeight="1">
      <c r="A668" s="17"/>
      <c r="B668" s="17"/>
      <c r="X668" s="18"/>
      <c r="Y668" s="18"/>
    </row>
    <row r="669" ht="15.75" customHeight="1">
      <c r="A669" s="17"/>
      <c r="B669" s="17"/>
      <c r="X669" s="18"/>
      <c r="Y669" s="18"/>
    </row>
    <row r="670" ht="15.75" customHeight="1">
      <c r="A670" s="17"/>
      <c r="B670" s="17"/>
      <c r="X670" s="18"/>
      <c r="Y670" s="18"/>
    </row>
    <row r="671" ht="15.75" customHeight="1">
      <c r="A671" s="17"/>
      <c r="B671" s="17"/>
      <c r="X671" s="18"/>
      <c r="Y671" s="18"/>
    </row>
    <row r="672" ht="15.75" customHeight="1">
      <c r="A672" s="17"/>
      <c r="B672" s="17"/>
      <c r="X672" s="18"/>
      <c r="Y672" s="18"/>
    </row>
    <row r="673" ht="15.75" customHeight="1">
      <c r="A673" s="17"/>
      <c r="B673" s="17"/>
      <c r="X673" s="18"/>
      <c r="Y673" s="18"/>
    </row>
    <row r="674" ht="15.75" customHeight="1">
      <c r="A674" s="17"/>
      <c r="B674" s="17"/>
      <c r="X674" s="18"/>
      <c r="Y674" s="18"/>
    </row>
    <row r="675" ht="15.75" customHeight="1">
      <c r="A675" s="17"/>
      <c r="B675" s="17"/>
      <c r="X675" s="18"/>
      <c r="Y675" s="18"/>
    </row>
    <row r="676" ht="15.75" customHeight="1">
      <c r="A676" s="17"/>
      <c r="B676" s="17"/>
      <c r="X676" s="18"/>
      <c r="Y676" s="18"/>
    </row>
    <row r="677" ht="15.75" customHeight="1">
      <c r="A677" s="17"/>
      <c r="B677" s="17"/>
      <c r="X677" s="18"/>
      <c r="Y677" s="18"/>
    </row>
    <row r="678" ht="15.75" customHeight="1">
      <c r="A678" s="17"/>
      <c r="B678" s="17"/>
      <c r="X678" s="18"/>
      <c r="Y678" s="18"/>
    </row>
    <row r="679" ht="15.75" customHeight="1">
      <c r="A679" s="17"/>
      <c r="B679" s="17"/>
      <c r="X679" s="18"/>
      <c r="Y679" s="18"/>
    </row>
    <row r="680" ht="15.75" customHeight="1">
      <c r="A680" s="17"/>
      <c r="B680" s="17"/>
      <c r="X680" s="18"/>
      <c r="Y680" s="18"/>
    </row>
    <row r="681" ht="15.75" customHeight="1">
      <c r="A681" s="17"/>
      <c r="B681" s="17"/>
      <c r="X681" s="18"/>
      <c r="Y681" s="18"/>
    </row>
    <row r="682" ht="15.75" customHeight="1">
      <c r="A682" s="17"/>
      <c r="B682" s="17"/>
      <c r="X682" s="18"/>
      <c r="Y682" s="18"/>
    </row>
    <row r="683" ht="15.75" customHeight="1">
      <c r="A683" s="17"/>
      <c r="B683" s="17"/>
      <c r="X683" s="18"/>
      <c r="Y683" s="18"/>
    </row>
    <row r="684" ht="15.75" customHeight="1">
      <c r="A684" s="17"/>
      <c r="B684" s="17"/>
      <c r="X684" s="18"/>
      <c r="Y684" s="18"/>
    </row>
    <row r="685" ht="15.75" customHeight="1">
      <c r="A685" s="17"/>
      <c r="B685" s="17"/>
      <c r="X685" s="18"/>
      <c r="Y685" s="18"/>
    </row>
    <row r="686" ht="15.75" customHeight="1">
      <c r="A686" s="17"/>
      <c r="B686" s="17"/>
      <c r="X686" s="18"/>
      <c r="Y686" s="18"/>
    </row>
    <row r="687" ht="15.75" customHeight="1">
      <c r="A687" s="17"/>
      <c r="B687" s="17"/>
      <c r="X687" s="18"/>
      <c r="Y687" s="18"/>
    </row>
    <row r="688" ht="15.75" customHeight="1">
      <c r="A688" s="17"/>
      <c r="B688" s="17"/>
      <c r="X688" s="18"/>
      <c r="Y688" s="18"/>
    </row>
    <row r="689" ht="15.75" customHeight="1">
      <c r="A689" s="17"/>
      <c r="B689" s="17"/>
      <c r="X689" s="18"/>
      <c r="Y689" s="18"/>
    </row>
    <row r="690" ht="15.75" customHeight="1">
      <c r="A690" s="17"/>
      <c r="B690" s="17"/>
      <c r="X690" s="18"/>
      <c r="Y690" s="18"/>
    </row>
    <row r="691" ht="15.75" customHeight="1">
      <c r="A691" s="17"/>
      <c r="B691" s="17"/>
      <c r="X691" s="18"/>
      <c r="Y691" s="18"/>
    </row>
    <row r="692" ht="15.75" customHeight="1">
      <c r="A692" s="17"/>
      <c r="B692" s="17"/>
      <c r="X692" s="18"/>
      <c r="Y692" s="18"/>
    </row>
    <row r="693" ht="15.75" customHeight="1">
      <c r="A693" s="17"/>
      <c r="B693" s="17"/>
      <c r="X693" s="18"/>
      <c r="Y693" s="18"/>
    </row>
    <row r="694" ht="15.75" customHeight="1">
      <c r="A694" s="17"/>
      <c r="B694" s="17"/>
      <c r="X694" s="18"/>
      <c r="Y694" s="18"/>
    </row>
    <row r="695" ht="15.75" customHeight="1">
      <c r="A695" s="17"/>
      <c r="B695" s="17"/>
      <c r="X695" s="18"/>
      <c r="Y695" s="18"/>
    </row>
    <row r="696" ht="15.75" customHeight="1">
      <c r="A696" s="17"/>
      <c r="B696" s="17"/>
      <c r="X696" s="18"/>
      <c r="Y696" s="18"/>
    </row>
    <row r="697" ht="15.75" customHeight="1">
      <c r="A697" s="17"/>
      <c r="B697" s="17"/>
      <c r="X697" s="18"/>
      <c r="Y697" s="18"/>
    </row>
    <row r="698" ht="15.75" customHeight="1">
      <c r="A698" s="17"/>
      <c r="B698" s="17"/>
      <c r="X698" s="18"/>
      <c r="Y698" s="18"/>
    </row>
    <row r="699" ht="15.75" customHeight="1">
      <c r="A699" s="17"/>
      <c r="B699" s="17"/>
      <c r="X699" s="18"/>
      <c r="Y699" s="18"/>
    </row>
    <row r="700" ht="15.75" customHeight="1">
      <c r="A700" s="17"/>
      <c r="B700" s="17"/>
      <c r="X700" s="18"/>
      <c r="Y700" s="18"/>
    </row>
    <row r="701" ht="15.75" customHeight="1">
      <c r="A701" s="17"/>
      <c r="B701" s="17"/>
      <c r="X701" s="18"/>
      <c r="Y701" s="18"/>
    </row>
    <row r="702" ht="15.75" customHeight="1">
      <c r="A702" s="17"/>
      <c r="B702" s="17"/>
      <c r="X702" s="18"/>
      <c r="Y702" s="18"/>
    </row>
    <row r="703" ht="15.75" customHeight="1">
      <c r="A703" s="17"/>
      <c r="B703" s="17"/>
      <c r="X703" s="18"/>
      <c r="Y703" s="18"/>
    </row>
    <row r="704" ht="15.75" customHeight="1">
      <c r="A704" s="17"/>
      <c r="B704" s="17"/>
      <c r="X704" s="18"/>
      <c r="Y704" s="18"/>
    </row>
    <row r="705" ht="15.75" customHeight="1">
      <c r="A705" s="17"/>
      <c r="B705" s="17"/>
      <c r="X705" s="18"/>
      <c r="Y705" s="18"/>
    </row>
    <row r="706" ht="15.75" customHeight="1">
      <c r="A706" s="17"/>
      <c r="B706" s="17"/>
      <c r="X706" s="18"/>
      <c r="Y706" s="18"/>
    </row>
    <row r="707" ht="15.75" customHeight="1">
      <c r="A707" s="17"/>
      <c r="B707" s="17"/>
      <c r="X707" s="18"/>
      <c r="Y707" s="18"/>
    </row>
    <row r="708" ht="15.75" customHeight="1">
      <c r="A708" s="17"/>
      <c r="B708" s="17"/>
      <c r="X708" s="18"/>
      <c r="Y708" s="18"/>
    </row>
    <row r="709" ht="15.75" customHeight="1">
      <c r="A709" s="17"/>
      <c r="B709" s="17"/>
      <c r="X709" s="18"/>
      <c r="Y709" s="18"/>
    </row>
    <row r="710" ht="15.75" customHeight="1">
      <c r="A710" s="17"/>
      <c r="B710" s="17"/>
      <c r="X710" s="18"/>
      <c r="Y710" s="18"/>
    </row>
    <row r="711" ht="15.75" customHeight="1">
      <c r="A711" s="17"/>
      <c r="B711" s="17"/>
      <c r="X711" s="18"/>
      <c r="Y711" s="18"/>
    </row>
    <row r="712" ht="15.75" customHeight="1">
      <c r="A712" s="17"/>
      <c r="B712" s="17"/>
      <c r="X712" s="18"/>
      <c r="Y712" s="18"/>
    </row>
    <row r="713" ht="15.75" customHeight="1">
      <c r="A713" s="17"/>
      <c r="B713" s="17"/>
      <c r="X713" s="18"/>
      <c r="Y713" s="18"/>
    </row>
    <row r="714" ht="15.75" customHeight="1">
      <c r="A714" s="17"/>
      <c r="B714" s="17"/>
      <c r="X714" s="18"/>
      <c r="Y714" s="18"/>
    </row>
    <row r="715" ht="15.75" customHeight="1">
      <c r="A715" s="17"/>
      <c r="B715" s="17"/>
      <c r="X715" s="18"/>
      <c r="Y715" s="18"/>
    </row>
    <row r="716" ht="15.75" customHeight="1">
      <c r="A716" s="17"/>
      <c r="B716" s="17"/>
      <c r="X716" s="18"/>
      <c r="Y716" s="18"/>
    </row>
    <row r="717" ht="15.75" customHeight="1">
      <c r="A717" s="17"/>
      <c r="B717" s="17"/>
      <c r="X717" s="18"/>
      <c r="Y717" s="18"/>
    </row>
    <row r="718" ht="15.75" customHeight="1">
      <c r="A718" s="17"/>
      <c r="B718" s="17"/>
      <c r="X718" s="18"/>
      <c r="Y718" s="18"/>
    </row>
    <row r="719" ht="15.75" customHeight="1">
      <c r="A719" s="17"/>
      <c r="B719" s="17"/>
      <c r="X719" s="18"/>
      <c r="Y719" s="18"/>
    </row>
    <row r="720" ht="15.75" customHeight="1">
      <c r="A720" s="17"/>
      <c r="B720" s="17"/>
      <c r="X720" s="18"/>
      <c r="Y720" s="18"/>
    </row>
    <row r="721" ht="15.75" customHeight="1">
      <c r="A721" s="17"/>
      <c r="B721" s="17"/>
      <c r="X721" s="18"/>
      <c r="Y721" s="18"/>
    </row>
    <row r="722" ht="15.75" customHeight="1">
      <c r="A722" s="17"/>
      <c r="B722" s="17"/>
      <c r="X722" s="18"/>
      <c r="Y722" s="18"/>
    </row>
    <row r="723" ht="15.75" customHeight="1">
      <c r="A723" s="17"/>
      <c r="B723" s="17"/>
      <c r="X723" s="18"/>
      <c r="Y723" s="18"/>
    </row>
    <row r="724" ht="15.75" customHeight="1">
      <c r="A724" s="17"/>
      <c r="B724" s="17"/>
      <c r="X724" s="18"/>
      <c r="Y724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.57"/>
    <col customWidth="1" min="4" max="4" width="17.71"/>
  </cols>
  <sheetData>
    <row r="1">
      <c r="A1" s="2" t="s">
        <v>33</v>
      </c>
      <c r="B1" s="19" t="s">
        <v>34</v>
      </c>
      <c r="C1" s="19" t="s">
        <v>35</v>
      </c>
      <c r="D1" s="20" t="s">
        <v>36</v>
      </c>
      <c r="E1" s="19" t="s">
        <v>37</v>
      </c>
    </row>
    <row r="2">
      <c r="A2" s="1" t="s">
        <v>38</v>
      </c>
      <c r="B2" s="21" t="str">
        <f>IFERROR(__xludf.DUMMYFUNCTION("SPLIT(A2,""_"")"),"fwd")</f>
        <v>fwd</v>
      </c>
      <c r="C2" s="21" t="str">
        <f>IFERROR(__xludf.DUMMYFUNCTION("""COMPUTED_VALUE"""),"a")</f>
        <v>a</v>
      </c>
      <c r="D2" s="12" t="str">
        <f>IFERROR(__xludf.DUMMYFUNCTION("""COMPUTED_VALUE"""),"fixed")</f>
        <v>fixed</v>
      </c>
      <c r="E2" s="21">
        <v>29.5</v>
      </c>
    </row>
    <row r="3">
      <c r="A3" s="1" t="s">
        <v>39</v>
      </c>
      <c r="B3" s="21" t="str">
        <f>IFERROR(__xludf.DUMMYFUNCTION("SPLIT(A3,""_"")"),"fwd")</f>
        <v>fwd</v>
      </c>
      <c r="C3" s="21" t="str">
        <f>IFERROR(__xludf.DUMMYFUNCTION("""COMPUTED_VALUE"""),"a")</f>
        <v>a</v>
      </c>
      <c r="D3" s="12" t="str">
        <f>IFERROR(__xludf.DUMMYFUNCTION("""COMPUTED_VALUE"""),"additional")</f>
        <v>additional</v>
      </c>
      <c r="E3" s="21">
        <v>23.6</v>
      </c>
    </row>
    <row r="4">
      <c r="A4" s="1" t="s">
        <v>40</v>
      </c>
      <c r="B4" s="21" t="str">
        <f>IFERROR(__xludf.DUMMYFUNCTION("SPLIT(A4,""_"")"),"fwd")</f>
        <v>fwd</v>
      </c>
      <c r="C4" s="21" t="str">
        <f>IFERROR(__xludf.DUMMYFUNCTION("""COMPUTED_VALUE"""),"b")</f>
        <v>b</v>
      </c>
      <c r="D4" s="12" t="str">
        <f>IFERROR(__xludf.DUMMYFUNCTION("""COMPUTED_VALUE"""),"fixed")</f>
        <v>fixed</v>
      </c>
      <c r="E4" s="21">
        <v>33.0</v>
      </c>
    </row>
    <row r="5">
      <c r="A5" s="1" t="s">
        <v>41</v>
      </c>
      <c r="B5" s="21" t="str">
        <f>IFERROR(__xludf.DUMMYFUNCTION("SPLIT(A5,""_"")"),"fwd")</f>
        <v>fwd</v>
      </c>
      <c r="C5" s="21" t="str">
        <f>IFERROR(__xludf.DUMMYFUNCTION("""COMPUTED_VALUE"""),"b")</f>
        <v>b</v>
      </c>
      <c r="D5" s="12" t="str">
        <f>IFERROR(__xludf.DUMMYFUNCTION("""COMPUTED_VALUE"""),"additional")</f>
        <v>additional</v>
      </c>
      <c r="E5" s="21">
        <v>28.3</v>
      </c>
    </row>
    <row r="6">
      <c r="A6" s="1" t="s">
        <v>42</v>
      </c>
      <c r="B6" s="21" t="str">
        <f>IFERROR(__xludf.DUMMYFUNCTION("SPLIT(A6,""_"")"),"fwd")</f>
        <v>fwd</v>
      </c>
      <c r="C6" s="21" t="str">
        <f>IFERROR(__xludf.DUMMYFUNCTION("""COMPUTED_VALUE"""),"c")</f>
        <v>c</v>
      </c>
      <c r="D6" s="12" t="str">
        <f>IFERROR(__xludf.DUMMYFUNCTION("""COMPUTED_VALUE"""),"fixed")</f>
        <v>fixed</v>
      </c>
      <c r="E6" s="21">
        <v>40.1</v>
      </c>
    </row>
    <row r="7">
      <c r="A7" s="1" t="s">
        <v>43</v>
      </c>
      <c r="B7" s="21" t="str">
        <f>IFERROR(__xludf.DUMMYFUNCTION("SPLIT(A7,""_"")"),"fwd")</f>
        <v>fwd</v>
      </c>
      <c r="C7" s="21" t="str">
        <f>IFERROR(__xludf.DUMMYFUNCTION("""COMPUTED_VALUE"""),"c")</f>
        <v>c</v>
      </c>
      <c r="D7" s="12" t="str">
        <f>IFERROR(__xludf.DUMMYFUNCTION("""COMPUTED_VALUE"""),"additional")</f>
        <v>additional</v>
      </c>
      <c r="E7" s="21">
        <v>38.9</v>
      </c>
    </row>
    <row r="8">
      <c r="A8" s="1" t="s">
        <v>44</v>
      </c>
      <c r="B8" s="21" t="str">
        <f>IFERROR(__xludf.DUMMYFUNCTION("SPLIT(A8,""_"")"),"fwd")</f>
        <v>fwd</v>
      </c>
      <c r="C8" s="21" t="str">
        <f>IFERROR(__xludf.DUMMYFUNCTION("""COMPUTED_VALUE"""),"d")</f>
        <v>d</v>
      </c>
      <c r="D8" s="12" t="str">
        <f>IFERROR(__xludf.DUMMYFUNCTION("""COMPUTED_VALUE"""),"fixed")</f>
        <v>fixed</v>
      </c>
      <c r="E8" s="21">
        <v>45.4</v>
      </c>
    </row>
    <row r="9">
      <c r="A9" s="1" t="s">
        <v>45</v>
      </c>
      <c r="B9" s="21" t="str">
        <f>IFERROR(__xludf.DUMMYFUNCTION("SPLIT(A9,""_"")"),"fwd")</f>
        <v>fwd</v>
      </c>
      <c r="C9" s="21" t="str">
        <f>IFERROR(__xludf.DUMMYFUNCTION("""COMPUTED_VALUE"""),"d")</f>
        <v>d</v>
      </c>
      <c r="D9" s="12" t="str">
        <f>IFERROR(__xludf.DUMMYFUNCTION("""COMPUTED_VALUE"""),"additional")</f>
        <v>additional</v>
      </c>
      <c r="E9" s="21">
        <v>44.8</v>
      </c>
    </row>
    <row r="10">
      <c r="A10" s="1" t="s">
        <v>46</v>
      </c>
      <c r="B10" s="21" t="str">
        <f>IFERROR(__xludf.DUMMYFUNCTION("SPLIT(A10,""_"")"),"fwd")</f>
        <v>fwd</v>
      </c>
      <c r="C10" s="21" t="str">
        <f>IFERROR(__xludf.DUMMYFUNCTION("""COMPUTED_VALUE"""),"e")</f>
        <v>e</v>
      </c>
      <c r="D10" s="12" t="str">
        <f>IFERROR(__xludf.DUMMYFUNCTION("""COMPUTED_VALUE"""),"fixed")</f>
        <v>fixed</v>
      </c>
      <c r="E10" s="21">
        <v>56.6</v>
      </c>
    </row>
    <row r="11">
      <c r="A11" s="1" t="s">
        <v>47</v>
      </c>
      <c r="B11" s="21" t="str">
        <f>IFERROR(__xludf.DUMMYFUNCTION("SPLIT(A11,""_"")"),"fwd")</f>
        <v>fwd</v>
      </c>
      <c r="C11" s="21" t="str">
        <f>IFERROR(__xludf.DUMMYFUNCTION("""COMPUTED_VALUE"""),"e")</f>
        <v>e</v>
      </c>
      <c r="D11" s="12" t="str">
        <f>IFERROR(__xludf.DUMMYFUNCTION("""COMPUTED_VALUE"""),"additional")</f>
        <v>additional</v>
      </c>
      <c r="E11" s="21">
        <v>55.5</v>
      </c>
    </row>
    <row r="12">
      <c r="A12" s="1" t="s">
        <v>48</v>
      </c>
      <c r="B12" s="21" t="str">
        <f>IFERROR(__xludf.DUMMYFUNCTION("SPLIT(A12,""_"")"),"rto")</f>
        <v>rto</v>
      </c>
      <c r="C12" s="21" t="str">
        <f>IFERROR(__xludf.DUMMYFUNCTION("""COMPUTED_VALUE"""),"a")</f>
        <v>a</v>
      </c>
      <c r="D12" s="12" t="str">
        <f>IFERROR(__xludf.DUMMYFUNCTION("""COMPUTED_VALUE"""),"fixed")</f>
        <v>fixed</v>
      </c>
      <c r="E12" s="21">
        <v>13.6</v>
      </c>
    </row>
    <row r="13">
      <c r="A13" s="1" t="s">
        <v>49</v>
      </c>
      <c r="B13" s="21" t="str">
        <f>IFERROR(__xludf.DUMMYFUNCTION("SPLIT(A13,""_"")"),"rto")</f>
        <v>rto</v>
      </c>
      <c r="C13" s="21" t="str">
        <f>IFERROR(__xludf.DUMMYFUNCTION("""COMPUTED_VALUE"""),"a")</f>
        <v>a</v>
      </c>
      <c r="D13" s="12" t="str">
        <f>IFERROR(__xludf.DUMMYFUNCTION("""COMPUTED_VALUE"""),"additional")</f>
        <v>additional</v>
      </c>
      <c r="E13" s="21">
        <v>23.6</v>
      </c>
    </row>
    <row r="14">
      <c r="A14" s="1" t="s">
        <v>50</v>
      </c>
      <c r="B14" s="21" t="str">
        <f>IFERROR(__xludf.DUMMYFUNCTION("SPLIT(A14,""_"")"),"rto")</f>
        <v>rto</v>
      </c>
      <c r="C14" s="21" t="str">
        <f>IFERROR(__xludf.DUMMYFUNCTION("""COMPUTED_VALUE"""),"b")</f>
        <v>b</v>
      </c>
      <c r="D14" s="12" t="str">
        <f>IFERROR(__xludf.DUMMYFUNCTION("""COMPUTED_VALUE"""),"fixed")</f>
        <v>fixed</v>
      </c>
      <c r="E14" s="21">
        <v>20.5</v>
      </c>
    </row>
    <row r="15">
      <c r="A15" s="1" t="s">
        <v>51</v>
      </c>
      <c r="B15" s="21" t="str">
        <f>IFERROR(__xludf.DUMMYFUNCTION("SPLIT(A15,""_"")"),"rto")</f>
        <v>rto</v>
      </c>
      <c r="C15" s="21" t="str">
        <f>IFERROR(__xludf.DUMMYFUNCTION("""COMPUTED_VALUE"""),"b")</f>
        <v>b</v>
      </c>
      <c r="D15" s="12" t="str">
        <f>IFERROR(__xludf.DUMMYFUNCTION("""COMPUTED_VALUE"""),"additional")</f>
        <v>additional</v>
      </c>
      <c r="E15" s="21">
        <v>28.3</v>
      </c>
    </row>
    <row r="16">
      <c r="A16" s="1" t="s">
        <v>52</v>
      </c>
      <c r="B16" s="21" t="str">
        <f>IFERROR(__xludf.DUMMYFUNCTION("SPLIT(A16,""_"")"),"rto")</f>
        <v>rto</v>
      </c>
      <c r="C16" s="21" t="str">
        <f>IFERROR(__xludf.DUMMYFUNCTION("""COMPUTED_VALUE"""),"c")</f>
        <v>c</v>
      </c>
      <c r="D16" s="12" t="str">
        <f>IFERROR(__xludf.DUMMYFUNCTION("""COMPUTED_VALUE"""),"fixed")</f>
        <v>fixed</v>
      </c>
      <c r="E16" s="21">
        <v>31.9</v>
      </c>
    </row>
    <row r="17">
      <c r="A17" s="1" t="s">
        <v>53</v>
      </c>
      <c r="B17" s="21" t="str">
        <f>IFERROR(__xludf.DUMMYFUNCTION("SPLIT(A17,""_"")"),"rto")</f>
        <v>rto</v>
      </c>
      <c r="C17" s="21" t="str">
        <f>IFERROR(__xludf.DUMMYFUNCTION("""COMPUTED_VALUE"""),"c")</f>
        <v>c</v>
      </c>
      <c r="D17" s="12" t="str">
        <f>IFERROR(__xludf.DUMMYFUNCTION("""COMPUTED_VALUE"""),"additional")</f>
        <v>additional</v>
      </c>
      <c r="E17" s="21">
        <v>38.9</v>
      </c>
    </row>
    <row r="18">
      <c r="A18" s="1" t="s">
        <v>54</v>
      </c>
      <c r="B18" s="21" t="str">
        <f>IFERROR(__xludf.DUMMYFUNCTION("SPLIT(A18,""_"")"),"rto")</f>
        <v>rto</v>
      </c>
      <c r="C18" s="21" t="str">
        <f>IFERROR(__xludf.DUMMYFUNCTION("""COMPUTED_VALUE"""),"d")</f>
        <v>d</v>
      </c>
      <c r="D18" s="12" t="str">
        <f>IFERROR(__xludf.DUMMYFUNCTION("""COMPUTED_VALUE"""),"fixed")</f>
        <v>fixed</v>
      </c>
      <c r="E18" s="21">
        <v>41.3</v>
      </c>
    </row>
    <row r="19">
      <c r="A19" s="1" t="s">
        <v>55</v>
      </c>
      <c r="B19" s="21" t="str">
        <f>IFERROR(__xludf.DUMMYFUNCTION("SPLIT(A19,""_"")"),"rto")</f>
        <v>rto</v>
      </c>
      <c r="C19" s="21" t="str">
        <f>IFERROR(__xludf.DUMMYFUNCTION("""COMPUTED_VALUE"""),"d")</f>
        <v>d</v>
      </c>
      <c r="D19" s="12" t="str">
        <f>IFERROR(__xludf.DUMMYFUNCTION("""COMPUTED_VALUE"""),"additional")</f>
        <v>additional</v>
      </c>
      <c r="E19" s="21">
        <v>44.8</v>
      </c>
    </row>
    <row r="20">
      <c r="A20" s="1" t="s">
        <v>56</v>
      </c>
      <c r="B20" s="21" t="str">
        <f>IFERROR(__xludf.DUMMYFUNCTION("SPLIT(A20,""_"")"),"rto")</f>
        <v>rto</v>
      </c>
      <c r="C20" s="21" t="str">
        <f>IFERROR(__xludf.DUMMYFUNCTION("""COMPUTED_VALUE"""),"e")</f>
        <v>e</v>
      </c>
      <c r="D20" s="12" t="str">
        <f>IFERROR(__xludf.DUMMYFUNCTION("""COMPUTED_VALUE"""),"fixed")</f>
        <v>fixed</v>
      </c>
      <c r="E20" s="21">
        <v>50.7</v>
      </c>
    </row>
    <row r="21">
      <c r="A21" s="1" t="s">
        <v>57</v>
      </c>
      <c r="B21" s="21" t="str">
        <f>IFERROR(__xludf.DUMMYFUNCTION("SPLIT(A21,""_"")"),"rto")</f>
        <v>rto</v>
      </c>
      <c r="C21" s="21" t="str">
        <f>IFERROR(__xludf.DUMMYFUNCTION("""COMPUTED_VALUE"""),"e")</f>
        <v>e</v>
      </c>
      <c r="D21" s="12" t="str">
        <f>IFERROR(__xludf.DUMMYFUNCTION("""COMPUTED_VALUE"""),"additional")</f>
        <v>additional</v>
      </c>
      <c r="E21" s="21">
        <v>55.5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9.71"/>
    <col customWidth="1" min="4" max="4" width="17.14"/>
    <col customWidth="1" min="5" max="5" width="34.14"/>
    <col customWidth="1" min="6" max="26" width="8.71"/>
  </cols>
  <sheetData>
    <row r="1">
      <c r="A1" s="1" t="s">
        <v>58</v>
      </c>
      <c r="B1" s="22" t="s">
        <v>59</v>
      </c>
      <c r="C1" s="1" t="s">
        <v>60</v>
      </c>
      <c r="D1" s="20" t="s">
        <v>61</v>
      </c>
      <c r="E1" s="20" t="s">
        <v>62</v>
      </c>
    </row>
    <row r="2">
      <c r="A2" s="1" t="s">
        <v>63</v>
      </c>
      <c r="B2" s="22" t="s">
        <v>64</v>
      </c>
      <c r="C2" s="1" t="s">
        <v>65</v>
      </c>
      <c r="D2" s="12">
        <f t="array" ref="D2">INDEX(SKUMaster!B:B,MATCH(B2,SKUMaster!A:A,0))</f>
        <v>127</v>
      </c>
      <c r="E2" s="13">
        <f t="shared" ref="E2:E401" si="1">C2*D2</f>
        <v>127</v>
      </c>
    </row>
    <row r="3">
      <c r="A3" s="1" t="s">
        <v>63</v>
      </c>
      <c r="B3" s="22" t="s">
        <v>66</v>
      </c>
      <c r="C3" s="1" t="s">
        <v>65</v>
      </c>
      <c r="D3" s="12">
        <f t="array" ref="D3">INDEX(SKUMaster!B:B,MATCH(B3,SKUMaster!A:A,0))</f>
        <v>150</v>
      </c>
      <c r="E3" s="13">
        <f t="shared" si="1"/>
        <v>150</v>
      </c>
    </row>
    <row r="4">
      <c r="A4" s="1" t="s">
        <v>63</v>
      </c>
      <c r="B4" s="22" t="s">
        <v>67</v>
      </c>
      <c r="C4" s="1" t="s">
        <v>65</v>
      </c>
      <c r="D4" s="12">
        <f t="array" ref="D4">INDEX(SKUMaster!B:B,MATCH(B4,SKUMaster!A:A,0))</f>
        <v>100</v>
      </c>
      <c r="E4" s="13">
        <f t="shared" si="1"/>
        <v>100</v>
      </c>
    </row>
    <row r="5">
      <c r="A5" s="1" t="s">
        <v>63</v>
      </c>
      <c r="B5" s="22" t="s">
        <v>68</v>
      </c>
      <c r="C5" s="1" t="s">
        <v>65</v>
      </c>
      <c r="D5" s="12">
        <f t="array" ref="D5">INDEX(SKUMaster!B:B,MATCH(B5,SKUMaster!A:A,0))</f>
        <v>165</v>
      </c>
      <c r="E5" s="13">
        <f t="shared" si="1"/>
        <v>165</v>
      </c>
    </row>
    <row r="6">
      <c r="A6" s="1" t="s">
        <v>63</v>
      </c>
      <c r="B6" s="22" t="s">
        <v>69</v>
      </c>
      <c r="C6" s="1" t="s">
        <v>65</v>
      </c>
      <c r="D6" s="12">
        <f t="array" ref="D6">INDEX(SKUMaster!B:B,MATCH(B6,SKUMaster!A:A,0))</f>
        <v>350</v>
      </c>
      <c r="E6" s="13">
        <f t="shared" si="1"/>
        <v>350</v>
      </c>
    </row>
    <row r="7">
      <c r="A7" s="1" t="s">
        <v>63</v>
      </c>
      <c r="B7" s="22" t="s">
        <v>70</v>
      </c>
      <c r="C7" s="1" t="s">
        <v>65</v>
      </c>
      <c r="D7" s="12">
        <f t="array" ref="D7">INDEX(SKUMaster!B:B,MATCH(B7,SKUMaster!A:A,0))</f>
        <v>500</v>
      </c>
      <c r="E7" s="13">
        <f t="shared" si="1"/>
        <v>500</v>
      </c>
    </row>
    <row r="8">
      <c r="A8" s="1" t="s">
        <v>63</v>
      </c>
      <c r="B8" s="22" t="s">
        <v>71</v>
      </c>
      <c r="C8" s="1" t="s">
        <v>72</v>
      </c>
      <c r="D8" s="12">
        <f t="array" ref="D8">INDEX(SKUMaster!B:B,MATCH(B8,SKUMaster!A:A,0))</f>
        <v>137</v>
      </c>
      <c r="E8" s="13">
        <f t="shared" si="1"/>
        <v>274</v>
      </c>
    </row>
    <row r="9">
      <c r="A9" s="1" t="s">
        <v>63</v>
      </c>
      <c r="B9" s="22" t="s">
        <v>73</v>
      </c>
      <c r="C9" s="1" t="s">
        <v>65</v>
      </c>
      <c r="D9" s="12">
        <f t="array" ref="D9">INDEX(SKUMaster!B:B,MATCH(B9,SKUMaster!A:A,0))</f>
        <v>10</v>
      </c>
      <c r="E9" s="13">
        <f t="shared" si="1"/>
        <v>10</v>
      </c>
    </row>
    <row r="10">
      <c r="A10" s="1" t="s">
        <v>74</v>
      </c>
      <c r="B10" s="22" t="s">
        <v>75</v>
      </c>
      <c r="C10" s="1" t="s">
        <v>76</v>
      </c>
      <c r="D10" s="12">
        <f t="array" ref="D10">INDEX(SKUMaster!B:B,MATCH(B10,SKUMaster!A:A,0))</f>
        <v>112</v>
      </c>
      <c r="E10" s="13">
        <f t="shared" si="1"/>
        <v>448</v>
      </c>
    </row>
    <row r="11">
      <c r="A11" s="1" t="s">
        <v>74</v>
      </c>
      <c r="B11" s="22" t="s">
        <v>77</v>
      </c>
      <c r="C11" s="1" t="s">
        <v>76</v>
      </c>
      <c r="D11" s="12">
        <f t="array" ref="D11">INDEX(SKUMaster!B:B,MATCH(B11,SKUMaster!A:A,0))</f>
        <v>112</v>
      </c>
      <c r="E11" s="13">
        <f t="shared" si="1"/>
        <v>448</v>
      </c>
    </row>
    <row r="12">
      <c r="A12" s="1" t="s">
        <v>74</v>
      </c>
      <c r="B12" s="22" t="s">
        <v>71</v>
      </c>
      <c r="C12" s="1" t="s">
        <v>78</v>
      </c>
      <c r="D12" s="12">
        <f t="array" ref="D12">INDEX(SKUMaster!B:B,MATCH(B12,SKUMaster!A:A,0))</f>
        <v>137</v>
      </c>
      <c r="E12" s="13">
        <f t="shared" si="1"/>
        <v>411</v>
      </c>
    </row>
    <row r="13">
      <c r="A13" s="1" t="s">
        <v>74</v>
      </c>
      <c r="B13" s="22" t="s">
        <v>79</v>
      </c>
      <c r="C13" s="1" t="s">
        <v>65</v>
      </c>
      <c r="D13" s="12">
        <f t="array" ref="D13">INDEX(SKUMaster!B:B,MATCH(B13,SKUMaster!A:A,0))</f>
        <v>240</v>
      </c>
      <c r="E13" s="13">
        <f t="shared" si="1"/>
        <v>240</v>
      </c>
    </row>
    <row r="14">
      <c r="A14" s="1" t="s">
        <v>74</v>
      </c>
      <c r="B14" s="22" t="s">
        <v>73</v>
      </c>
      <c r="C14" s="1" t="s">
        <v>65</v>
      </c>
      <c r="D14" s="12">
        <f t="array" ref="D14">INDEX(SKUMaster!B:B,MATCH(B14,SKUMaster!A:A,0))</f>
        <v>10</v>
      </c>
      <c r="E14" s="13">
        <f t="shared" si="1"/>
        <v>10</v>
      </c>
    </row>
    <row r="15">
      <c r="A15" s="1" t="s">
        <v>80</v>
      </c>
      <c r="B15" s="22" t="s">
        <v>77</v>
      </c>
      <c r="C15" s="1" t="s">
        <v>72</v>
      </c>
      <c r="D15" s="12">
        <f t="array" ref="D15">INDEX(SKUMaster!B:B,MATCH(B15,SKUMaster!A:A,0))</f>
        <v>112</v>
      </c>
      <c r="E15" s="13">
        <f t="shared" si="1"/>
        <v>224</v>
      </c>
    </row>
    <row r="16">
      <c r="A16" s="1" t="s">
        <v>80</v>
      </c>
      <c r="B16" s="22" t="s">
        <v>81</v>
      </c>
      <c r="C16" s="1" t="s">
        <v>72</v>
      </c>
      <c r="D16" s="12">
        <f t="array" ref="D16">INDEX(SKUMaster!B:B,MATCH(B16,SKUMaster!A:A,0))</f>
        <v>112</v>
      </c>
      <c r="E16" s="13">
        <f t="shared" si="1"/>
        <v>224</v>
      </c>
    </row>
    <row r="17">
      <c r="A17" s="1" t="s">
        <v>80</v>
      </c>
      <c r="B17" s="22" t="s">
        <v>75</v>
      </c>
      <c r="C17" s="1" t="s">
        <v>72</v>
      </c>
      <c r="D17" s="12">
        <f t="array" ref="D17">INDEX(SKUMaster!B:B,MATCH(B17,SKUMaster!A:A,0))</f>
        <v>112</v>
      </c>
      <c r="E17" s="13">
        <f t="shared" si="1"/>
        <v>224</v>
      </c>
    </row>
    <row r="18">
      <c r="A18" s="1" t="s">
        <v>82</v>
      </c>
      <c r="B18" s="22" t="s">
        <v>83</v>
      </c>
      <c r="C18" s="1" t="s">
        <v>72</v>
      </c>
      <c r="D18" s="12">
        <f t="array" ref="D18">INDEX(SKUMaster!B:B,MATCH(B18,SKUMaster!A:A,0))</f>
        <v>240</v>
      </c>
      <c r="E18" s="13">
        <f t="shared" si="1"/>
        <v>480</v>
      </c>
    </row>
    <row r="19">
      <c r="A19" s="1" t="s">
        <v>82</v>
      </c>
      <c r="B19" s="22" t="s">
        <v>77</v>
      </c>
      <c r="C19" s="1" t="s">
        <v>84</v>
      </c>
      <c r="D19" s="12">
        <f t="array" ref="D19">INDEX(SKUMaster!B:B,MATCH(B19,SKUMaster!A:A,0))</f>
        <v>112</v>
      </c>
      <c r="E19" s="13">
        <f t="shared" si="1"/>
        <v>896</v>
      </c>
    </row>
    <row r="20">
      <c r="A20" s="1" t="s">
        <v>85</v>
      </c>
      <c r="B20" s="22" t="s">
        <v>86</v>
      </c>
      <c r="C20" s="1" t="s">
        <v>65</v>
      </c>
      <c r="D20" s="12">
        <f t="array" ref="D20">INDEX(SKUMaster!B:B,MATCH(B20,SKUMaster!A:A,0))</f>
        <v>350</v>
      </c>
      <c r="E20" s="13">
        <f t="shared" si="1"/>
        <v>350</v>
      </c>
    </row>
    <row r="21" ht="15.75" customHeight="1">
      <c r="A21" s="1" t="s">
        <v>85</v>
      </c>
      <c r="B21" s="22" t="s">
        <v>64</v>
      </c>
      <c r="C21" s="1" t="s">
        <v>65</v>
      </c>
      <c r="D21" s="12">
        <f t="array" ref="D21">INDEX(SKUMaster!B:B,MATCH(B21,SKUMaster!A:A,0))</f>
        <v>127</v>
      </c>
      <c r="E21" s="13">
        <f t="shared" si="1"/>
        <v>127</v>
      </c>
    </row>
    <row r="22" ht="15.75" customHeight="1">
      <c r="A22" s="1" t="s">
        <v>87</v>
      </c>
      <c r="B22" s="22" t="s">
        <v>88</v>
      </c>
      <c r="C22" s="1" t="s">
        <v>72</v>
      </c>
      <c r="D22" s="12">
        <f t="array" ref="D22">INDEX(SKUMaster!B:B,MATCH(B22,SKUMaster!A:A,0))</f>
        <v>120</v>
      </c>
      <c r="E22" s="13">
        <f t="shared" si="1"/>
        <v>240</v>
      </c>
    </row>
    <row r="23" ht="15.75" customHeight="1">
      <c r="A23" s="1" t="s">
        <v>89</v>
      </c>
      <c r="B23" s="22" t="s">
        <v>90</v>
      </c>
      <c r="C23" s="1" t="s">
        <v>65</v>
      </c>
      <c r="D23" s="12">
        <f t="array" ref="D23">INDEX(SKUMaster!B:B,MATCH(B23,SKUMaster!A:A,0))</f>
        <v>240</v>
      </c>
      <c r="E23" s="13">
        <f t="shared" si="1"/>
        <v>240</v>
      </c>
    </row>
    <row r="24" ht="15.75" customHeight="1">
      <c r="A24" s="1" t="s">
        <v>89</v>
      </c>
      <c r="B24" s="22" t="s">
        <v>68</v>
      </c>
      <c r="C24" s="1" t="s">
        <v>65</v>
      </c>
      <c r="D24" s="12">
        <f t="array" ref="D24">INDEX(SKUMaster!B:B,MATCH(B24,SKUMaster!A:A,0))</f>
        <v>165</v>
      </c>
      <c r="E24" s="13">
        <f t="shared" si="1"/>
        <v>165</v>
      </c>
    </row>
    <row r="25" ht="15.75" customHeight="1">
      <c r="A25" s="1" t="s">
        <v>89</v>
      </c>
      <c r="B25" s="22" t="s">
        <v>86</v>
      </c>
      <c r="C25" s="1" t="s">
        <v>65</v>
      </c>
      <c r="D25" s="12">
        <f t="array" ref="D25">INDEX(SKUMaster!B:B,MATCH(B25,SKUMaster!A:A,0))</f>
        <v>350</v>
      </c>
      <c r="E25" s="13">
        <f t="shared" si="1"/>
        <v>350</v>
      </c>
    </row>
    <row r="26" ht="15.75" customHeight="1">
      <c r="A26" s="1" t="s">
        <v>91</v>
      </c>
      <c r="B26" s="22" t="s">
        <v>83</v>
      </c>
      <c r="C26" s="1" t="s">
        <v>65</v>
      </c>
      <c r="D26" s="12">
        <f t="array" ref="D26">INDEX(SKUMaster!B:B,MATCH(B26,SKUMaster!A:A,0))</f>
        <v>240</v>
      </c>
      <c r="E26" s="13">
        <f t="shared" si="1"/>
        <v>240</v>
      </c>
    </row>
    <row r="27" ht="15.75" customHeight="1">
      <c r="A27" s="1" t="s">
        <v>92</v>
      </c>
      <c r="B27" s="22" t="s">
        <v>68</v>
      </c>
      <c r="C27" s="1" t="s">
        <v>65</v>
      </c>
      <c r="D27" s="12">
        <f t="array" ref="D27">INDEX(SKUMaster!B:B,MATCH(B27,SKUMaster!A:A,0))</f>
        <v>165</v>
      </c>
      <c r="E27" s="13">
        <f t="shared" si="1"/>
        <v>165</v>
      </c>
    </row>
    <row r="28" ht="15.75" customHeight="1">
      <c r="A28" s="1" t="s">
        <v>93</v>
      </c>
      <c r="B28" s="22" t="s">
        <v>94</v>
      </c>
      <c r="C28" s="1" t="s">
        <v>65</v>
      </c>
      <c r="D28" s="12">
        <f t="array" ref="D28">INDEX(SKUMaster!B:B,MATCH(B28,SKUMaster!A:A,0))</f>
        <v>110</v>
      </c>
      <c r="E28" s="13">
        <f t="shared" si="1"/>
        <v>110</v>
      </c>
    </row>
    <row r="29" ht="15.75" customHeight="1">
      <c r="A29" s="1" t="s">
        <v>93</v>
      </c>
      <c r="B29" s="22" t="s">
        <v>81</v>
      </c>
      <c r="C29" s="1" t="s">
        <v>72</v>
      </c>
      <c r="D29" s="12">
        <f t="array" ref="D29">INDEX(SKUMaster!B:B,MATCH(B29,SKUMaster!A:A,0))</f>
        <v>112</v>
      </c>
      <c r="E29" s="13">
        <f t="shared" si="1"/>
        <v>224</v>
      </c>
    </row>
    <row r="30" ht="15.75" customHeight="1">
      <c r="A30" s="1" t="s">
        <v>93</v>
      </c>
      <c r="B30" s="22" t="s">
        <v>75</v>
      </c>
      <c r="C30" s="1" t="s">
        <v>72</v>
      </c>
      <c r="D30" s="12">
        <f t="array" ref="D30">INDEX(SKUMaster!B:B,MATCH(B30,SKUMaster!A:A,0))</f>
        <v>112</v>
      </c>
      <c r="E30" s="13">
        <f t="shared" si="1"/>
        <v>224</v>
      </c>
    </row>
    <row r="31" ht="15.75" customHeight="1">
      <c r="A31" s="1" t="s">
        <v>95</v>
      </c>
      <c r="B31" s="22" t="s">
        <v>96</v>
      </c>
      <c r="C31" s="1" t="s">
        <v>65</v>
      </c>
      <c r="D31" s="12">
        <f t="array" ref="D31">INDEX(SKUMaster!B:B,MATCH(B31,SKUMaster!A:A,0))</f>
        <v>65</v>
      </c>
      <c r="E31" s="13">
        <f t="shared" si="1"/>
        <v>65</v>
      </c>
    </row>
    <row r="32" ht="15.75" customHeight="1">
      <c r="A32" s="1" t="s">
        <v>95</v>
      </c>
      <c r="B32" s="22" t="s">
        <v>75</v>
      </c>
      <c r="C32" s="1" t="s">
        <v>65</v>
      </c>
      <c r="D32" s="12">
        <f t="array" ref="D32">INDEX(SKUMaster!B:B,MATCH(B32,SKUMaster!A:A,0))</f>
        <v>112</v>
      </c>
      <c r="E32" s="13">
        <f t="shared" si="1"/>
        <v>112</v>
      </c>
    </row>
    <row r="33" ht="15.75" customHeight="1">
      <c r="A33" s="1" t="s">
        <v>97</v>
      </c>
      <c r="B33" s="22" t="s">
        <v>98</v>
      </c>
      <c r="C33" s="1" t="s">
        <v>65</v>
      </c>
      <c r="D33" s="12">
        <f t="array" ref="D33">INDEX(SKUMaster!B:B,MATCH(B33,SKUMaster!A:A,0))</f>
        <v>600</v>
      </c>
      <c r="E33" s="13">
        <f t="shared" si="1"/>
        <v>600</v>
      </c>
    </row>
    <row r="34" ht="15.75" customHeight="1">
      <c r="A34" s="1" t="s">
        <v>97</v>
      </c>
      <c r="B34" s="22" t="s">
        <v>99</v>
      </c>
      <c r="C34" s="1" t="s">
        <v>65</v>
      </c>
      <c r="D34" s="12">
        <f t="array" ref="D34">INDEX(SKUMaster!B:B,MATCH(B34,SKUMaster!A:A,0))</f>
        <v>600</v>
      </c>
      <c r="E34" s="13">
        <f t="shared" si="1"/>
        <v>600</v>
      </c>
    </row>
    <row r="35" ht="15.75" customHeight="1">
      <c r="A35" s="1" t="s">
        <v>100</v>
      </c>
      <c r="B35" s="22" t="s">
        <v>101</v>
      </c>
      <c r="C35" s="1" t="s">
        <v>72</v>
      </c>
      <c r="D35" s="12">
        <f t="array" ref="D35">INDEX(SKUMaster!B:B,MATCH(B35,SKUMaster!A:A,0))</f>
        <v>133</v>
      </c>
      <c r="E35" s="13">
        <f t="shared" si="1"/>
        <v>266</v>
      </c>
    </row>
    <row r="36" ht="15.75" customHeight="1">
      <c r="A36" s="1" t="s">
        <v>100</v>
      </c>
      <c r="B36" s="22" t="s">
        <v>102</v>
      </c>
      <c r="C36" s="1" t="s">
        <v>72</v>
      </c>
      <c r="D36" s="12">
        <f t="array" ref="D36">INDEX(SKUMaster!B:B,MATCH(B36,SKUMaster!A:A,0))</f>
        <v>121</v>
      </c>
      <c r="E36" s="13">
        <f t="shared" si="1"/>
        <v>242</v>
      </c>
    </row>
    <row r="37" ht="15.75" customHeight="1">
      <c r="A37" s="1" t="s">
        <v>100</v>
      </c>
      <c r="B37" s="22" t="s">
        <v>103</v>
      </c>
      <c r="C37" s="1" t="s">
        <v>65</v>
      </c>
      <c r="D37" s="12">
        <f t="array" ref="D37">INDEX(SKUMaster!B:B,MATCH(B37,SKUMaster!A:A,0))</f>
        <v>290</v>
      </c>
      <c r="E37" s="13">
        <f t="shared" si="1"/>
        <v>290</v>
      </c>
    </row>
    <row r="38" ht="15.75" customHeight="1">
      <c r="A38" s="1" t="s">
        <v>100</v>
      </c>
      <c r="B38" s="22" t="s">
        <v>104</v>
      </c>
      <c r="C38" s="1" t="s">
        <v>65</v>
      </c>
      <c r="D38" s="12">
        <f t="array" ref="D38">INDEX(SKUMaster!B:B,MATCH(B38,SKUMaster!A:A,0))</f>
        <v>290</v>
      </c>
      <c r="E38" s="13">
        <f t="shared" si="1"/>
        <v>290</v>
      </c>
    </row>
    <row r="39" ht="15.75" customHeight="1">
      <c r="A39" s="1" t="s">
        <v>100</v>
      </c>
      <c r="B39" s="22" t="s">
        <v>105</v>
      </c>
      <c r="C39" s="1" t="s">
        <v>65</v>
      </c>
      <c r="D39" s="12">
        <f t="array" ref="D39">INDEX(SKUMaster!B:B,MATCH(B39,SKUMaster!A:A,0))</f>
        <v>290</v>
      </c>
      <c r="E39" s="13">
        <f t="shared" si="1"/>
        <v>290</v>
      </c>
    </row>
    <row r="40" ht="15.75" customHeight="1">
      <c r="A40" s="1" t="s">
        <v>100</v>
      </c>
      <c r="B40" s="22" t="s">
        <v>79</v>
      </c>
      <c r="C40" s="1" t="s">
        <v>65</v>
      </c>
      <c r="D40" s="12">
        <f t="array" ref="D40">INDEX(SKUMaster!B:B,MATCH(B40,SKUMaster!A:A,0))</f>
        <v>240</v>
      </c>
      <c r="E40" s="13">
        <f t="shared" si="1"/>
        <v>240</v>
      </c>
    </row>
    <row r="41" ht="15.75" customHeight="1">
      <c r="A41" s="1" t="s">
        <v>100</v>
      </c>
      <c r="B41" s="22" t="s">
        <v>106</v>
      </c>
      <c r="C41" s="1" t="s">
        <v>65</v>
      </c>
      <c r="D41" s="12">
        <f t="array" ref="D41">INDEX(SKUMaster!B:B,MATCH(B41,SKUMaster!A:A,0))</f>
        <v>240</v>
      </c>
      <c r="E41" s="13">
        <f t="shared" si="1"/>
        <v>240</v>
      </c>
    </row>
    <row r="42" ht="15.75" customHeight="1">
      <c r="A42" s="1" t="s">
        <v>100</v>
      </c>
      <c r="B42" s="22" t="s">
        <v>90</v>
      </c>
      <c r="C42" s="1" t="s">
        <v>65</v>
      </c>
      <c r="D42" s="12">
        <f t="array" ref="D42">INDEX(SKUMaster!B:B,MATCH(B42,SKUMaster!A:A,0))</f>
        <v>240</v>
      </c>
      <c r="E42" s="13">
        <f t="shared" si="1"/>
        <v>240</v>
      </c>
    </row>
    <row r="43" ht="15.75" customHeight="1">
      <c r="A43" s="1" t="s">
        <v>107</v>
      </c>
      <c r="B43" s="22" t="s">
        <v>108</v>
      </c>
      <c r="C43" s="1" t="s">
        <v>65</v>
      </c>
      <c r="D43" s="12">
        <f t="array" ref="D43">INDEX(SKUMaster!B:B,MATCH(B43,SKUMaster!A:A,0))</f>
        <v>165</v>
      </c>
      <c r="E43" s="13">
        <f t="shared" si="1"/>
        <v>165</v>
      </c>
    </row>
    <row r="44" ht="15.75" customHeight="1">
      <c r="A44" s="1" t="s">
        <v>107</v>
      </c>
      <c r="B44" s="22" t="s">
        <v>109</v>
      </c>
      <c r="C44" s="1" t="s">
        <v>65</v>
      </c>
      <c r="D44" s="12">
        <f t="array" ref="D44">INDEX(SKUMaster!B:B,MATCH(B44,SKUMaster!A:A,0))</f>
        <v>350</v>
      </c>
      <c r="E44" s="13">
        <f t="shared" si="1"/>
        <v>350</v>
      </c>
    </row>
    <row r="45" ht="15.75" customHeight="1">
      <c r="A45" s="1" t="s">
        <v>110</v>
      </c>
      <c r="B45" s="22" t="s">
        <v>111</v>
      </c>
      <c r="C45" s="1" t="s">
        <v>65</v>
      </c>
      <c r="D45" s="12">
        <f t="array" ref="D45">INDEX(SKUMaster!B:B,MATCH(B45,SKUMaster!A:A,0))</f>
        <v>65</v>
      </c>
      <c r="E45" s="13">
        <f t="shared" si="1"/>
        <v>65</v>
      </c>
    </row>
    <row r="46" ht="15.75" customHeight="1">
      <c r="A46" s="1" t="s">
        <v>112</v>
      </c>
      <c r="B46" s="22" t="s">
        <v>101</v>
      </c>
      <c r="C46" s="1" t="s">
        <v>65</v>
      </c>
      <c r="D46" s="12">
        <f t="array" ref="D46">INDEX(SKUMaster!B:B,MATCH(B46,SKUMaster!A:A,0))</f>
        <v>133</v>
      </c>
      <c r="E46" s="13">
        <f t="shared" si="1"/>
        <v>133</v>
      </c>
    </row>
    <row r="47" ht="15.75" customHeight="1">
      <c r="A47" s="1" t="s">
        <v>112</v>
      </c>
      <c r="B47" s="22" t="s">
        <v>64</v>
      </c>
      <c r="C47" s="1" t="s">
        <v>65</v>
      </c>
      <c r="D47" s="12">
        <f t="array" ref="D47">INDEX(SKUMaster!B:B,MATCH(B47,SKUMaster!A:A,0))</f>
        <v>127</v>
      </c>
      <c r="E47" s="13">
        <f t="shared" si="1"/>
        <v>127</v>
      </c>
    </row>
    <row r="48" ht="15.75" customHeight="1">
      <c r="A48" s="1" t="s">
        <v>112</v>
      </c>
      <c r="B48" s="22" t="s">
        <v>73</v>
      </c>
      <c r="C48" s="1" t="s">
        <v>65</v>
      </c>
      <c r="D48" s="12">
        <f t="array" ref="D48">INDEX(SKUMaster!B:B,MATCH(B48,SKUMaster!A:A,0))</f>
        <v>10</v>
      </c>
      <c r="E48" s="13">
        <f t="shared" si="1"/>
        <v>10</v>
      </c>
    </row>
    <row r="49" ht="15.75" customHeight="1">
      <c r="A49" s="1" t="s">
        <v>113</v>
      </c>
      <c r="B49" s="22" t="s">
        <v>106</v>
      </c>
      <c r="C49" s="1" t="s">
        <v>65</v>
      </c>
      <c r="D49" s="12">
        <f t="array" ref="D49">INDEX(SKUMaster!B:B,MATCH(B49,SKUMaster!A:A,0))</f>
        <v>240</v>
      </c>
      <c r="E49" s="13">
        <f t="shared" si="1"/>
        <v>240</v>
      </c>
    </row>
    <row r="50" ht="15.75" customHeight="1">
      <c r="A50" s="1" t="s">
        <v>113</v>
      </c>
      <c r="B50" s="22" t="s">
        <v>114</v>
      </c>
      <c r="C50" s="1" t="s">
        <v>76</v>
      </c>
      <c r="D50" s="12">
        <f t="array" ref="D50">INDEX(SKUMaster!B:B,MATCH(B50,SKUMaster!A:A,0))</f>
        <v>120</v>
      </c>
      <c r="E50" s="13">
        <f t="shared" si="1"/>
        <v>480</v>
      </c>
    </row>
    <row r="51" ht="15.75" customHeight="1">
      <c r="A51" s="1" t="s">
        <v>113</v>
      </c>
      <c r="B51" s="22" t="s">
        <v>102</v>
      </c>
      <c r="C51" s="1" t="s">
        <v>65</v>
      </c>
      <c r="D51" s="12">
        <f t="array" ref="D51">INDEX(SKUMaster!B:B,MATCH(B51,SKUMaster!A:A,0))</f>
        <v>121</v>
      </c>
      <c r="E51" s="13">
        <f t="shared" si="1"/>
        <v>121</v>
      </c>
    </row>
    <row r="52" ht="15.75" customHeight="1">
      <c r="A52" s="1" t="s">
        <v>115</v>
      </c>
      <c r="B52" s="22" t="s">
        <v>116</v>
      </c>
      <c r="C52" s="1" t="s">
        <v>65</v>
      </c>
      <c r="D52" s="12">
        <f t="array" ref="D52">INDEX(SKUMaster!B:B,MATCH(B52,SKUMaster!A:A,0))</f>
        <v>350</v>
      </c>
      <c r="E52" s="13">
        <f t="shared" si="1"/>
        <v>350</v>
      </c>
    </row>
    <row r="53" ht="15.75" customHeight="1">
      <c r="A53" s="1" t="s">
        <v>115</v>
      </c>
      <c r="B53" s="22" t="s">
        <v>117</v>
      </c>
      <c r="C53" s="1" t="s">
        <v>65</v>
      </c>
      <c r="D53" s="12">
        <f t="array" ref="D53">INDEX(SKUMaster!B:B,MATCH(B53,SKUMaster!A:A,0))</f>
        <v>350</v>
      </c>
      <c r="E53" s="13">
        <f t="shared" si="1"/>
        <v>350</v>
      </c>
    </row>
    <row r="54" ht="15.75" customHeight="1">
      <c r="A54" s="1" t="s">
        <v>118</v>
      </c>
      <c r="B54" s="22" t="s">
        <v>119</v>
      </c>
      <c r="C54" s="1" t="s">
        <v>65</v>
      </c>
      <c r="D54" s="12">
        <f t="array" ref="D54">INDEX(SKUMaster!B:B,MATCH(B54,SKUMaster!A:A,0))</f>
        <v>120</v>
      </c>
      <c r="E54" s="13">
        <f t="shared" si="1"/>
        <v>120</v>
      </c>
    </row>
    <row r="55" ht="15.75" customHeight="1">
      <c r="A55" s="1" t="s">
        <v>118</v>
      </c>
      <c r="B55" s="22" t="s">
        <v>120</v>
      </c>
      <c r="C55" s="1" t="s">
        <v>65</v>
      </c>
      <c r="D55" s="12">
        <f t="array" ref="D55">INDEX(SKUMaster!B:B,MATCH(B55,SKUMaster!A:A,0))</f>
        <v>100</v>
      </c>
      <c r="E55" s="13">
        <f t="shared" si="1"/>
        <v>100</v>
      </c>
    </row>
    <row r="56" ht="15.75" customHeight="1">
      <c r="A56" s="1" t="s">
        <v>118</v>
      </c>
      <c r="B56" s="22" t="s">
        <v>121</v>
      </c>
      <c r="C56" s="1" t="s">
        <v>65</v>
      </c>
      <c r="D56" s="12">
        <f t="array" ref="D56">INDEX(SKUMaster!B:B,MATCH(B56,SKUMaster!A:A,0))</f>
        <v>210</v>
      </c>
      <c r="E56" s="13">
        <f t="shared" si="1"/>
        <v>210</v>
      </c>
    </row>
    <row r="57" ht="15.75" customHeight="1">
      <c r="A57" s="1" t="s">
        <v>118</v>
      </c>
      <c r="B57" s="22" t="s">
        <v>122</v>
      </c>
      <c r="C57" s="1" t="s">
        <v>65</v>
      </c>
      <c r="D57" s="12">
        <f t="array" ref="D57">INDEX(SKUMaster!B:B,MATCH(B57,SKUMaster!A:A,0))</f>
        <v>140</v>
      </c>
      <c r="E57" s="13">
        <f t="shared" si="1"/>
        <v>140</v>
      </c>
    </row>
    <row r="58" ht="15.75" customHeight="1">
      <c r="A58" s="1" t="s">
        <v>118</v>
      </c>
      <c r="B58" s="22" t="s">
        <v>77</v>
      </c>
      <c r="C58" s="1" t="s">
        <v>72</v>
      </c>
      <c r="D58" s="12">
        <f t="array" ref="D58">INDEX(SKUMaster!B:B,MATCH(B58,SKUMaster!A:A,0))</f>
        <v>112</v>
      </c>
      <c r="E58" s="13">
        <f t="shared" si="1"/>
        <v>224</v>
      </c>
    </row>
    <row r="59" ht="15.75" customHeight="1">
      <c r="A59" s="1" t="s">
        <v>118</v>
      </c>
      <c r="B59" s="22" t="s">
        <v>81</v>
      </c>
      <c r="C59" s="1" t="s">
        <v>72</v>
      </c>
      <c r="D59" s="12">
        <f t="array" ref="D59">INDEX(SKUMaster!B:B,MATCH(B59,SKUMaster!A:A,0))</f>
        <v>112</v>
      </c>
      <c r="E59" s="13">
        <f t="shared" si="1"/>
        <v>224</v>
      </c>
    </row>
    <row r="60" ht="15.75" customHeight="1">
      <c r="A60" s="1" t="s">
        <v>118</v>
      </c>
      <c r="B60" s="22" t="s">
        <v>75</v>
      </c>
      <c r="C60" s="1" t="s">
        <v>72</v>
      </c>
      <c r="D60" s="12">
        <f t="array" ref="D60">INDEX(SKUMaster!B:B,MATCH(B60,SKUMaster!A:A,0))</f>
        <v>112</v>
      </c>
      <c r="E60" s="13">
        <f t="shared" si="1"/>
        <v>224</v>
      </c>
    </row>
    <row r="61" ht="15.75" customHeight="1">
      <c r="A61" s="1" t="s">
        <v>118</v>
      </c>
      <c r="B61" s="22" t="s">
        <v>123</v>
      </c>
      <c r="C61" s="1" t="s">
        <v>65</v>
      </c>
      <c r="D61" s="12">
        <f t="array" ref="D61">INDEX(SKUMaster!B:B,MATCH(B61,SKUMaster!A:A,0))</f>
        <v>115</v>
      </c>
      <c r="E61" s="13">
        <f t="shared" si="1"/>
        <v>115</v>
      </c>
    </row>
    <row r="62" ht="15.75" customHeight="1">
      <c r="A62" s="1" t="s">
        <v>124</v>
      </c>
      <c r="B62" s="22" t="s">
        <v>64</v>
      </c>
      <c r="C62" s="1" t="s">
        <v>65</v>
      </c>
      <c r="D62" s="12">
        <f t="array" ref="D62">INDEX(SKUMaster!B:B,MATCH(B62,SKUMaster!A:A,0))</f>
        <v>127</v>
      </c>
      <c r="E62" s="13">
        <f t="shared" si="1"/>
        <v>127</v>
      </c>
    </row>
    <row r="63" ht="15.75" customHeight="1">
      <c r="A63" s="1" t="s">
        <v>124</v>
      </c>
      <c r="B63" s="22" t="s">
        <v>101</v>
      </c>
      <c r="C63" s="1" t="s">
        <v>65</v>
      </c>
      <c r="D63" s="12">
        <f t="array" ref="D63">INDEX(SKUMaster!B:B,MATCH(B63,SKUMaster!A:A,0))</f>
        <v>133</v>
      </c>
      <c r="E63" s="13">
        <f t="shared" si="1"/>
        <v>133</v>
      </c>
    </row>
    <row r="64" ht="15.75" customHeight="1">
      <c r="A64" s="1" t="s">
        <v>124</v>
      </c>
      <c r="B64" s="22" t="s">
        <v>90</v>
      </c>
      <c r="C64" s="1" t="s">
        <v>65</v>
      </c>
      <c r="D64" s="12">
        <f t="array" ref="D64">INDEX(SKUMaster!B:B,MATCH(B64,SKUMaster!A:A,0))</f>
        <v>240</v>
      </c>
      <c r="E64" s="13">
        <f t="shared" si="1"/>
        <v>240</v>
      </c>
    </row>
    <row r="65" ht="15.75" customHeight="1">
      <c r="A65" s="1" t="s">
        <v>125</v>
      </c>
      <c r="B65" s="22" t="s">
        <v>119</v>
      </c>
      <c r="C65" s="1" t="s">
        <v>72</v>
      </c>
      <c r="D65" s="12">
        <f t="array" ref="D65">INDEX(SKUMaster!B:B,MATCH(B65,SKUMaster!A:A,0))</f>
        <v>120</v>
      </c>
      <c r="E65" s="13">
        <f t="shared" si="1"/>
        <v>240</v>
      </c>
    </row>
    <row r="66" ht="15.75" customHeight="1">
      <c r="A66" s="1" t="s">
        <v>125</v>
      </c>
      <c r="B66" s="22" t="s">
        <v>120</v>
      </c>
      <c r="C66" s="1" t="s">
        <v>72</v>
      </c>
      <c r="D66" s="12">
        <f t="array" ref="D66">INDEX(SKUMaster!B:B,MATCH(B66,SKUMaster!A:A,0))</f>
        <v>100</v>
      </c>
      <c r="E66" s="13">
        <f t="shared" si="1"/>
        <v>200</v>
      </c>
    </row>
    <row r="67" ht="15.75" customHeight="1">
      <c r="A67" s="1" t="s">
        <v>125</v>
      </c>
      <c r="B67" s="22" t="s">
        <v>114</v>
      </c>
      <c r="C67" s="1" t="s">
        <v>76</v>
      </c>
      <c r="D67" s="12">
        <f t="array" ref="D67">INDEX(SKUMaster!B:B,MATCH(B67,SKUMaster!A:A,0))</f>
        <v>120</v>
      </c>
      <c r="E67" s="13">
        <f t="shared" si="1"/>
        <v>480</v>
      </c>
    </row>
    <row r="68" ht="15.75" customHeight="1">
      <c r="A68" s="1" t="s">
        <v>126</v>
      </c>
      <c r="B68" s="22" t="s">
        <v>127</v>
      </c>
      <c r="C68" s="1" t="s">
        <v>72</v>
      </c>
      <c r="D68" s="12">
        <f t="array" ref="D68">INDEX(SKUMaster!B:B,MATCH(B68,SKUMaster!A:A,0))</f>
        <v>102</v>
      </c>
      <c r="E68" s="13">
        <f t="shared" si="1"/>
        <v>204</v>
      </c>
    </row>
    <row r="69" ht="15.75" customHeight="1">
      <c r="A69" s="1" t="s">
        <v>126</v>
      </c>
      <c r="B69" s="22" t="s">
        <v>69</v>
      </c>
      <c r="C69" s="1" t="s">
        <v>65</v>
      </c>
      <c r="D69" s="12">
        <f t="array" ref="D69">INDEX(SKUMaster!B:B,MATCH(B69,SKUMaster!A:A,0))</f>
        <v>350</v>
      </c>
      <c r="E69" s="13">
        <f t="shared" si="1"/>
        <v>350</v>
      </c>
    </row>
    <row r="70" ht="15.75" customHeight="1">
      <c r="A70" s="1" t="s">
        <v>128</v>
      </c>
      <c r="B70" s="22" t="s">
        <v>119</v>
      </c>
      <c r="C70" s="1" t="s">
        <v>65</v>
      </c>
      <c r="D70" s="12">
        <f t="array" ref="D70">INDEX(SKUMaster!B:B,MATCH(B70,SKUMaster!A:A,0))</f>
        <v>120</v>
      </c>
      <c r="E70" s="13">
        <f t="shared" si="1"/>
        <v>120</v>
      </c>
    </row>
    <row r="71" ht="15.75" customHeight="1">
      <c r="A71" s="1" t="s">
        <v>128</v>
      </c>
      <c r="B71" s="22" t="s">
        <v>120</v>
      </c>
      <c r="C71" s="1" t="s">
        <v>65</v>
      </c>
      <c r="D71" s="12">
        <f t="array" ref="D71">INDEX(SKUMaster!B:B,MATCH(B71,SKUMaster!A:A,0))</f>
        <v>100</v>
      </c>
      <c r="E71" s="13">
        <f t="shared" si="1"/>
        <v>100</v>
      </c>
    </row>
    <row r="72" ht="15.75" customHeight="1">
      <c r="A72" s="1" t="s">
        <v>129</v>
      </c>
      <c r="B72" s="22" t="s">
        <v>64</v>
      </c>
      <c r="C72" s="1" t="s">
        <v>65</v>
      </c>
      <c r="D72" s="12">
        <f t="array" ref="D72">INDEX(SKUMaster!B:B,MATCH(B72,SKUMaster!A:A,0))</f>
        <v>127</v>
      </c>
      <c r="E72" s="13">
        <f t="shared" si="1"/>
        <v>127</v>
      </c>
    </row>
    <row r="73" ht="15.75" customHeight="1">
      <c r="A73" s="1" t="s">
        <v>130</v>
      </c>
      <c r="B73" s="22" t="s">
        <v>119</v>
      </c>
      <c r="C73" s="1" t="s">
        <v>65</v>
      </c>
      <c r="D73" s="12">
        <f t="array" ref="D73">INDEX(SKUMaster!B:B,MATCH(B73,SKUMaster!A:A,0))</f>
        <v>120</v>
      </c>
      <c r="E73" s="13">
        <f t="shared" si="1"/>
        <v>120</v>
      </c>
    </row>
    <row r="74" ht="15.75" customHeight="1">
      <c r="A74" s="1" t="s">
        <v>130</v>
      </c>
      <c r="B74" s="22" t="s">
        <v>120</v>
      </c>
      <c r="C74" s="1" t="s">
        <v>65</v>
      </c>
      <c r="D74" s="12">
        <f t="array" ref="D74">INDEX(SKUMaster!B:B,MATCH(B74,SKUMaster!A:A,0))</f>
        <v>100</v>
      </c>
      <c r="E74" s="13">
        <f t="shared" si="1"/>
        <v>100</v>
      </c>
    </row>
    <row r="75" ht="15.75" customHeight="1">
      <c r="A75" s="1" t="s">
        <v>130</v>
      </c>
      <c r="B75" s="22" t="s">
        <v>64</v>
      </c>
      <c r="C75" s="1" t="s">
        <v>65</v>
      </c>
      <c r="D75" s="12">
        <f t="array" ref="D75">INDEX(SKUMaster!B:B,MATCH(B75,SKUMaster!A:A,0))</f>
        <v>127</v>
      </c>
      <c r="E75" s="13">
        <f t="shared" si="1"/>
        <v>127</v>
      </c>
    </row>
    <row r="76" ht="15.75" customHeight="1">
      <c r="A76" s="1" t="s">
        <v>130</v>
      </c>
      <c r="B76" s="22" t="s">
        <v>101</v>
      </c>
      <c r="C76" s="1" t="s">
        <v>65</v>
      </c>
      <c r="D76" s="12">
        <f t="array" ref="D76">INDEX(SKUMaster!B:B,MATCH(B76,SKUMaster!A:A,0))</f>
        <v>133</v>
      </c>
      <c r="E76" s="13">
        <f t="shared" si="1"/>
        <v>133</v>
      </c>
    </row>
    <row r="77" ht="15.75" customHeight="1">
      <c r="A77" s="1" t="s">
        <v>130</v>
      </c>
      <c r="B77" s="22" t="s">
        <v>90</v>
      </c>
      <c r="C77" s="1" t="s">
        <v>65</v>
      </c>
      <c r="D77" s="12">
        <f t="array" ref="D77">INDEX(SKUMaster!B:B,MATCH(B77,SKUMaster!A:A,0))</f>
        <v>240</v>
      </c>
      <c r="E77" s="13">
        <f t="shared" si="1"/>
        <v>240</v>
      </c>
    </row>
    <row r="78" ht="15.75" customHeight="1">
      <c r="A78" s="1" t="s">
        <v>131</v>
      </c>
      <c r="B78" s="22" t="s">
        <v>64</v>
      </c>
      <c r="C78" s="1" t="s">
        <v>65</v>
      </c>
      <c r="D78" s="12">
        <f t="array" ref="D78">INDEX(SKUMaster!B:B,MATCH(B78,SKUMaster!A:A,0))</f>
        <v>127</v>
      </c>
      <c r="E78" s="13">
        <f t="shared" si="1"/>
        <v>127</v>
      </c>
    </row>
    <row r="79" ht="15.75" customHeight="1">
      <c r="A79" s="1" t="s">
        <v>131</v>
      </c>
      <c r="B79" s="22" t="s">
        <v>101</v>
      </c>
      <c r="C79" s="1" t="s">
        <v>65</v>
      </c>
      <c r="D79" s="12">
        <f t="array" ref="D79">INDEX(SKUMaster!B:B,MATCH(B79,SKUMaster!A:A,0))</f>
        <v>133</v>
      </c>
      <c r="E79" s="13">
        <f t="shared" si="1"/>
        <v>133</v>
      </c>
    </row>
    <row r="80" ht="15.75" customHeight="1">
      <c r="A80" s="1" t="s">
        <v>131</v>
      </c>
      <c r="B80" s="22" t="s">
        <v>90</v>
      </c>
      <c r="C80" s="1" t="s">
        <v>65</v>
      </c>
      <c r="D80" s="12">
        <f t="array" ref="D80">INDEX(SKUMaster!B:B,MATCH(B80,SKUMaster!A:A,0))</f>
        <v>240</v>
      </c>
      <c r="E80" s="13">
        <f t="shared" si="1"/>
        <v>240</v>
      </c>
    </row>
    <row r="81" ht="15.75" customHeight="1">
      <c r="A81" s="1" t="s">
        <v>132</v>
      </c>
      <c r="B81" s="22" t="s">
        <v>116</v>
      </c>
      <c r="C81" s="1" t="s">
        <v>65</v>
      </c>
      <c r="D81" s="12">
        <f t="array" ref="D81">INDEX(SKUMaster!B:B,MATCH(B81,SKUMaster!A:A,0))</f>
        <v>350</v>
      </c>
      <c r="E81" s="13">
        <f t="shared" si="1"/>
        <v>350</v>
      </c>
    </row>
    <row r="82" ht="15.75" customHeight="1">
      <c r="A82" s="1" t="s">
        <v>132</v>
      </c>
      <c r="B82" s="22" t="s">
        <v>86</v>
      </c>
      <c r="C82" s="1" t="s">
        <v>65</v>
      </c>
      <c r="D82" s="12">
        <f t="array" ref="D82">INDEX(SKUMaster!B:B,MATCH(B82,SKUMaster!A:A,0))</f>
        <v>350</v>
      </c>
      <c r="E82" s="13">
        <f t="shared" si="1"/>
        <v>350</v>
      </c>
    </row>
    <row r="83" ht="15.75" customHeight="1">
      <c r="A83" s="1" t="s">
        <v>132</v>
      </c>
      <c r="B83" s="22" t="s">
        <v>69</v>
      </c>
      <c r="C83" s="1" t="s">
        <v>65</v>
      </c>
      <c r="D83" s="12">
        <f t="array" ref="D83">INDEX(SKUMaster!B:B,MATCH(B83,SKUMaster!A:A,0))</f>
        <v>350</v>
      </c>
      <c r="E83" s="13">
        <f t="shared" si="1"/>
        <v>350</v>
      </c>
    </row>
    <row r="84" ht="15.75" customHeight="1">
      <c r="A84" s="1" t="s">
        <v>132</v>
      </c>
      <c r="B84" s="22" t="s">
        <v>117</v>
      </c>
      <c r="C84" s="1" t="s">
        <v>65</v>
      </c>
      <c r="D84" s="12">
        <f t="array" ref="D84">INDEX(SKUMaster!B:B,MATCH(B84,SKUMaster!A:A,0))</f>
        <v>350</v>
      </c>
      <c r="E84" s="13">
        <f t="shared" si="1"/>
        <v>350</v>
      </c>
    </row>
    <row r="85" ht="15.75" customHeight="1">
      <c r="A85" s="1" t="s">
        <v>132</v>
      </c>
      <c r="B85" s="22" t="s">
        <v>133</v>
      </c>
      <c r="C85" s="1" t="s">
        <v>65</v>
      </c>
      <c r="D85" s="12">
        <f t="array" ref="D85">INDEX(SKUMaster!B:B,MATCH(B85,SKUMaster!A:A,0))</f>
        <v>500</v>
      </c>
      <c r="E85" s="13">
        <f t="shared" si="1"/>
        <v>500</v>
      </c>
    </row>
    <row r="86" ht="15.75" customHeight="1">
      <c r="A86" s="1" t="s">
        <v>132</v>
      </c>
      <c r="B86" s="22" t="s">
        <v>77</v>
      </c>
      <c r="C86" s="1" t="s">
        <v>72</v>
      </c>
      <c r="D86" s="12">
        <f t="array" ref="D86">INDEX(SKUMaster!B:B,MATCH(B86,SKUMaster!A:A,0))</f>
        <v>112</v>
      </c>
      <c r="E86" s="13">
        <f t="shared" si="1"/>
        <v>224</v>
      </c>
    </row>
    <row r="87" ht="15.75" customHeight="1">
      <c r="A87" s="1" t="s">
        <v>132</v>
      </c>
      <c r="B87" s="22" t="s">
        <v>81</v>
      </c>
      <c r="C87" s="1" t="s">
        <v>72</v>
      </c>
      <c r="D87" s="12">
        <f t="array" ref="D87">INDEX(SKUMaster!B:B,MATCH(B87,SKUMaster!A:A,0))</f>
        <v>112</v>
      </c>
      <c r="E87" s="13">
        <f t="shared" si="1"/>
        <v>224</v>
      </c>
    </row>
    <row r="88" ht="15.75" customHeight="1">
      <c r="A88" s="1" t="s">
        <v>132</v>
      </c>
      <c r="B88" s="22" t="s">
        <v>75</v>
      </c>
      <c r="C88" s="1" t="s">
        <v>72</v>
      </c>
      <c r="D88" s="12">
        <f t="array" ref="D88">INDEX(SKUMaster!B:B,MATCH(B88,SKUMaster!A:A,0))</f>
        <v>112</v>
      </c>
      <c r="E88" s="13">
        <f t="shared" si="1"/>
        <v>224</v>
      </c>
    </row>
    <row r="89" ht="15.75" customHeight="1">
      <c r="A89" s="1" t="s">
        <v>134</v>
      </c>
      <c r="B89" s="22" t="s">
        <v>94</v>
      </c>
      <c r="C89" s="1" t="s">
        <v>65</v>
      </c>
      <c r="D89" s="12">
        <f t="array" ref="D89">INDEX(SKUMaster!B:B,MATCH(B89,SKUMaster!A:A,0))</f>
        <v>110</v>
      </c>
      <c r="E89" s="13">
        <f t="shared" si="1"/>
        <v>110</v>
      </c>
    </row>
    <row r="90" ht="15.75" customHeight="1">
      <c r="A90" s="1" t="s">
        <v>134</v>
      </c>
      <c r="B90" s="22" t="s">
        <v>81</v>
      </c>
      <c r="C90" s="1" t="s">
        <v>76</v>
      </c>
      <c r="D90" s="12">
        <f t="array" ref="D90">INDEX(SKUMaster!B:B,MATCH(B90,SKUMaster!A:A,0))</f>
        <v>112</v>
      </c>
      <c r="E90" s="13">
        <f t="shared" si="1"/>
        <v>448</v>
      </c>
    </row>
    <row r="91" ht="15.75" customHeight="1">
      <c r="A91" s="1" t="s">
        <v>135</v>
      </c>
      <c r="B91" s="22" t="s">
        <v>81</v>
      </c>
      <c r="C91" s="1" t="s">
        <v>76</v>
      </c>
      <c r="D91" s="12">
        <f t="array" ref="D91">INDEX(SKUMaster!B:B,MATCH(B91,SKUMaster!A:A,0))</f>
        <v>112</v>
      </c>
      <c r="E91" s="13">
        <f t="shared" si="1"/>
        <v>448</v>
      </c>
    </row>
    <row r="92" ht="15.75" customHeight="1">
      <c r="A92" s="1" t="s">
        <v>135</v>
      </c>
      <c r="B92" s="22" t="s">
        <v>136</v>
      </c>
      <c r="C92" s="1" t="s">
        <v>65</v>
      </c>
      <c r="D92" s="12">
        <f t="array" ref="D92">INDEX(SKUMaster!B:B,MATCH(B92,SKUMaster!A:A,0))</f>
        <v>115</v>
      </c>
      <c r="E92" s="13">
        <f t="shared" si="1"/>
        <v>115</v>
      </c>
    </row>
    <row r="93" ht="15.75" customHeight="1">
      <c r="A93" s="1" t="s">
        <v>137</v>
      </c>
      <c r="B93" s="22" t="s">
        <v>64</v>
      </c>
      <c r="C93" s="1" t="s">
        <v>65</v>
      </c>
      <c r="D93" s="12">
        <f t="array" ref="D93">INDEX(SKUMaster!B:B,MATCH(B93,SKUMaster!A:A,0))</f>
        <v>127</v>
      </c>
      <c r="E93" s="13">
        <f t="shared" si="1"/>
        <v>127</v>
      </c>
    </row>
    <row r="94" ht="15.75" customHeight="1">
      <c r="A94" s="1" t="s">
        <v>137</v>
      </c>
      <c r="B94" s="22" t="s">
        <v>101</v>
      </c>
      <c r="C94" s="1" t="s">
        <v>65</v>
      </c>
      <c r="D94" s="12">
        <f t="array" ref="D94">INDEX(SKUMaster!B:B,MATCH(B94,SKUMaster!A:A,0))</f>
        <v>133</v>
      </c>
      <c r="E94" s="13">
        <f t="shared" si="1"/>
        <v>133</v>
      </c>
    </row>
    <row r="95" ht="15.75" customHeight="1">
      <c r="A95" s="1" t="s">
        <v>137</v>
      </c>
      <c r="B95" s="22" t="s">
        <v>90</v>
      </c>
      <c r="C95" s="1" t="s">
        <v>65</v>
      </c>
      <c r="D95" s="12">
        <f t="array" ref="D95">INDEX(SKUMaster!B:B,MATCH(B95,SKUMaster!A:A,0))</f>
        <v>240</v>
      </c>
      <c r="E95" s="13">
        <f t="shared" si="1"/>
        <v>240</v>
      </c>
    </row>
    <row r="96" ht="15.75" customHeight="1">
      <c r="A96" s="1" t="s">
        <v>138</v>
      </c>
      <c r="B96" s="22" t="s">
        <v>64</v>
      </c>
      <c r="C96" s="1" t="s">
        <v>65</v>
      </c>
      <c r="D96" s="12">
        <f t="array" ref="D96">INDEX(SKUMaster!B:B,MATCH(B96,SKUMaster!A:A,0))</f>
        <v>127</v>
      </c>
      <c r="E96" s="13">
        <f t="shared" si="1"/>
        <v>127</v>
      </c>
    </row>
    <row r="97" ht="15.75" customHeight="1">
      <c r="A97" s="1" t="s">
        <v>138</v>
      </c>
      <c r="B97" s="22" t="s">
        <v>101</v>
      </c>
      <c r="C97" s="1" t="s">
        <v>65</v>
      </c>
      <c r="D97" s="12">
        <f t="array" ref="D97">INDEX(SKUMaster!B:B,MATCH(B97,SKUMaster!A:A,0))</f>
        <v>133</v>
      </c>
      <c r="E97" s="13">
        <f t="shared" si="1"/>
        <v>133</v>
      </c>
    </row>
    <row r="98" ht="15.75" customHeight="1">
      <c r="A98" s="1" t="s">
        <v>138</v>
      </c>
      <c r="B98" s="22" t="s">
        <v>90</v>
      </c>
      <c r="C98" s="1" t="s">
        <v>65</v>
      </c>
      <c r="D98" s="12">
        <f t="array" ref="D98">INDEX(SKUMaster!B:B,MATCH(B98,SKUMaster!A:A,0))</f>
        <v>240</v>
      </c>
      <c r="E98" s="13">
        <f t="shared" si="1"/>
        <v>240</v>
      </c>
    </row>
    <row r="99" ht="15.75" customHeight="1">
      <c r="A99" s="1" t="s">
        <v>139</v>
      </c>
      <c r="B99" s="22" t="s">
        <v>119</v>
      </c>
      <c r="C99" s="1" t="s">
        <v>65</v>
      </c>
      <c r="D99" s="12">
        <f t="array" ref="D99">INDEX(SKUMaster!B:B,MATCH(B99,SKUMaster!A:A,0))</f>
        <v>120</v>
      </c>
      <c r="E99" s="13">
        <f t="shared" si="1"/>
        <v>120</v>
      </c>
    </row>
    <row r="100" ht="15.75" customHeight="1">
      <c r="A100" s="1" t="s">
        <v>139</v>
      </c>
      <c r="B100" s="22" t="s">
        <v>79</v>
      </c>
      <c r="C100" s="1" t="s">
        <v>72</v>
      </c>
      <c r="D100" s="12">
        <f t="array" ref="D100">INDEX(SKUMaster!B:B,MATCH(B100,SKUMaster!A:A,0))</f>
        <v>240</v>
      </c>
      <c r="E100" s="13">
        <f t="shared" si="1"/>
        <v>480</v>
      </c>
    </row>
    <row r="101" ht="15.75" customHeight="1">
      <c r="A101" s="1" t="s">
        <v>139</v>
      </c>
      <c r="B101" s="22" t="s">
        <v>102</v>
      </c>
      <c r="C101" s="1" t="s">
        <v>65</v>
      </c>
      <c r="D101" s="12">
        <f t="array" ref="D101">INDEX(SKUMaster!B:B,MATCH(B101,SKUMaster!A:A,0))</f>
        <v>121</v>
      </c>
      <c r="E101" s="13">
        <f t="shared" si="1"/>
        <v>121</v>
      </c>
    </row>
    <row r="102" ht="15.75" customHeight="1">
      <c r="A102" s="1" t="s">
        <v>140</v>
      </c>
      <c r="B102" s="22" t="s">
        <v>64</v>
      </c>
      <c r="C102" s="1" t="s">
        <v>65</v>
      </c>
      <c r="D102" s="12">
        <f t="array" ref="D102">INDEX(SKUMaster!B:B,MATCH(B102,SKUMaster!A:A,0))</f>
        <v>127</v>
      </c>
      <c r="E102" s="13">
        <f t="shared" si="1"/>
        <v>127</v>
      </c>
    </row>
    <row r="103" ht="15.75" customHeight="1">
      <c r="A103" s="1" t="s">
        <v>140</v>
      </c>
      <c r="B103" s="22" t="s">
        <v>79</v>
      </c>
      <c r="C103" s="1" t="s">
        <v>65</v>
      </c>
      <c r="D103" s="12">
        <f t="array" ref="D103">INDEX(SKUMaster!B:B,MATCH(B103,SKUMaster!A:A,0))</f>
        <v>240</v>
      </c>
      <c r="E103" s="13">
        <f t="shared" si="1"/>
        <v>240</v>
      </c>
    </row>
    <row r="104" ht="15.75" customHeight="1">
      <c r="A104" s="1" t="s">
        <v>140</v>
      </c>
      <c r="B104" s="22" t="s">
        <v>141</v>
      </c>
      <c r="C104" s="1" t="s">
        <v>65</v>
      </c>
      <c r="D104" s="12">
        <f t="array" ref="D104">INDEX(SKUMaster!B:B,MATCH(B104,SKUMaster!A:A,0))</f>
        <v>210</v>
      </c>
      <c r="E104" s="13">
        <f t="shared" si="1"/>
        <v>210</v>
      </c>
    </row>
    <row r="105" ht="15.75" customHeight="1">
      <c r="A105" s="1" t="s">
        <v>140</v>
      </c>
      <c r="B105" s="22" t="s">
        <v>81</v>
      </c>
      <c r="C105" s="1" t="s">
        <v>65</v>
      </c>
      <c r="D105" s="12">
        <f t="array" ref="D105">INDEX(SKUMaster!B:B,MATCH(B105,SKUMaster!A:A,0))</f>
        <v>112</v>
      </c>
      <c r="E105" s="13">
        <f t="shared" si="1"/>
        <v>112</v>
      </c>
    </row>
    <row r="106" ht="15.75" customHeight="1">
      <c r="A106" s="1" t="s">
        <v>142</v>
      </c>
      <c r="B106" s="22" t="s">
        <v>64</v>
      </c>
      <c r="C106" s="1" t="s">
        <v>65</v>
      </c>
      <c r="D106" s="12">
        <f t="array" ref="D106">INDEX(SKUMaster!B:B,MATCH(B106,SKUMaster!A:A,0))</f>
        <v>127</v>
      </c>
      <c r="E106" s="13">
        <f t="shared" si="1"/>
        <v>127</v>
      </c>
    </row>
    <row r="107" ht="15.75" customHeight="1">
      <c r="A107" s="1" t="s">
        <v>142</v>
      </c>
      <c r="B107" s="22" t="s">
        <v>90</v>
      </c>
      <c r="C107" s="1" t="s">
        <v>65</v>
      </c>
      <c r="D107" s="12">
        <f t="array" ref="D107">INDEX(SKUMaster!B:B,MATCH(B107,SKUMaster!A:A,0))</f>
        <v>240</v>
      </c>
      <c r="E107" s="13">
        <f t="shared" si="1"/>
        <v>240</v>
      </c>
    </row>
    <row r="108" ht="15.75" customHeight="1">
      <c r="A108" s="1" t="s">
        <v>142</v>
      </c>
      <c r="B108" s="22" t="s">
        <v>83</v>
      </c>
      <c r="C108" s="1" t="s">
        <v>65</v>
      </c>
      <c r="D108" s="12">
        <f t="array" ref="D108">INDEX(SKUMaster!B:B,MATCH(B108,SKUMaster!A:A,0))</f>
        <v>240</v>
      </c>
      <c r="E108" s="13">
        <f t="shared" si="1"/>
        <v>240</v>
      </c>
    </row>
    <row r="109" ht="15.75" customHeight="1">
      <c r="A109" s="1" t="s">
        <v>143</v>
      </c>
      <c r="B109" s="22" t="s">
        <v>108</v>
      </c>
      <c r="C109" s="1" t="s">
        <v>65</v>
      </c>
      <c r="D109" s="12">
        <f t="array" ref="D109">INDEX(SKUMaster!B:B,MATCH(B109,SKUMaster!A:A,0))</f>
        <v>165</v>
      </c>
      <c r="E109" s="13">
        <f t="shared" si="1"/>
        <v>165</v>
      </c>
    </row>
    <row r="110" ht="15.75" customHeight="1">
      <c r="A110" s="1" t="s">
        <v>143</v>
      </c>
      <c r="B110" s="22" t="s">
        <v>144</v>
      </c>
      <c r="C110" s="1" t="s">
        <v>65</v>
      </c>
      <c r="D110" s="12">
        <f t="array" ref="D110">INDEX(SKUMaster!B:B,MATCH(B110,SKUMaster!A:A,0))</f>
        <v>113</v>
      </c>
      <c r="E110" s="13">
        <f t="shared" si="1"/>
        <v>113</v>
      </c>
    </row>
    <row r="111" ht="15.75" customHeight="1">
      <c r="A111" s="1" t="s">
        <v>143</v>
      </c>
      <c r="B111" s="22" t="s">
        <v>145</v>
      </c>
      <c r="C111" s="1" t="s">
        <v>65</v>
      </c>
      <c r="D111" s="12">
        <f t="array" ref="D111">INDEX(SKUMaster!B:B,MATCH(B111,SKUMaster!A:A,0))</f>
        <v>65</v>
      </c>
      <c r="E111" s="13">
        <f t="shared" si="1"/>
        <v>65</v>
      </c>
    </row>
    <row r="112" ht="15.75" customHeight="1">
      <c r="A112" s="1" t="s">
        <v>143</v>
      </c>
      <c r="B112" s="22" t="s">
        <v>108</v>
      </c>
      <c r="C112" s="1" t="s">
        <v>65</v>
      </c>
      <c r="D112" s="12">
        <f t="array" ref="D112">INDEX(SKUMaster!B:B,MATCH(B112,SKUMaster!A:A,0))</f>
        <v>165</v>
      </c>
      <c r="E112" s="13">
        <f t="shared" si="1"/>
        <v>165</v>
      </c>
    </row>
    <row r="113" ht="15.75" customHeight="1">
      <c r="A113" s="1" t="s">
        <v>146</v>
      </c>
      <c r="B113" s="22" t="s">
        <v>147</v>
      </c>
      <c r="C113" s="1" t="s">
        <v>65</v>
      </c>
      <c r="D113" s="12">
        <f t="array" ref="D113">INDEX(SKUMaster!B:B,MATCH(B113,SKUMaster!A:A,0))</f>
        <v>165</v>
      </c>
      <c r="E113" s="13">
        <f t="shared" si="1"/>
        <v>165</v>
      </c>
    </row>
    <row r="114" ht="15.75" customHeight="1">
      <c r="A114" s="1" t="s">
        <v>146</v>
      </c>
      <c r="B114" s="22" t="s">
        <v>148</v>
      </c>
      <c r="C114" s="1" t="s">
        <v>65</v>
      </c>
      <c r="D114" s="12">
        <f t="array" ref="D114">INDEX(SKUMaster!B:B,MATCH(B114,SKUMaster!A:A,0))</f>
        <v>300</v>
      </c>
      <c r="E114" s="13">
        <f t="shared" si="1"/>
        <v>300</v>
      </c>
    </row>
    <row r="115" ht="15.75" customHeight="1">
      <c r="A115" s="1" t="s">
        <v>146</v>
      </c>
      <c r="B115" s="22" t="s">
        <v>106</v>
      </c>
      <c r="C115" s="1" t="s">
        <v>65</v>
      </c>
      <c r="D115" s="12">
        <f t="array" ref="D115">INDEX(SKUMaster!B:B,MATCH(B115,SKUMaster!A:A,0))</f>
        <v>240</v>
      </c>
      <c r="E115" s="13">
        <f t="shared" si="1"/>
        <v>240</v>
      </c>
    </row>
    <row r="116" ht="15.75" customHeight="1">
      <c r="A116" s="1" t="s">
        <v>146</v>
      </c>
      <c r="B116" s="22" t="s">
        <v>83</v>
      </c>
      <c r="C116" s="1" t="s">
        <v>65</v>
      </c>
      <c r="D116" s="12">
        <f t="array" ref="D116">INDEX(SKUMaster!B:B,MATCH(B116,SKUMaster!A:A,0))</f>
        <v>240</v>
      </c>
      <c r="E116" s="13">
        <f t="shared" si="1"/>
        <v>240</v>
      </c>
    </row>
    <row r="117" ht="15.75" customHeight="1">
      <c r="A117" s="1" t="s">
        <v>149</v>
      </c>
      <c r="B117" s="22" t="s">
        <v>119</v>
      </c>
      <c r="C117" s="1" t="s">
        <v>65</v>
      </c>
      <c r="D117" s="12">
        <f t="array" ref="D117">INDEX(SKUMaster!B:B,MATCH(B117,SKUMaster!A:A,0))</f>
        <v>120</v>
      </c>
      <c r="E117" s="13">
        <f t="shared" si="1"/>
        <v>120</v>
      </c>
    </row>
    <row r="118" ht="15.75" customHeight="1">
      <c r="A118" s="1" t="s">
        <v>149</v>
      </c>
      <c r="B118" s="22" t="s">
        <v>141</v>
      </c>
      <c r="C118" s="1" t="s">
        <v>65</v>
      </c>
      <c r="D118" s="12">
        <f t="array" ref="D118">INDEX(SKUMaster!B:B,MATCH(B118,SKUMaster!A:A,0))</f>
        <v>210</v>
      </c>
      <c r="E118" s="13">
        <f t="shared" si="1"/>
        <v>210</v>
      </c>
    </row>
    <row r="119" ht="15.75" customHeight="1">
      <c r="A119" s="1" t="s">
        <v>149</v>
      </c>
      <c r="B119" s="22" t="s">
        <v>150</v>
      </c>
      <c r="C119" s="1" t="s">
        <v>65</v>
      </c>
      <c r="D119" s="12">
        <f t="array" ref="D119">INDEX(SKUMaster!B:B,MATCH(B119,SKUMaster!A:A,0))</f>
        <v>210</v>
      </c>
      <c r="E119" s="13">
        <f t="shared" si="1"/>
        <v>210</v>
      </c>
    </row>
    <row r="120" ht="15.75" customHeight="1">
      <c r="A120" s="1" t="s">
        <v>149</v>
      </c>
      <c r="B120" s="22" t="s">
        <v>121</v>
      </c>
      <c r="C120" s="1" t="s">
        <v>65</v>
      </c>
      <c r="D120" s="12">
        <f t="array" ref="D120">INDEX(SKUMaster!B:B,MATCH(B120,SKUMaster!A:A,0))</f>
        <v>210</v>
      </c>
      <c r="E120" s="13">
        <f t="shared" si="1"/>
        <v>210</v>
      </c>
    </row>
    <row r="121" ht="15.75" customHeight="1">
      <c r="A121" s="1" t="s">
        <v>151</v>
      </c>
      <c r="B121" s="22" t="s">
        <v>83</v>
      </c>
      <c r="C121" s="1" t="s">
        <v>65</v>
      </c>
      <c r="D121" s="12">
        <f t="array" ref="D121">INDEX(SKUMaster!B:B,MATCH(B121,SKUMaster!A:A,0))</f>
        <v>240</v>
      </c>
      <c r="E121" s="13">
        <f t="shared" si="1"/>
        <v>240</v>
      </c>
    </row>
    <row r="122" ht="15.75" customHeight="1">
      <c r="A122" s="1" t="s">
        <v>151</v>
      </c>
      <c r="B122" s="22" t="s">
        <v>152</v>
      </c>
      <c r="C122" s="1" t="s">
        <v>65</v>
      </c>
      <c r="D122" s="12">
        <f t="array" ref="D122">INDEX(SKUMaster!B:B,MATCH(B122,SKUMaster!A:A,0))</f>
        <v>165</v>
      </c>
      <c r="E122" s="13">
        <f t="shared" si="1"/>
        <v>165</v>
      </c>
    </row>
    <row r="123" ht="15.75" customHeight="1">
      <c r="A123" s="1" t="s">
        <v>151</v>
      </c>
      <c r="B123" s="22" t="s">
        <v>120</v>
      </c>
      <c r="C123" s="1" t="s">
        <v>65</v>
      </c>
      <c r="D123" s="12">
        <f t="array" ref="D123">INDEX(SKUMaster!B:B,MATCH(B123,SKUMaster!A:A,0))</f>
        <v>100</v>
      </c>
      <c r="E123" s="13">
        <f t="shared" si="1"/>
        <v>100</v>
      </c>
    </row>
    <row r="124" ht="15.75" customHeight="1">
      <c r="A124" s="1" t="s">
        <v>153</v>
      </c>
      <c r="B124" s="22" t="s">
        <v>119</v>
      </c>
      <c r="C124" s="1" t="s">
        <v>65</v>
      </c>
      <c r="D124" s="12">
        <f t="array" ref="D124">INDEX(SKUMaster!B:B,MATCH(B124,SKUMaster!A:A,0))</f>
        <v>120</v>
      </c>
      <c r="E124" s="13">
        <f t="shared" si="1"/>
        <v>120</v>
      </c>
    </row>
    <row r="125" ht="15.75" customHeight="1">
      <c r="A125" s="1" t="s">
        <v>153</v>
      </c>
      <c r="B125" s="22" t="s">
        <v>120</v>
      </c>
      <c r="C125" s="1" t="s">
        <v>65</v>
      </c>
      <c r="D125" s="12">
        <f t="array" ref="D125">INDEX(SKUMaster!B:B,MATCH(B125,SKUMaster!A:A,0))</f>
        <v>100</v>
      </c>
      <c r="E125" s="13">
        <f t="shared" si="1"/>
        <v>100</v>
      </c>
    </row>
    <row r="126" ht="15.75" customHeight="1">
      <c r="A126" s="1" t="s">
        <v>153</v>
      </c>
      <c r="B126" s="22" t="s">
        <v>122</v>
      </c>
      <c r="C126" s="1" t="s">
        <v>65</v>
      </c>
      <c r="D126" s="12">
        <f t="array" ref="D126">INDEX(SKUMaster!B:B,MATCH(B126,SKUMaster!A:A,0))</f>
        <v>140</v>
      </c>
      <c r="E126" s="13">
        <f t="shared" si="1"/>
        <v>140</v>
      </c>
    </row>
    <row r="127" ht="15.75" customHeight="1">
      <c r="A127" s="1" t="s">
        <v>153</v>
      </c>
      <c r="B127" s="22" t="s">
        <v>77</v>
      </c>
      <c r="C127" s="1" t="s">
        <v>72</v>
      </c>
      <c r="D127" s="12">
        <f t="array" ref="D127">INDEX(SKUMaster!B:B,MATCH(B127,SKUMaster!A:A,0))</f>
        <v>112</v>
      </c>
      <c r="E127" s="13">
        <f t="shared" si="1"/>
        <v>224</v>
      </c>
    </row>
    <row r="128" ht="15.75" customHeight="1">
      <c r="A128" s="1" t="s">
        <v>153</v>
      </c>
      <c r="B128" s="22" t="s">
        <v>81</v>
      </c>
      <c r="C128" s="1" t="s">
        <v>72</v>
      </c>
      <c r="D128" s="12">
        <f t="array" ref="D128">INDEX(SKUMaster!B:B,MATCH(B128,SKUMaster!A:A,0))</f>
        <v>112</v>
      </c>
      <c r="E128" s="13">
        <f t="shared" si="1"/>
        <v>224</v>
      </c>
    </row>
    <row r="129" ht="15.75" customHeight="1">
      <c r="A129" s="1" t="s">
        <v>153</v>
      </c>
      <c r="B129" s="22" t="s">
        <v>75</v>
      </c>
      <c r="C129" s="1" t="s">
        <v>72</v>
      </c>
      <c r="D129" s="12">
        <f t="array" ref="D129">INDEX(SKUMaster!B:B,MATCH(B129,SKUMaster!A:A,0))</f>
        <v>112</v>
      </c>
      <c r="E129" s="13">
        <f t="shared" si="1"/>
        <v>224</v>
      </c>
    </row>
    <row r="130" ht="15.75" customHeight="1">
      <c r="A130" s="1" t="s">
        <v>154</v>
      </c>
      <c r="B130" s="22" t="s">
        <v>64</v>
      </c>
      <c r="C130" s="1" t="s">
        <v>65</v>
      </c>
      <c r="D130" s="12">
        <f t="array" ref="D130">INDEX(SKUMaster!B:B,MATCH(B130,SKUMaster!A:A,0))</f>
        <v>127</v>
      </c>
      <c r="E130" s="13">
        <f t="shared" si="1"/>
        <v>127</v>
      </c>
    </row>
    <row r="131" ht="15.75" customHeight="1">
      <c r="A131" s="1" t="s">
        <v>154</v>
      </c>
      <c r="B131" s="22" t="s">
        <v>90</v>
      </c>
      <c r="C131" s="1" t="s">
        <v>65</v>
      </c>
      <c r="D131" s="12">
        <f t="array" ref="D131">INDEX(SKUMaster!B:B,MATCH(B131,SKUMaster!A:A,0))</f>
        <v>240</v>
      </c>
      <c r="E131" s="13">
        <f t="shared" si="1"/>
        <v>240</v>
      </c>
    </row>
    <row r="132" ht="15.75" customHeight="1">
      <c r="A132" s="1" t="s">
        <v>154</v>
      </c>
      <c r="B132" s="22" t="s">
        <v>83</v>
      </c>
      <c r="C132" s="1" t="s">
        <v>65</v>
      </c>
      <c r="D132" s="12">
        <f t="array" ref="D132">INDEX(SKUMaster!B:B,MATCH(B132,SKUMaster!A:A,0))</f>
        <v>240</v>
      </c>
      <c r="E132" s="13">
        <f t="shared" si="1"/>
        <v>240</v>
      </c>
    </row>
    <row r="133" ht="15.75" customHeight="1">
      <c r="A133" s="1" t="s">
        <v>155</v>
      </c>
      <c r="B133" s="22" t="s">
        <v>64</v>
      </c>
      <c r="C133" s="1" t="s">
        <v>65</v>
      </c>
      <c r="D133" s="12">
        <f t="array" ref="D133">INDEX(SKUMaster!B:B,MATCH(B133,SKUMaster!A:A,0))</f>
        <v>127</v>
      </c>
      <c r="E133" s="13">
        <f t="shared" si="1"/>
        <v>127</v>
      </c>
    </row>
    <row r="134" ht="15.75" customHeight="1">
      <c r="A134" s="1" t="s">
        <v>155</v>
      </c>
      <c r="B134" s="22" t="s">
        <v>101</v>
      </c>
      <c r="C134" s="1" t="s">
        <v>65</v>
      </c>
      <c r="D134" s="12">
        <f t="array" ref="D134">INDEX(SKUMaster!B:B,MATCH(B134,SKUMaster!A:A,0))</f>
        <v>133</v>
      </c>
      <c r="E134" s="13">
        <f t="shared" si="1"/>
        <v>133</v>
      </c>
    </row>
    <row r="135" ht="15.75" customHeight="1">
      <c r="A135" s="1" t="s">
        <v>155</v>
      </c>
      <c r="B135" s="22" t="s">
        <v>90</v>
      </c>
      <c r="C135" s="1" t="s">
        <v>65</v>
      </c>
      <c r="D135" s="12">
        <f t="array" ref="D135">INDEX(SKUMaster!B:B,MATCH(B135,SKUMaster!A:A,0))</f>
        <v>240</v>
      </c>
      <c r="E135" s="13">
        <f t="shared" si="1"/>
        <v>240</v>
      </c>
    </row>
    <row r="136" ht="15.75" customHeight="1">
      <c r="A136" s="1" t="s">
        <v>156</v>
      </c>
      <c r="B136" s="22" t="s">
        <v>64</v>
      </c>
      <c r="C136" s="1" t="s">
        <v>65</v>
      </c>
      <c r="D136" s="12">
        <f t="array" ref="D136">INDEX(SKUMaster!B:B,MATCH(B136,SKUMaster!A:A,0))</f>
        <v>127</v>
      </c>
      <c r="E136" s="13">
        <f t="shared" si="1"/>
        <v>127</v>
      </c>
    </row>
    <row r="137" ht="15.75" customHeight="1">
      <c r="A137" s="1" t="s">
        <v>156</v>
      </c>
      <c r="B137" s="22" t="s">
        <v>102</v>
      </c>
      <c r="C137" s="1" t="s">
        <v>65</v>
      </c>
      <c r="D137" s="12">
        <f t="array" ref="D137">INDEX(SKUMaster!B:B,MATCH(B137,SKUMaster!A:A,0))</f>
        <v>121</v>
      </c>
      <c r="E137" s="13">
        <f t="shared" si="1"/>
        <v>121</v>
      </c>
    </row>
    <row r="138" ht="15.75" customHeight="1">
      <c r="A138" s="1" t="s">
        <v>156</v>
      </c>
      <c r="B138" s="22" t="s">
        <v>90</v>
      </c>
      <c r="C138" s="1" t="s">
        <v>65</v>
      </c>
      <c r="D138" s="12">
        <f t="array" ref="D138">INDEX(SKUMaster!B:B,MATCH(B138,SKUMaster!A:A,0))</f>
        <v>240</v>
      </c>
      <c r="E138" s="13">
        <f t="shared" si="1"/>
        <v>240</v>
      </c>
    </row>
    <row r="139" ht="15.75" customHeight="1">
      <c r="A139" s="1" t="s">
        <v>157</v>
      </c>
      <c r="B139" s="22" t="s">
        <v>64</v>
      </c>
      <c r="C139" s="1" t="s">
        <v>65</v>
      </c>
      <c r="D139" s="12">
        <f t="array" ref="D139">INDEX(SKUMaster!B:B,MATCH(B139,SKUMaster!A:A,0))</f>
        <v>127</v>
      </c>
      <c r="E139" s="13">
        <f t="shared" si="1"/>
        <v>127</v>
      </c>
    </row>
    <row r="140" ht="15.75" customHeight="1">
      <c r="A140" s="1" t="s">
        <v>157</v>
      </c>
      <c r="B140" s="22" t="s">
        <v>90</v>
      </c>
      <c r="C140" s="1" t="s">
        <v>65</v>
      </c>
      <c r="D140" s="12">
        <f t="array" ref="D140">INDEX(SKUMaster!B:B,MATCH(B140,SKUMaster!A:A,0))</f>
        <v>240</v>
      </c>
      <c r="E140" s="13">
        <f t="shared" si="1"/>
        <v>240</v>
      </c>
    </row>
    <row r="141" ht="15.75" customHeight="1">
      <c r="A141" s="1" t="s">
        <v>157</v>
      </c>
      <c r="B141" s="22" t="s">
        <v>83</v>
      </c>
      <c r="C141" s="1" t="s">
        <v>65</v>
      </c>
      <c r="D141" s="12">
        <f t="array" ref="D141">INDEX(SKUMaster!B:B,MATCH(B141,SKUMaster!A:A,0))</f>
        <v>240</v>
      </c>
      <c r="E141" s="13">
        <f t="shared" si="1"/>
        <v>240</v>
      </c>
    </row>
    <row r="142" ht="15.75" customHeight="1">
      <c r="A142" s="1" t="s">
        <v>158</v>
      </c>
      <c r="B142" s="22" t="s">
        <v>83</v>
      </c>
      <c r="C142" s="1" t="s">
        <v>65</v>
      </c>
      <c r="D142" s="12">
        <f t="array" ref="D142">INDEX(SKUMaster!B:B,MATCH(B142,SKUMaster!A:A,0))</f>
        <v>240</v>
      </c>
      <c r="E142" s="13">
        <f t="shared" si="1"/>
        <v>240</v>
      </c>
    </row>
    <row r="143" ht="15.75" customHeight="1">
      <c r="A143" s="1" t="s">
        <v>158</v>
      </c>
      <c r="B143" s="22" t="s">
        <v>159</v>
      </c>
      <c r="C143" s="1" t="s">
        <v>65</v>
      </c>
      <c r="D143" s="12">
        <f t="array" ref="D143">INDEX(SKUMaster!B:B,MATCH(B143,SKUMaster!A:A,0))</f>
        <v>232</v>
      </c>
      <c r="E143" s="13">
        <f t="shared" si="1"/>
        <v>232</v>
      </c>
    </row>
    <row r="144" ht="15.75" customHeight="1">
      <c r="A144" s="1" t="s">
        <v>158</v>
      </c>
      <c r="B144" s="22" t="s">
        <v>79</v>
      </c>
      <c r="C144" s="1" t="s">
        <v>65</v>
      </c>
      <c r="D144" s="12">
        <f t="array" ref="D144">INDEX(SKUMaster!B:B,MATCH(B144,SKUMaster!A:A,0))</f>
        <v>240</v>
      </c>
      <c r="E144" s="13">
        <f t="shared" si="1"/>
        <v>240</v>
      </c>
    </row>
    <row r="145" ht="15.75" customHeight="1">
      <c r="A145" s="1" t="s">
        <v>158</v>
      </c>
      <c r="B145" s="22" t="s">
        <v>71</v>
      </c>
      <c r="C145" s="1" t="s">
        <v>72</v>
      </c>
      <c r="D145" s="12">
        <f t="array" ref="D145">INDEX(SKUMaster!B:B,MATCH(B145,SKUMaster!A:A,0))</f>
        <v>137</v>
      </c>
      <c r="E145" s="13">
        <f t="shared" si="1"/>
        <v>274</v>
      </c>
    </row>
    <row r="146" ht="15.75" customHeight="1">
      <c r="A146" s="1" t="s">
        <v>160</v>
      </c>
      <c r="B146" s="22" t="s">
        <v>64</v>
      </c>
      <c r="C146" s="1" t="s">
        <v>65</v>
      </c>
      <c r="D146" s="12">
        <f t="array" ref="D146">INDEX(SKUMaster!B:B,MATCH(B146,SKUMaster!A:A,0))</f>
        <v>127</v>
      </c>
      <c r="E146" s="13">
        <f t="shared" si="1"/>
        <v>127</v>
      </c>
    </row>
    <row r="147" ht="15.75" customHeight="1">
      <c r="A147" s="1" t="s">
        <v>160</v>
      </c>
      <c r="B147" s="22" t="s">
        <v>101</v>
      </c>
      <c r="C147" s="1" t="s">
        <v>65</v>
      </c>
      <c r="D147" s="12">
        <f t="array" ref="D147">INDEX(SKUMaster!B:B,MATCH(B147,SKUMaster!A:A,0))</f>
        <v>133</v>
      </c>
      <c r="E147" s="13">
        <f t="shared" si="1"/>
        <v>133</v>
      </c>
    </row>
    <row r="148" ht="15.75" customHeight="1">
      <c r="A148" s="1" t="s">
        <v>160</v>
      </c>
      <c r="B148" s="22" t="s">
        <v>90</v>
      </c>
      <c r="C148" s="1" t="s">
        <v>65</v>
      </c>
      <c r="D148" s="12">
        <f t="array" ref="D148">INDEX(SKUMaster!B:B,MATCH(B148,SKUMaster!A:A,0))</f>
        <v>240</v>
      </c>
      <c r="E148" s="13">
        <f t="shared" si="1"/>
        <v>240</v>
      </c>
    </row>
    <row r="149" ht="15.75" customHeight="1">
      <c r="A149" s="1" t="s">
        <v>161</v>
      </c>
      <c r="B149" s="22" t="s">
        <v>64</v>
      </c>
      <c r="C149" s="1" t="s">
        <v>65</v>
      </c>
      <c r="D149" s="12">
        <f t="array" ref="D149">INDEX(SKUMaster!B:B,MATCH(B149,SKUMaster!A:A,0))</f>
        <v>127</v>
      </c>
      <c r="E149" s="13">
        <f t="shared" si="1"/>
        <v>127</v>
      </c>
    </row>
    <row r="150" ht="15.75" customHeight="1">
      <c r="A150" s="1" t="s">
        <v>161</v>
      </c>
      <c r="B150" s="22" t="s">
        <v>101</v>
      </c>
      <c r="C150" s="1" t="s">
        <v>65</v>
      </c>
      <c r="D150" s="12">
        <f t="array" ref="D150">INDEX(SKUMaster!B:B,MATCH(B150,SKUMaster!A:A,0))</f>
        <v>133</v>
      </c>
      <c r="E150" s="13">
        <f t="shared" si="1"/>
        <v>133</v>
      </c>
    </row>
    <row r="151" ht="15.75" customHeight="1">
      <c r="A151" s="1" t="s">
        <v>161</v>
      </c>
      <c r="B151" s="22" t="s">
        <v>90</v>
      </c>
      <c r="C151" s="1" t="s">
        <v>65</v>
      </c>
      <c r="D151" s="12">
        <f t="array" ref="D151">INDEX(SKUMaster!B:B,MATCH(B151,SKUMaster!A:A,0))</f>
        <v>240</v>
      </c>
      <c r="E151" s="13">
        <f t="shared" si="1"/>
        <v>240</v>
      </c>
    </row>
    <row r="152" ht="15.75" customHeight="1">
      <c r="A152" s="1" t="s">
        <v>162</v>
      </c>
      <c r="B152" s="22" t="s">
        <v>90</v>
      </c>
      <c r="C152" s="1" t="s">
        <v>65</v>
      </c>
      <c r="D152" s="12">
        <f t="array" ref="D152">INDEX(SKUMaster!B:B,MATCH(B152,SKUMaster!A:A,0))</f>
        <v>240</v>
      </c>
      <c r="E152" s="13">
        <f t="shared" si="1"/>
        <v>240</v>
      </c>
    </row>
    <row r="153" ht="15.75" customHeight="1">
      <c r="A153" s="1" t="s">
        <v>162</v>
      </c>
      <c r="B153" s="22" t="s">
        <v>102</v>
      </c>
      <c r="C153" s="1" t="s">
        <v>65</v>
      </c>
      <c r="D153" s="12">
        <f t="array" ref="D153">INDEX(SKUMaster!B:B,MATCH(B153,SKUMaster!A:A,0))</f>
        <v>121</v>
      </c>
      <c r="E153" s="13">
        <f t="shared" si="1"/>
        <v>121</v>
      </c>
    </row>
    <row r="154" ht="15.75" customHeight="1">
      <c r="A154" s="1" t="s">
        <v>162</v>
      </c>
      <c r="B154" s="22" t="s">
        <v>83</v>
      </c>
      <c r="C154" s="1" t="s">
        <v>65</v>
      </c>
      <c r="D154" s="12">
        <f t="array" ref="D154">INDEX(SKUMaster!B:B,MATCH(B154,SKUMaster!A:A,0))</f>
        <v>240</v>
      </c>
      <c r="E154" s="13">
        <f t="shared" si="1"/>
        <v>240</v>
      </c>
    </row>
    <row r="155" ht="15.75" customHeight="1">
      <c r="A155" s="1" t="s">
        <v>163</v>
      </c>
      <c r="B155" s="22" t="s">
        <v>90</v>
      </c>
      <c r="C155" s="1" t="s">
        <v>65</v>
      </c>
      <c r="D155" s="12">
        <f t="array" ref="D155">INDEX(SKUMaster!B:B,MATCH(B155,SKUMaster!A:A,0))</f>
        <v>240</v>
      </c>
      <c r="E155" s="13">
        <f t="shared" si="1"/>
        <v>240</v>
      </c>
    </row>
    <row r="156" ht="15.75" customHeight="1">
      <c r="A156" s="1" t="s">
        <v>163</v>
      </c>
      <c r="B156" s="22" t="s">
        <v>102</v>
      </c>
      <c r="C156" s="1" t="s">
        <v>65</v>
      </c>
      <c r="D156" s="12">
        <f t="array" ref="D156">INDEX(SKUMaster!B:B,MATCH(B156,SKUMaster!A:A,0))</f>
        <v>121</v>
      </c>
      <c r="E156" s="13">
        <f t="shared" si="1"/>
        <v>121</v>
      </c>
    </row>
    <row r="157" ht="15.75" customHeight="1">
      <c r="A157" s="1" t="s">
        <v>164</v>
      </c>
      <c r="B157" s="22" t="s">
        <v>141</v>
      </c>
      <c r="C157" s="1" t="s">
        <v>65</v>
      </c>
      <c r="D157" s="12">
        <f t="array" ref="D157">INDEX(SKUMaster!B:B,MATCH(B157,SKUMaster!A:A,0))</f>
        <v>210</v>
      </c>
      <c r="E157" s="13">
        <f t="shared" si="1"/>
        <v>210</v>
      </c>
    </row>
    <row r="158" ht="15.75" customHeight="1">
      <c r="A158" s="1" t="s">
        <v>164</v>
      </c>
      <c r="B158" s="22" t="s">
        <v>150</v>
      </c>
      <c r="C158" s="1" t="s">
        <v>65</v>
      </c>
      <c r="D158" s="12">
        <f t="array" ref="D158">INDEX(SKUMaster!B:B,MATCH(B158,SKUMaster!A:A,0))</f>
        <v>210</v>
      </c>
      <c r="E158" s="13">
        <f t="shared" si="1"/>
        <v>210</v>
      </c>
    </row>
    <row r="159" ht="15.75" customHeight="1">
      <c r="A159" s="1" t="s">
        <v>164</v>
      </c>
      <c r="B159" s="22" t="s">
        <v>121</v>
      </c>
      <c r="C159" s="1" t="s">
        <v>65</v>
      </c>
      <c r="D159" s="12">
        <f t="array" ref="D159">INDEX(SKUMaster!B:B,MATCH(B159,SKUMaster!A:A,0))</f>
        <v>210</v>
      </c>
      <c r="E159" s="13">
        <f t="shared" si="1"/>
        <v>210</v>
      </c>
    </row>
    <row r="160" ht="15.75" customHeight="1">
      <c r="A160" s="1" t="s">
        <v>165</v>
      </c>
      <c r="B160" s="22" t="s">
        <v>69</v>
      </c>
      <c r="C160" s="1" t="s">
        <v>65</v>
      </c>
      <c r="D160" s="12">
        <f t="array" ref="D160">INDEX(SKUMaster!B:B,MATCH(B160,SKUMaster!A:A,0))</f>
        <v>350</v>
      </c>
      <c r="E160" s="13">
        <f t="shared" si="1"/>
        <v>350</v>
      </c>
    </row>
    <row r="161" ht="15.75" customHeight="1">
      <c r="A161" s="1" t="s">
        <v>165</v>
      </c>
      <c r="B161" s="22" t="s">
        <v>116</v>
      </c>
      <c r="C161" s="1" t="s">
        <v>65</v>
      </c>
      <c r="D161" s="12">
        <f t="array" ref="D161">INDEX(SKUMaster!B:B,MATCH(B161,SKUMaster!A:A,0))</f>
        <v>350</v>
      </c>
      <c r="E161" s="13">
        <f t="shared" si="1"/>
        <v>350</v>
      </c>
    </row>
    <row r="162" ht="15.75" customHeight="1">
      <c r="A162" s="1" t="s">
        <v>165</v>
      </c>
      <c r="B162" s="22" t="s">
        <v>117</v>
      </c>
      <c r="C162" s="1" t="s">
        <v>65</v>
      </c>
      <c r="D162" s="12">
        <f t="array" ref="D162">INDEX(SKUMaster!B:B,MATCH(B162,SKUMaster!A:A,0))</f>
        <v>350</v>
      </c>
      <c r="E162" s="13">
        <f t="shared" si="1"/>
        <v>350</v>
      </c>
    </row>
    <row r="163" ht="15.75" customHeight="1">
      <c r="A163" s="1" t="s">
        <v>165</v>
      </c>
      <c r="B163" s="22" t="s">
        <v>86</v>
      </c>
      <c r="C163" s="1" t="s">
        <v>65</v>
      </c>
      <c r="D163" s="12">
        <f t="array" ref="D163">INDEX(SKUMaster!B:B,MATCH(B163,SKUMaster!A:A,0))</f>
        <v>350</v>
      </c>
      <c r="E163" s="13">
        <f t="shared" si="1"/>
        <v>350</v>
      </c>
    </row>
    <row r="164" ht="15.75" customHeight="1">
      <c r="A164" s="1" t="s">
        <v>165</v>
      </c>
      <c r="B164" s="22" t="s">
        <v>81</v>
      </c>
      <c r="C164" s="1" t="s">
        <v>72</v>
      </c>
      <c r="D164" s="12">
        <f t="array" ref="D164">INDEX(SKUMaster!B:B,MATCH(B164,SKUMaster!A:A,0))</f>
        <v>112</v>
      </c>
      <c r="E164" s="13">
        <f t="shared" si="1"/>
        <v>224</v>
      </c>
    </row>
    <row r="165" ht="15.75" customHeight="1">
      <c r="A165" s="1" t="s">
        <v>165</v>
      </c>
      <c r="B165" s="22" t="s">
        <v>75</v>
      </c>
      <c r="C165" s="1" t="s">
        <v>72</v>
      </c>
      <c r="D165" s="12">
        <f t="array" ref="D165">INDEX(SKUMaster!B:B,MATCH(B165,SKUMaster!A:A,0))</f>
        <v>112</v>
      </c>
      <c r="E165" s="13">
        <f t="shared" si="1"/>
        <v>224</v>
      </c>
    </row>
    <row r="166" ht="15.75" customHeight="1">
      <c r="A166" s="1" t="s">
        <v>165</v>
      </c>
      <c r="B166" s="22" t="s">
        <v>119</v>
      </c>
      <c r="C166" s="1" t="s">
        <v>65</v>
      </c>
      <c r="D166" s="12">
        <f t="array" ref="D166">INDEX(SKUMaster!B:B,MATCH(B166,SKUMaster!A:A,0))</f>
        <v>120</v>
      </c>
      <c r="E166" s="13">
        <f t="shared" si="1"/>
        <v>120</v>
      </c>
    </row>
    <row r="167" ht="15.75" customHeight="1">
      <c r="A167" s="1" t="s">
        <v>165</v>
      </c>
      <c r="B167" s="22" t="s">
        <v>120</v>
      </c>
      <c r="C167" s="1" t="s">
        <v>65</v>
      </c>
      <c r="D167" s="12">
        <f t="array" ref="D167">INDEX(SKUMaster!B:B,MATCH(B167,SKUMaster!A:A,0))</f>
        <v>100</v>
      </c>
      <c r="E167" s="13">
        <f t="shared" si="1"/>
        <v>100</v>
      </c>
    </row>
    <row r="168" ht="15.75" customHeight="1">
      <c r="A168" s="1" t="s">
        <v>165</v>
      </c>
      <c r="B168" s="22" t="s">
        <v>122</v>
      </c>
      <c r="C168" s="1" t="s">
        <v>65</v>
      </c>
      <c r="D168" s="12">
        <f t="array" ref="D168">INDEX(SKUMaster!B:B,MATCH(B168,SKUMaster!A:A,0))</f>
        <v>140</v>
      </c>
      <c r="E168" s="13">
        <f t="shared" si="1"/>
        <v>140</v>
      </c>
    </row>
    <row r="169" ht="15.75" customHeight="1">
      <c r="A169" s="1" t="s">
        <v>165</v>
      </c>
      <c r="B169" s="22" t="s">
        <v>166</v>
      </c>
      <c r="C169" s="1" t="s">
        <v>65</v>
      </c>
      <c r="D169" s="12">
        <f t="array" ref="D169">INDEX(SKUMaster!B:B,MATCH(B169,SKUMaster!A:A,0))</f>
        <v>140</v>
      </c>
      <c r="E169" s="13">
        <f t="shared" si="1"/>
        <v>140</v>
      </c>
    </row>
    <row r="170" ht="15.75" customHeight="1">
      <c r="A170" s="1" t="s">
        <v>165</v>
      </c>
      <c r="B170" s="22" t="s">
        <v>64</v>
      </c>
      <c r="C170" s="1" t="s">
        <v>65</v>
      </c>
      <c r="D170" s="12">
        <f t="array" ref="D170">INDEX(SKUMaster!B:B,MATCH(B170,SKUMaster!A:A,0))</f>
        <v>127</v>
      </c>
      <c r="E170" s="13">
        <f t="shared" si="1"/>
        <v>127</v>
      </c>
    </row>
    <row r="171" ht="15.75" customHeight="1">
      <c r="A171" s="1" t="s">
        <v>165</v>
      </c>
      <c r="B171" s="22" t="s">
        <v>101</v>
      </c>
      <c r="C171" s="1" t="s">
        <v>65</v>
      </c>
      <c r="D171" s="12">
        <f t="array" ref="D171">INDEX(SKUMaster!B:B,MATCH(B171,SKUMaster!A:A,0))</f>
        <v>133</v>
      </c>
      <c r="E171" s="13">
        <f t="shared" si="1"/>
        <v>133</v>
      </c>
    </row>
    <row r="172" ht="15.75" customHeight="1">
      <c r="A172" s="1" t="s">
        <v>165</v>
      </c>
      <c r="B172" s="22" t="s">
        <v>90</v>
      </c>
      <c r="C172" s="1" t="s">
        <v>65</v>
      </c>
      <c r="D172" s="12">
        <f t="array" ref="D172">INDEX(SKUMaster!B:B,MATCH(B172,SKUMaster!A:A,0))</f>
        <v>240</v>
      </c>
      <c r="E172" s="13">
        <f t="shared" si="1"/>
        <v>240</v>
      </c>
    </row>
    <row r="173" ht="15.75" customHeight="1">
      <c r="A173" s="1" t="s">
        <v>165</v>
      </c>
      <c r="B173" s="22" t="s">
        <v>159</v>
      </c>
      <c r="C173" s="1" t="s">
        <v>65</v>
      </c>
      <c r="D173" s="12">
        <f t="array" ref="D173">INDEX(SKUMaster!B:B,MATCH(B173,SKUMaster!A:A,0))</f>
        <v>232</v>
      </c>
      <c r="E173" s="13">
        <f t="shared" si="1"/>
        <v>232</v>
      </c>
    </row>
    <row r="174" ht="15.75" customHeight="1">
      <c r="A174" s="1" t="s">
        <v>167</v>
      </c>
      <c r="B174" s="22" t="s">
        <v>117</v>
      </c>
      <c r="C174" s="1" t="s">
        <v>65</v>
      </c>
      <c r="D174" s="12">
        <f t="array" ref="D174">INDEX(SKUMaster!B:B,MATCH(B174,SKUMaster!A:A,0))</f>
        <v>350</v>
      </c>
      <c r="E174" s="13">
        <f t="shared" si="1"/>
        <v>350</v>
      </c>
    </row>
    <row r="175" ht="15.75" customHeight="1">
      <c r="A175" s="1" t="s">
        <v>167</v>
      </c>
      <c r="B175" s="22" t="s">
        <v>147</v>
      </c>
      <c r="C175" s="1" t="s">
        <v>65</v>
      </c>
      <c r="D175" s="12">
        <f t="array" ref="D175">INDEX(SKUMaster!B:B,MATCH(B175,SKUMaster!A:A,0))</f>
        <v>165</v>
      </c>
      <c r="E175" s="13">
        <f t="shared" si="1"/>
        <v>165</v>
      </c>
    </row>
    <row r="176" ht="15.75" customHeight="1">
      <c r="A176" s="1" t="s">
        <v>167</v>
      </c>
      <c r="B176" s="22" t="s">
        <v>114</v>
      </c>
      <c r="C176" s="1" t="s">
        <v>65</v>
      </c>
      <c r="D176" s="12">
        <f t="array" ref="D176">INDEX(SKUMaster!B:B,MATCH(B176,SKUMaster!A:A,0))</f>
        <v>120</v>
      </c>
      <c r="E176" s="13">
        <f t="shared" si="1"/>
        <v>120</v>
      </c>
    </row>
    <row r="177" ht="15.75" customHeight="1">
      <c r="A177" s="1" t="s">
        <v>167</v>
      </c>
      <c r="B177" s="22" t="s">
        <v>119</v>
      </c>
      <c r="C177" s="1" t="s">
        <v>65</v>
      </c>
      <c r="D177" s="12">
        <f t="array" ref="D177">INDEX(SKUMaster!B:B,MATCH(B177,SKUMaster!A:A,0))</f>
        <v>120</v>
      </c>
      <c r="E177" s="13">
        <f t="shared" si="1"/>
        <v>120</v>
      </c>
    </row>
    <row r="178" ht="15.75" customHeight="1">
      <c r="A178" s="1" t="s">
        <v>167</v>
      </c>
      <c r="B178" s="22" t="s">
        <v>159</v>
      </c>
      <c r="C178" s="1" t="s">
        <v>65</v>
      </c>
      <c r="D178" s="12">
        <f t="array" ref="D178">INDEX(SKUMaster!B:B,MATCH(B178,SKUMaster!A:A,0))</f>
        <v>232</v>
      </c>
      <c r="E178" s="13">
        <f t="shared" si="1"/>
        <v>232</v>
      </c>
    </row>
    <row r="179" ht="15.75" customHeight="1">
      <c r="A179" s="1" t="s">
        <v>167</v>
      </c>
      <c r="B179" s="22" t="s">
        <v>168</v>
      </c>
      <c r="C179" s="1" t="s">
        <v>65</v>
      </c>
      <c r="D179" s="12">
        <f t="array" ref="D179">INDEX(SKUMaster!B:B,MATCH(B179,SKUMaster!A:A,0))</f>
        <v>500</v>
      </c>
      <c r="E179" s="13">
        <f t="shared" si="1"/>
        <v>500</v>
      </c>
    </row>
    <row r="180" ht="15.75" customHeight="1">
      <c r="A180" s="1" t="s">
        <v>167</v>
      </c>
      <c r="B180" s="22" t="s">
        <v>169</v>
      </c>
      <c r="C180" s="1" t="s">
        <v>65</v>
      </c>
      <c r="D180" s="12">
        <f t="array" ref="D180">INDEX(SKUMaster!B:B,MATCH(B180,SKUMaster!A:A,0))</f>
        <v>30</v>
      </c>
      <c r="E180" s="13">
        <f t="shared" si="1"/>
        <v>30</v>
      </c>
    </row>
    <row r="181" ht="15.75" customHeight="1">
      <c r="A181" s="1" t="s">
        <v>170</v>
      </c>
      <c r="B181" s="22" t="s">
        <v>64</v>
      </c>
      <c r="C181" s="1" t="s">
        <v>65</v>
      </c>
      <c r="D181" s="12">
        <f t="array" ref="D181">INDEX(SKUMaster!B:B,MATCH(B181,SKUMaster!A:A,0))</f>
        <v>127</v>
      </c>
      <c r="E181" s="13">
        <f t="shared" si="1"/>
        <v>127</v>
      </c>
    </row>
    <row r="182" ht="15.75" customHeight="1">
      <c r="A182" s="1" t="s">
        <v>170</v>
      </c>
      <c r="B182" s="22" t="s">
        <v>75</v>
      </c>
      <c r="C182" s="1" t="s">
        <v>84</v>
      </c>
      <c r="D182" s="12">
        <f t="array" ref="D182">INDEX(SKUMaster!B:B,MATCH(B182,SKUMaster!A:A,0))</f>
        <v>112</v>
      </c>
      <c r="E182" s="13">
        <f t="shared" si="1"/>
        <v>896</v>
      </c>
    </row>
    <row r="183" ht="15.75" customHeight="1">
      <c r="A183" s="1" t="s">
        <v>170</v>
      </c>
      <c r="B183" s="22" t="s">
        <v>102</v>
      </c>
      <c r="C183" s="1" t="s">
        <v>72</v>
      </c>
      <c r="D183" s="12">
        <f t="array" ref="D183">INDEX(SKUMaster!B:B,MATCH(B183,SKUMaster!A:A,0))</f>
        <v>121</v>
      </c>
      <c r="E183" s="13">
        <f t="shared" si="1"/>
        <v>242</v>
      </c>
    </row>
    <row r="184" ht="15.75" customHeight="1">
      <c r="A184" s="1" t="s">
        <v>170</v>
      </c>
      <c r="B184" s="22" t="s">
        <v>90</v>
      </c>
      <c r="C184" s="1" t="s">
        <v>65</v>
      </c>
      <c r="D184" s="12">
        <f t="array" ref="D184">INDEX(SKUMaster!B:B,MATCH(B184,SKUMaster!A:A,0))</f>
        <v>240</v>
      </c>
      <c r="E184" s="13">
        <f t="shared" si="1"/>
        <v>240</v>
      </c>
    </row>
    <row r="185" ht="15.75" customHeight="1">
      <c r="A185" s="1" t="s">
        <v>171</v>
      </c>
      <c r="B185" s="22" t="s">
        <v>64</v>
      </c>
      <c r="C185" s="1" t="s">
        <v>65</v>
      </c>
      <c r="D185" s="12">
        <f t="array" ref="D185">INDEX(SKUMaster!B:B,MATCH(B185,SKUMaster!A:A,0))</f>
        <v>127</v>
      </c>
      <c r="E185" s="13">
        <f t="shared" si="1"/>
        <v>127</v>
      </c>
    </row>
    <row r="186" ht="15.75" customHeight="1">
      <c r="A186" s="1" t="s">
        <v>171</v>
      </c>
      <c r="B186" s="22" t="s">
        <v>90</v>
      </c>
      <c r="C186" s="1" t="s">
        <v>65</v>
      </c>
      <c r="D186" s="12">
        <f t="array" ref="D186">INDEX(SKUMaster!B:B,MATCH(B186,SKUMaster!A:A,0))</f>
        <v>240</v>
      </c>
      <c r="E186" s="13">
        <f t="shared" si="1"/>
        <v>240</v>
      </c>
    </row>
    <row r="187" ht="15.75" customHeight="1">
      <c r="A187" s="1" t="s">
        <v>171</v>
      </c>
      <c r="B187" s="22" t="s">
        <v>83</v>
      </c>
      <c r="C187" s="1" t="s">
        <v>65</v>
      </c>
      <c r="D187" s="12">
        <f t="array" ref="D187">INDEX(SKUMaster!B:B,MATCH(B187,SKUMaster!A:A,0))</f>
        <v>240</v>
      </c>
      <c r="E187" s="13">
        <f t="shared" si="1"/>
        <v>240</v>
      </c>
    </row>
    <row r="188" ht="15.75" customHeight="1">
      <c r="A188" s="1" t="s">
        <v>172</v>
      </c>
      <c r="B188" s="22" t="s">
        <v>64</v>
      </c>
      <c r="C188" s="1" t="s">
        <v>65</v>
      </c>
      <c r="D188" s="12">
        <f t="array" ref="D188">INDEX(SKUMaster!B:B,MATCH(B188,SKUMaster!A:A,0))</f>
        <v>127</v>
      </c>
      <c r="E188" s="13">
        <f t="shared" si="1"/>
        <v>127</v>
      </c>
    </row>
    <row r="189" ht="15.75" customHeight="1">
      <c r="A189" s="1" t="s">
        <v>172</v>
      </c>
      <c r="B189" s="22" t="s">
        <v>101</v>
      </c>
      <c r="C189" s="1" t="s">
        <v>65</v>
      </c>
      <c r="D189" s="12">
        <f t="array" ref="D189">INDEX(SKUMaster!B:B,MATCH(B189,SKUMaster!A:A,0))</f>
        <v>133</v>
      </c>
      <c r="E189" s="13">
        <f t="shared" si="1"/>
        <v>133</v>
      </c>
    </row>
    <row r="190" ht="15.75" customHeight="1">
      <c r="A190" s="1" t="s">
        <v>172</v>
      </c>
      <c r="B190" s="22" t="s">
        <v>90</v>
      </c>
      <c r="C190" s="1" t="s">
        <v>65</v>
      </c>
      <c r="D190" s="12">
        <f t="array" ref="D190">INDEX(SKUMaster!B:B,MATCH(B190,SKUMaster!A:A,0))</f>
        <v>240</v>
      </c>
      <c r="E190" s="13">
        <f t="shared" si="1"/>
        <v>240</v>
      </c>
    </row>
    <row r="191" ht="15.75" customHeight="1">
      <c r="A191" s="1" t="s">
        <v>173</v>
      </c>
      <c r="B191" s="22" t="s">
        <v>64</v>
      </c>
      <c r="C191" s="1" t="s">
        <v>65</v>
      </c>
      <c r="D191" s="12">
        <f t="array" ref="D191">INDEX(SKUMaster!B:B,MATCH(B191,SKUMaster!A:A,0))</f>
        <v>127</v>
      </c>
      <c r="E191" s="13">
        <f t="shared" si="1"/>
        <v>127</v>
      </c>
    </row>
    <row r="192" ht="15.75" customHeight="1">
      <c r="A192" s="1" t="s">
        <v>173</v>
      </c>
      <c r="B192" s="22" t="s">
        <v>101</v>
      </c>
      <c r="C192" s="1" t="s">
        <v>65</v>
      </c>
      <c r="D192" s="12">
        <f t="array" ref="D192">INDEX(SKUMaster!B:B,MATCH(B192,SKUMaster!A:A,0))</f>
        <v>133</v>
      </c>
      <c r="E192" s="13">
        <f t="shared" si="1"/>
        <v>133</v>
      </c>
    </row>
    <row r="193" ht="15.75" customHeight="1">
      <c r="A193" s="1" t="s">
        <v>173</v>
      </c>
      <c r="B193" s="22" t="s">
        <v>90</v>
      </c>
      <c r="C193" s="1" t="s">
        <v>65</v>
      </c>
      <c r="D193" s="12">
        <f t="array" ref="D193">INDEX(SKUMaster!B:B,MATCH(B193,SKUMaster!A:A,0))</f>
        <v>240</v>
      </c>
      <c r="E193" s="13">
        <f t="shared" si="1"/>
        <v>240</v>
      </c>
    </row>
    <row r="194" ht="15.75" customHeight="1">
      <c r="A194" s="1" t="s">
        <v>174</v>
      </c>
      <c r="B194" s="22" t="s">
        <v>64</v>
      </c>
      <c r="C194" s="1" t="s">
        <v>65</v>
      </c>
      <c r="D194" s="12">
        <f t="array" ref="D194">INDEX(SKUMaster!B:B,MATCH(B194,SKUMaster!A:A,0))</f>
        <v>127</v>
      </c>
      <c r="E194" s="13">
        <f t="shared" si="1"/>
        <v>127</v>
      </c>
    </row>
    <row r="195" ht="15.75" customHeight="1">
      <c r="A195" s="1" t="s">
        <v>174</v>
      </c>
      <c r="B195" s="22" t="s">
        <v>101</v>
      </c>
      <c r="C195" s="1" t="s">
        <v>65</v>
      </c>
      <c r="D195" s="12">
        <f t="array" ref="D195">INDEX(SKUMaster!B:B,MATCH(B195,SKUMaster!A:A,0))</f>
        <v>133</v>
      </c>
      <c r="E195" s="13">
        <f t="shared" si="1"/>
        <v>133</v>
      </c>
    </row>
    <row r="196" ht="15.75" customHeight="1">
      <c r="A196" s="1" t="s">
        <v>174</v>
      </c>
      <c r="B196" s="22" t="s">
        <v>90</v>
      </c>
      <c r="C196" s="1" t="s">
        <v>65</v>
      </c>
      <c r="D196" s="12">
        <f t="array" ref="D196">INDEX(SKUMaster!B:B,MATCH(B196,SKUMaster!A:A,0))</f>
        <v>240</v>
      </c>
      <c r="E196" s="13">
        <f t="shared" si="1"/>
        <v>240</v>
      </c>
    </row>
    <row r="197" ht="15.75" customHeight="1">
      <c r="A197" s="1" t="s">
        <v>175</v>
      </c>
      <c r="B197" s="22" t="s">
        <v>64</v>
      </c>
      <c r="C197" s="1" t="s">
        <v>65</v>
      </c>
      <c r="D197" s="12">
        <f t="array" ref="D197">INDEX(SKUMaster!B:B,MATCH(B197,SKUMaster!A:A,0))</f>
        <v>127</v>
      </c>
      <c r="E197" s="13">
        <f t="shared" si="1"/>
        <v>127</v>
      </c>
    </row>
    <row r="198" ht="15.75" customHeight="1">
      <c r="A198" s="1" t="s">
        <v>175</v>
      </c>
      <c r="B198" s="22" t="s">
        <v>101</v>
      </c>
      <c r="C198" s="1" t="s">
        <v>65</v>
      </c>
      <c r="D198" s="12">
        <f t="array" ref="D198">INDEX(SKUMaster!B:B,MATCH(B198,SKUMaster!A:A,0))</f>
        <v>133</v>
      </c>
      <c r="E198" s="13">
        <f t="shared" si="1"/>
        <v>133</v>
      </c>
    </row>
    <row r="199" ht="15.75" customHeight="1">
      <c r="A199" s="1" t="s">
        <v>175</v>
      </c>
      <c r="B199" s="22" t="s">
        <v>90</v>
      </c>
      <c r="C199" s="1" t="s">
        <v>65</v>
      </c>
      <c r="D199" s="12">
        <f t="array" ref="D199">INDEX(SKUMaster!B:B,MATCH(B199,SKUMaster!A:A,0))</f>
        <v>240</v>
      </c>
      <c r="E199" s="13">
        <f t="shared" si="1"/>
        <v>240</v>
      </c>
    </row>
    <row r="200" ht="15.75" customHeight="1">
      <c r="A200" s="1" t="s">
        <v>176</v>
      </c>
      <c r="B200" s="22" t="s">
        <v>99</v>
      </c>
      <c r="C200" s="1" t="s">
        <v>65</v>
      </c>
      <c r="D200" s="12">
        <f t="array" ref="D200">INDEX(SKUMaster!B:B,MATCH(B200,SKUMaster!A:A,0))</f>
        <v>600</v>
      </c>
      <c r="E200" s="13">
        <f t="shared" si="1"/>
        <v>600</v>
      </c>
    </row>
    <row r="201" ht="15.75" customHeight="1">
      <c r="A201" s="1" t="s">
        <v>177</v>
      </c>
      <c r="B201" s="22" t="s">
        <v>111</v>
      </c>
      <c r="C201" s="1" t="s">
        <v>72</v>
      </c>
      <c r="D201" s="12">
        <f t="array" ref="D201">INDEX(SKUMaster!B:B,MATCH(B201,SKUMaster!A:A,0))</f>
        <v>65</v>
      </c>
      <c r="E201" s="13">
        <f t="shared" si="1"/>
        <v>130</v>
      </c>
    </row>
    <row r="202" ht="15.75" customHeight="1">
      <c r="A202" s="1" t="s">
        <v>177</v>
      </c>
      <c r="B202" s="22" t="s">
        <v>178</v>
      </c>
      <c r="C202" s="1" t="s">
        <v>72</v>
      </c>
      <c r="D202" s="12">
        <f t="array" ref="D202">INDEX(SKUMaster!B:B,MATCH(B202,SKUMaster!A:A,0))</f>
        <v>113</v>
      </c>
      <c r="E202" s="13">
        <f t="shared" si="1"/>
        <v>226</v>
      </c>
    </row>
    <row r="203" ht="15.75" customHeight="1">
      <c r="A203" s="1" t="s">
        <v>177</v>
      </c>
      <c r="B203" s="22" t="s">
        <v>108</v>
      </c>
      <c r="C203" s="1" t="s">
        <v>65</v>
      </c>
      <c r="D203" s="12">
        <f t="array" ref="D203">INDEX(SKUMaster!B:B,MATCH(B203,SKUMaster!A:A,0))</f>
        <v>165</v>
      </c>
      <c r="E203" s="13">
        <f t="shared" si="1"/>
        <v>165</v>
      </c>
    </row>
    <row r="204" ht="15.75" customHeight="1">
      <c r="A204" s="1" t="s">
        <v>177</v>
      </c>
      <c r="B204" s="22" t="s">
        <v>179</v>
      </c>
      <c r="C204" s="1" t="s">
        <v>65</v>
      </c>
      <c r="D204" s="12">
        <f t="array" ref="D204">INDEX(SKUMaster!B:B,MATCH(B204,SKUMaster!A:A,0))</f>
        <v>210</v>
      </c>
      <c r="E204" s="13">
        <f t="shared" si="1"/>
        <v>210</v>
      </c>
    </row>
    <row r="205" ht="15.75" customHeight="1">
      <c r="A205" s="1" t="s">
        <v>180</v>
      </c>
      <c r="B205" s="22" t="s">
        <v>119</v>
      </c>
      <c r="C205" s="1" t="s">
        <v>65</v>
      </c>
      <c r="D205" s="12">
        <f t="array" ref="D205">INDEX(SKUMaster!B:B,MATCH(B205,SKUMaster!A:A,0))</f>
        <v>120</v>
      </c>
      <c r="E205" s="13">
        <f t="shared" si="1"/>
        <v>120</v>
      </c>
    </row>
    <row r="206" ht="15.75" customHeight="1">
      <c r="A206" s="1" t="s">
        <v>180</v>
      </c>
      <c r="B206" s="22" t="s">
        <v>120</v>
      </c>
      <c r="C206" s="1" t="s">
        <v>65</v>
      </c>
      <c r="D206" s="12">
        <f t="array" ref="D206">INDEX(SKUMaster!B:B,MATCH(B206,SKUMaster!A:A,0))</f>
        <v>100</v>
      </c>
      <c r="E206" s="13">
        <f t="shared" si="1"/>
        <v>100</v>
      </c>
    </row>
    <row r="207" ht="15.75" customHeight="1">
      <c r="A207" s="1" t="s">
        <v>181</v>
      </c>
      <c r="B207" s="22" t="s">
        <v>64</v>
      </c>
      <c r="C207" s="1" t="s">
        <v>65</v>
      </c>
      <c r="D207" s="12">
        <f t="array" ref="D207">INDEX(SKUMaster!B:B,MATCH(B207,SKUMaster!A:A,0))</f>
        <v>127</v>
      </c>
      <c r="E207" s="13">
        <f t="shared" si="1"/>
        <v>127</v>
      </c>
    </row>
    <row r="208" ht="15.75" customHeight="1">
      <c r="A208" s="1" t="s">
        <v>181</v>
      </c>
      <c r="B208" s="22" t="s">
        <v>101</v>
      </c>
      <c r="C208" s="1" t="s">
        <v>65</v>
      </c>
      <c r="D208" s="12">
        <f t="array" ref="D208">INDEX(SKUMaster!B:B,MATCH(B208,SKUMaster!A:A,0))</f>
        <v>133</v>
      </c>
      <c r="E208" s="13">
        <f t="shared" si="1"/>
        <v>133</v>
      </c>
    </row>
    <row r="209" ht="15.75" customHeight="1">
      <c r="A209" s="1" t="s">
        <v>181</v>
      </c>
      <c r="B209" s="22" t="s">
        <v>90</v>
      </c>
      <c r="C209" s="1" t="s">
        <v>65</v>
      </c>
      <c r="D209" s="12">
        <f t="array" ref="D209">INDEX(SKUMaster!B:B,MATCH(B209,SKUMaster!A:A,0))</f>
        <v>240</v>
      </c>
      <c r="E209" s="13">
        <f t="shared" si="1"/>
        <v>240</v>
      </c>
    </row>
    <row r="210" ht="15.75" customHeight="1">
      <c r="A210" s="1" t="s">
        <v>182</v>
      </c>
      <c r="B210" s="22" t="s">
        <v>96</v>
      </c>
      <c r="C210" s="1" t="s">
        <v>65</v>
      </c>
      <c r="D210" s="12">
        <f t="array" ref="D210">INDEX(SKUMaster!B:B,MATCH(B210,SKUMaster!A:A,0))</f>
        <v>65</v>
      </c>
      <c r="E210" s="13">
        <f t="shared" si="1"/>
        <v>65</v>
      </c>
    </row>
    <row r="211" ht="15.75" customHeight="1">
      <c r="A211" s="1" t="s">
        <v>182</v>
      </c>
      <c r="B211" s="22" t="s">
        <v>178</v>
      </c>
      <c r="C211" s="1" t="s">
        <v>65</v>
      </c>
      <c r="D211" s="12">
        <f t="array" ref="D211">INDEX(SKUMaster!B:B,MATCH(B211,SKUMaster!A:A,0))</f>
        <v>113</v>
      </c>
      <c r="E211" s="13">
        <f t="shared" si="1"/>
        <v>113</v>
      </c>
    </row>
    <row r="212" ht="15.75" customHeight="1">
      <c r="A212" s="1" t="s">
        <v>182</v>
      </c>
      <c r="B212" s="22" t="s">
        <v>108</v>
      </c>
      <c r="C212" s="1" t="s">
        <v>65</v>
      </c>
      <c r="D212" s="12">
        <f t="array" ref="D212">INDEX(SKUMaster!B:B,MATCH(B212,SKUMaster!A:A,0))</f>
        <v>165</v>
      </c>
      <c r="E212" s="13">
        <f t="shared" si="1"/>
        <v>165</v>
      </c>
    </row>
    <row r="213" ht="15.75" customHeight="1">
      <c r="A213" s="1" t="s">
        <v>182</v>
      </c>
      <c r="B213" s="22" t="s">
        <v>183</v>
      </c>
      <c r="C213" s="1" t="s">
        <v>65</v>
      </c>
      <c r="D213" s="12">
        <f t="array" ref="D213">INDEX(SKUMaster!B:B,MATCH(B213,SKUMaster!A:A,0))</f>
        <v>170</v>
      </c>
      <c r="E213" s="13">
        <f t="shared" si="1"/>
        <v>170</v>
      </c>
    </row>
    <row r="214" ht="15.75" customHeight="1">
      <c r="A214" s="1" t="s">
        <v>182</v>
      </c>
      <c r="B214" s="22" t="s">
        <v>184</v>
      </c>
      <c r="C214" s="1" t="s">
        <v>65</v>
      </c>
      <c r="D214" s="12">
        <f t="array" ref="D214">INDEX(SKUMaster!B:B,MATCH(B214,SKUMaster!A:A,0))</f>
        <v>500</v>
      </c>
      <c r="E214" s="13">
        <f t="shared" si="1"/>
        <v>500</v>
      </c>
    </row>
    <row r="215" ht="15.75" customHeight="1">
      <c r="A215" s="1" t="s">
        <v>182</v>
      </c>
      <c r="B215" s="22" t="s">
        <v>185</v>
      </c>
      <c r="C215" s="1" t="s">
        <v>65</v>
      </c>
      <c r="D215" s="12">
        <f t="array" ref="D215">INDEX(SKUMaster!B:B,MATCH(B215,SKUMaster!A:A,0))</f>
        <v>170</v>
      </c>
      <c r="E215" s="13">
        <f t="shared" si="1"/>
        <v>170</v>
      </c>
    </row>
    <row r="216" ht="15.75" customHeight="1">
      <c r="A216" s="1" t="s">
        <v>186</v>
      </c>
      <c r="B216" s="22" t="s">
        <v>64</v>
      </c>
      <c r="C216" s="1" t="s">
        <v>65</v>
      </c>
      <c r="D216" s="12">
        <f t="array" ref="D216">INDEX(SKUMaster!B:B,MATCH(B216,SKUMaster!A:A,0))</f>
        <v>127</v>
      </c>
      <c r="E216" s="13">
        <f t="shared" si="1"/>
        <v>127</v>
      </c>
    </row>
    <row r="217" ht="15.75" customHeight="1">
      <c r="A217" s="1" t="s">
        <v>186</v>
      </c>
      <c r="B217" s="22" t="s">
        <v>101</v>
      </c>
      <c r="C217" s="1" t="s">
        <v>65</v>
      </c>
      <c r="D217" s="12">
        <f t="array" ref="D217">INDEX(SKUMaster!B:B,MATCH(B217,SKUMaster!A:A,0))</f>
        <v>133</v>
      </c>
      <c r="E217" s="13">
        <f t="shared" si="1"/>
        <v>133</v>
      </c>
    </row>
    <row r="218" ht="15.75" customHeight="1">
      <c r="A218" s="1" t="s">
        <v>186</v>
      </c>
      <c r="B218" s="22" t="s">
        <v>90</v>
      </c>
      <c r="C218" s="1" t="s">
        <v>65</v>
      </c>
      <c r="D218" s="12">
        <f t="array" ref="D218">INDEX(SKUMaster!B:B,MATCH(B218,SKUMaster!A:A,0))</f>
        <v>240</v>
      </c>
      <c r="E218" s="13">
        <f t="shared" si="1"/>
        <v>240</v>
      </c>
    </row>
    <row r="219" ht="15.75" customHeight="1">
      <c r="A219" s="1" t="s">
        <v>187</v>
      </c>
      <c r="B219" s="22" t="s">
        <v>83</v>
      </c>
      <c r="C219" s="1" t="s">
        <v>72</v>
      </c>
      <c r="D219" s="12">
        <f t="array" ref="D219">INDEX(SKUMaster!B:B,MATCH(B219,SKUMaster!A:A,0))</f>
        <v>240</v>
      </c>
      <c r="E219" s="13">
        <f t="shared" si="1"/>
        <v>480</v>
      </c>
    </row>
    <row r="220" ht="15.75" customHeight="1">
      <c r="A220" s="1" t="s">
        <v>187</v>
      </c>
      <c r="B220" s="22" t="s">
        <v>64</v>
      </c>
      <c r="C220" s="1" t="s">
        <v>72</v>
      </c>
      <c r="D220" s="12">
        <f t="array" ref="D220">INDEX(SKUMaster!B:B,MATCH(B220,SKUMaster!A:A,0))</f>
        <v>127</v>
      </c>
      <c r="E220" s="13">
        <f t="shared" si="1"/>
        <v>254</v>
      </c>
    </row>
    <row r="221" ht="15.75" customHeight="1">
      <c r="A221" s="1" t="s">
        <v>188</v>
      </c>
      <c r="B221" s="22" t="s">
        <v>64</v>
      </c>
      <c r="C221" s="1" t="s">
        <v>65</v>
      </c>
      <c r="D221" s="12">
        <f t="array" ref="D221">INDEX(SKUMaster!B:B,MATCH(B221,SKUMaster!A:A,0))</f>
        <v>127</v>
      </c>
      <c r="E221" s="13">
        <f t="shared" si="1"/>
        <v>127</v>
      </c>
    </row>
    <row r="222" ht="15.75" customHeight="1">
      <c r="A222" s="1" t="s">
        <v>188</v>
      </c>
      <c r="B222" s="22" t="s">
        <v>90</v>
      </c>
      <c r="C222" s="1" t="s">
        <v>65</v>
      </c>
      <c r="D222" s="12">
        <f t="array" ref="D222">INDEX(SKUMaster!B:B,MATCH(B222,SKUMaster!A:A,0))</f>
        <v>240</v>
      </c>
      <c r="E222" s="13">
        <f t="shared" si="1"/>
        <v>240</v>
      </c>
    </row>
    <row r="223" ht="15.75" customHeight="1">
      <c r="A223" s="1" t="s">
        <v>188</v>
      </c>
      <c r="B223" s="22" t="s">
        <v>83</v>
      </c>
      <c r="C223" s="1" t="s">
        <v>65</v>
      </c>
      <c r="D223" s="12">
        <f t="array" ref="D223">INDEX(SKUMaster!B:B,MATCH(B223,SKUMaster!A:A,0))</f>
        <v>240</v>
      </c>
      <c r="E223" s="13">
        <f t="shared" si="1"/>
        <v>240</v>
      </c>
    </row>
    <row r="224" ht="15.75" customHeight="1">
      <c r="A224" s="1" t="s">
        <v>189</v>
      </c>
      <c r="B224" s="22" t="s">
        <v>64</v>
      </c>
      <c r="C224" s="1" t="s">
        <v>65</v>
      </c>
      <c r="D224" s="12">
        <f t="array" ref="D224">INDEX(SKUMaster!B:B,MATCH(B224,SKUMaster!A:A,0))</f>
        <v>127</v>
      </c>
      <c r="E224" s="13">
        <f t="shared" si="1"/>
        <v>127</v>
      </c>
    </row>
    <row r="225" ht="15.75" customHeight="1">
      <c r="A225" s="1" t="s">
        <v>189</v>
      </c>
      <c r="B225" s="22" t="s">
        <v>101</v>
      </c>
      <c r="C225" s="1" t="s">
        <v>65</v>
      </c>
      <c r="D225" s="12">
        <f t="array" ref="D225">INDEX(SKUMaster!B:B,MATCH(B225,SKUMaster!A:A,0))</f>
        <v>133</v>
      </c>
      <c r="E225" s="13">
        <f t="shared" si="1"/>
        <v>133</v>
      </c>
    </row>
    <row r="226" ht="15.75" customHeight="1">
      <c r="A226" s="1" t="s">
        <v>189</v>
      </c>
      <c r="B226" s="22" t="s">
        <v>90</v>
      </c>
      <c r="C226" s="1" t="s">
        <v>65</v>
      </c>
      <c r="D226" s="12">
        <f t="array" ref="D226">INDEX(SKUMaster!B:B,MATCH(B226,SKUMaster!A:A,0))</f>
        <v>240</v>
      </c>
      <c r="E226" s="13">
        <f t="shared" si="1"/>
        <v>240</v>
      </c>
    </row>
    <row r="227" ht="15.75" customHeight="1">
      <c r="A227" s="1" t="s">
        <v>190</v>
      </c>
      <c r="B227" s="22" t="s">
        <v>191</v>
      </c>
      <c r="C227" s="1" t="s">
        <v>65</v>
      </c>
      <c r="D227" s="12">
        <f t="array" ref="D227">INDEX(SKUMaster!B:B,MATCH(B227,SKUMaster!A:A,0))</f>
        <v>115</v>
      </c>
      <c r="E227" s="13">
        <f t="shared" si="1"/>
        <v>115</v>
      </c>
    </row>
    <row r="228" ht="15.75" customHeight="1">
      <c r="A228" s="1" t="s">
        <v>190</v>
      </c>
      <c r="B228" s="22" t="s">
        <v>192</v>
      </c>
      <c r="C228" s="1" t="s">
        <v>65</v>
      </c>
      <c r="D228" s="12">
        <f t="array" ref="D228">INDEX(SKUMaster!B:B,MATCH(B228,SKUMaster!A:A,0))</f>
        <v>130</v>
      </c>
      <c r="E228" s="13">
        <f t="shared" si="1"/>
        <v>130</v>
      </c>
    </row>
    <row r="229" ht="15.75" customHeight="1">
      <c r="A229" s="1" t="s">
        <v>193</v>
      </c>
      <c r="B229" s="22" t="s">
        <v>102</v>
      </c>
      <c r="C229" s="1" t="s">
        <v>65</v>
      </c>
      <c r="D229" s="12">
        <f t="array" ref="D229">INDEX(SKUMaster!B:B,MATCH(B229,SKUMaster!A:A,0))</f>
        <v>121</v>
      </c>
      <c r="E229" s="13">
        <f t="shared" si="1"/>
        <v>121</v>
      </c>
    </row>
    <row r="230" ht="15.75" customHeight="1">
      <c r="A230" s="1" t="s">
        <v>193</v>
      </c>
      <c r="B230" s="22" t="s">
        <v>83</v>
      </c>
      <c r="C230" s="1" t="s">
        <v>65</v>
      </c>
      <c r="D230" s="12">
        <f t="array" ref="D230">INDEX(SKUMaster!B:B,MATCH(B230,SKUMaster!A:A,0))</f>
        <v>240</v>
      </c>
      <c r="E230" s="13">
        <f t="shared" si="1"/>
        <v>240</v>
      </c>
    </row>
    <row r="231" ht="15.75" customHeight="1">
      <c r="A231" s="1" t="s">
        <v>193</v>
      </c>
      <c r="B231" s="22" t="s">
        <v>90</v>
      </c>
      <c r="C231" s="1" t="s">
        <v>65</v>
      </c>
      <c r="D231" s="12">
        <f t="array" ref="D231">INDEX(SKUMaster!B:B,MATCH(B231,SKUMaster!A:A,0))</f>
        <v>240</v>
      </c>
      <c r="E231" s="13">
        <f t="shared" si="1"/>
        <v>240</v>
      </c>
    </row>
    <row r="232" ht="15.75" customHeight="1">
      <c r="A232" s="1" t="s">
        <v>194</v>
      </c>
      <c r="B232" s="22" t="s">
        <v>64</v>
      </c>
      <c r="C232" s="1" t="s">
        <v>65</v>
      </c>
      <c r="D232" s="12">
        <f t="array" ref="D232">INDEX(SKUMaster!B:B,MATCH(B232,SKUMaster!A:A,0))</f>
        <v>127</v>
      </c>
      <c r="E232" s="13">
        <f t="shared" si="1"/>
        <v>127</v>
      </c>
    </row>
    <row r="233" ht="15.75" customHeight="1">
      <c r="A233" s="1" t="s">
        <v>194</v>
      </c>
      <c r="B233" s="22" t="s">
        <v>90</v>
      </c>
      <c r="C233" s="1" t="s">
        <v>65</v>
      </c>
      <c r="D233" s="12">
        <f t="array" ref="D233">INDEX(SKUMaster!B:B,MATCH(B233,SKUMaster!A:A,0))</f>
        <v>240</v>
      </c>
      <c r="E233" s="13">
        <f t="shared" si="1"/>
        <v>240</v>
      </c>
    </row>
    <row r="234" ht="15.75" customHeight="1">
      <c r="A234" s="1" t="s">
        <v>194</v>
      </c>
      <c r="B234" s="22" t="s">
        <v>83</v>
      </c>
      <c r="C234" s="1" t="s">
        <v>65</v>
      </c>
      <c r="D234" s="12">
        <f t="array" ref="D234">INDEX(SKUMaster!B:B,MATCH(B234,SKUMaster!A:A,0))</f>
        <v>240</v>
      </c>
      <c r="E234" s="13">
        <f t="shared" si="1"/>
        <v>240</v>
      </c>
    </row>
    <row r="235" ht="15.75" customHeight="1">
      <c r="A235" s="1" t="s">
        <v>195</v>
      </c>
      <c r="B235" s="22" t="s">
        <v>108</v>
      </c>
      <c r="C235" s="1" t="s">
        <v>65</v>
      </c>
      <c r="D235" s="12">
        <f t="array" ref="D235">INDEX(SKUMaster!B:B,MATCH(B235,SKUMaster!A:A,0))</f>
        <v>165</v>
      </c>
      <c r="E235" s="13">
        <f t="shared" si="1"/>
        <v>165</v>
      </c>
    </row>
    <row r="236" ht="15.75" customHeight="1">
      <c r="A236" s="1" t="s">
        <v>195</v>
      </c>
      <c r="B236" s="22" t="s">
        <v>111</v>
      </c>
      <c r="C236" s="1" t="s">
        <v>65</v>
      </c>
      <c r="D236" s="12">
        <f t="array" ref="D236">INDEX(SKUMaster!B:B,MATCH(B236,SKUMaster!A:A,0))</f>
        <v>65</v>
      </c>
      <c r="E236" s="13">
        <f t="shared" si="1"/>
        <v>65</v>
      </c>
    </row>
    <row r="237" ht="15.75" customHeight="1">
      <c r="A237" s="1" t="s">
        <v>195</v>
      </c>
      <c r="B237" s="22" t="s">
        <v>144</v>
      </c>
      <c r="C237" s="1" t="s">
        <v>65</v>
      </c>
      <c r="D237" s="12">
        <f t="array" ref="D237">INDEX(SKUMaster!B:B,MATCH(B237,SKUMaster!A:A,0))</f>
        <v>113</v>
      </c>
      <c r="E237" s="13">
        <f t="shared" si="1"/>
        <v>113</v>
      </c>
    </row>
    <row r="238" ht="15.75" customHeight="1">
      <c r="A238" s="1" t="s">
        <v>196</v>
      </c>
      <c r="B238" s="22" t="s">
        <v>77</v>
      </c>
      <c r="C238" s="1" t="s">
        <v>72</v>
      </c>
      <c r="D238" s="12">
        <f t="array" ref="D238">INDEX(SKUMaster!B:B,MATCH(B238,SKUMaster!A:A,0))</f>
        <v>112</v>
      </c>
      <c r="E238" s="13">
        <f t="shared" si="1"/>
        <v>224</v>
      </c>
    </row>
    <row r="239" ht="15.75" customHeight="1">
      <c r="A239" s="1" t="s">
        <v>196</v>
      </c>
      <c r="B239" s="22" t="s">
        <v>81</v>
      </c>
      <c r="C239" s="1" t="s">
        <v>72</v>
      </c>
      <c r="D239" s="12">
        <f t="array" ref="D239">INDEX(SKUMaster!B:B,MATCH(B239,SKUMaster!A:A,0))</f>
        <v>112</v>
      </c>
      <c r="E239" s="13">
        <f t="shared" si="1"/>
        <v>224</v>
      </c>
    </row>
    <row r="240" ht="15.75" customHeight="1">
      <c r="A240" s="1" t="s">
        <v>196</v>
      </c>
      <c r="B240" s="22" t="s">
        <v>75</v>
      </c>
      <c r="C240" s="1" t="s">
        <v>72</v>
      </c>
      <c r="D240" s="12">
        <f t="array" ref="D240">INDEX(SKUMaster!B:B,MATCH(B240,SKUMaster!A:A,0))</f>
        <v>112</v>
      </c>
      <c r="E240" s="13">
        <f t="shared" si="1"/>
        <v>224</v>
      </c>
    </row>
    <row r="241" ht="15.75" customHeight="1">
      <c r="A241" s="1" t="s">
        <v>196</v>
      </c>
      <c r="B241" s="22" t="s">
        <v>191</v>
      </c>
      <c r="C241" s="1" t="s">
        <v>65</v>
      </c>
      <c r="D241" s="12">
        <f t="array" ref="D241">INDEX(SKUMaster!B:B,MATCH(B241,SKUMaster!A:A,0))</f>
        <v>115</v>
      </c>
      <c r="E241" s="13">
        <f t="shared" si="1"/>
        <v>115</v>
      </c>
    </row>
    <row r="242" ht="15.75" customHeight="1">
      <c r="A242" s="1" t="s">
        <v>196</v>
      </c>
      <c r="B242" s="22" t="s">
        <v>192</v>
      </c>
      <c r="C242" s="1" t="s">
        <v>65</v>
      </c>
      <c r="D242" s="12">
        <f t="array" ref="D242">INDEX(SKUMaster!B:B,MATCH(B242,SKUMaster!A:A,0))</f>
        <v>130</v>
      </c>
      <c r="E242" s="13">
        <f t="shared" si="1"/>
        <v>130</v>
      </c>
    </row>
    <row r="243" ht="15.75" customHeight="1">
      <c r="A243" s="1" t="s">
        <v>196</v>
      </c>
      <c r="B243" s="22" t="s">
        <v>83</v>
      </c>
      <c r="C243" s="1" t="s">
        <v>65</v>
      </c>
      <c r="D243" s="12">
        <f t="array" ref="D243">INDEX(SKUMaster!B:B,MATCH(B243,SKUMaster!A:A,0))</f>
        <v>240</v>
      </c>
      <c r="E243" s="13">
        <f t="shared" si="1"/>
        <v>240</v>
      </c>
    </row>
    <row r="244" ht="15.75" customHeight="1">
      <c r="A244" s="1" t="s">
        <v>197</v>
      </c>
      <c r="B244" s="22" t="s">
        <v>64</v>
      </c>
      <c r="C244" s="1" t="s">
        <v>65</v>
      </c>
      <c r="D244" s="12">
        <f t="array" ref="D244">INDEX(SKUMaster!B:B,MATCH(B244,SKUMaster!A:A,0))</f>
        <v>127</v>
      </c>
      <c r="E244" s="13">
        <f t="shared" si="1"/>
        <v>127</v>
      </c>
    </row>
    <row r="245" ht="15.75" customHeight="1">
      <c r="A245" s="1" t="s">
        <v>197</v>
      </c>
      <c r="B245" s="22" t="s">
        <v>101</v>
      </c>
      <c r="C245" s="1" t="s">
        <v>65</v>
      </c>
      <c r="D245" s="12">
        <f t="array" ref="D245">INDEX(SKUMaster!B:B,MATCH(B245,SKUMaster!A:A,0))</f>
        <v>133</v>
      </c>
      <c r="E245" s="13">
        <f t="shared" si="1"/>
        <v>133</v>
      </c>
    </row>
    <row r="246" ht="15.75" customHeight="1">
      <c r="A246" s="1" t="s">
        <v>197</v>
      </c>
      <c r="B246" s="22" t="s">
        <v>90</v>
      </c>
      <c r="C246" s="1" t="s">
        <v>65</v>
      </c>
      <c r="D246" s="12">
        <f t="array" ref="D246">INDEX(SKUMaster!B:B,MATCH(B246,SKUMaster!A:A,0))</f>
        <v>240</v>
      </c>
      <c r="E246" s="13">
        <f t="shared" si="1"/>
        <v>240</v>
      </c>
    </row>
    <row r="247" ht="15.75" customHeight="1">
      <c r="A247" s="1" t="s">
        <v>198</v>
      </c>
      <c r="B247" s="22" t="s">
        <v>83</v>
      </c>
      <c r="C247" s="1" t="s">
        <v>65</v>
      </c>
      <c r="D247" s="12">
        <f t="array" ref="D247">INDEX(SKUMaster!B:B,MATCH(B247,SKUMaster!A:A,0))</f>
        <v>240</v>
      </c>
      <c r="E247" s="13">
        <f t="shared" si="1"/>
        <v>240</v>
      </c>
    </row>
    <row r="248" ht="15.75" customHeight="1">
      <c r="A248" s="1" t="s">
        <v>198</v>
      </c>
      <c r="B248" s="22" t="s">
        <v>79</v>
      </c>
      <c r="C248" s="1" t="s">
        <v>65</v>
      </c>
      <c r="D248" s="12">
        <f t="array" ref="D248">INDEX(SKUMaster!B:B,MATCH(B248,SKUMaster!A:A,0))</f>
        <v>240</v>
      </c>
      <c r="E248" s="13">
        <f t="shared" si="1"/>
        <v>240</v>
      </c>
    </row>
    <row r="249" ht="15.75" customHeight="1">
      <c r="A249" s="1" t="s">
        <v>198</v>
      </c>
      <c r="B249" s="22" t="s">
        <v>102</v>
      </c>
      <c r="C249" s="1" t="s">
        <v>65</v>
      </c>
      <c r="D249" s="12">
        <f t="array" ref="D249">INDEX(SKUMaster!B:B,MATCH(B249,SKUMaster!A:A,0))</f>
        <v>121</v>
      </c>
      <c r="E249" s="13">
        <f t="shared" si="1"/>
        <v>121</v>
      </c>
    </row>
    <row r="250" ht="15.75" customHeight="1">
      <c r="A250" s="1" t="s">
        <v>198</v>
      </c>
      <c r="B250" s="22" t="s">
        <v>199</v>
      </c>
      <c r="C250" s="1" t="s">
        <v>65</v>
      </c>
      <c r="D250" s="12">
        <f t="array" ref="D250">INDEX(SKUMaster!B:B,MATCH(B250,SKUMaster!A:A,0))</f>
        <v>120</v>
      </c>
      <c r="E250" s="13">
        <f t="shared" si="1"/>
        <v>120</v>
      </c>
    </row>
    <row r="251" ht="15.75" customHeight="1">
      <c r="A251" s="1" t="s">
        <v>200</v>
      </c>
      <c r="B251" s="22" t="s">
        <v>98</v>
      </c>
      <c r="C251" s="1" t="s">
        <v>65</v>
      </c>
      <c r="D251" s="12">
        <f t="array" ref="D251">INDEX(SKUMaster!B:B,MATCH(B251,SKUMaster!A:A,0))</f>
        <v>600</v>
      </c>
      <c r="E251" s="13">
        <f t="shared" si="1"/>
        <v>600</v>
      </c>
    </row>
    <row r="252" ht="15.75" customHeight="1">
      <c r="A252" s="1" t="s">
        <v>200</v>
      </c>
      <c r="B252" s="22" t="s">
        <v>68</v>
      </c>
      <c r="C252" s="1" t="s">
        <v>65</v>
      </c>
      <c r="D252" s="12">
        <f t="array" ref="D252">INDEX(SKUMaster!B:B,MATCH(B252,SKUMaster!A:A,0))</f>
        <v>165</v>
      </c>
      <c r="E252" s="13">
        <f t="shared" si="1"/>
        <v>165</v>
      </c>
    </row>
    <row r="253" ht="15.75" customHeight="1">
      <c r="A253" s="1" t="s">
        <v>201</v>
      </c>
      <c r="B253" s="22" t="s">
        <v>79</v>
      </c>
      <c r="C253" s="1" t="s">
        <v>65</v>
      </c>
      <c r="D253" s="12">
        <f t="array" ref="D253">INDEX(SKUMaster!B:B,MATCH(B253,SKUMaster!A:A,0))</f>
        <v>240</v>
      </c>
      <c r="E253" s="13">
        <f t="shared" si="1"/>
        <v>240</v>
      </c>
    </row>
    <row r="254" ht="15.75" customHeight="1">
      <c r="A254" s="1" t="s">
        <v>201</v>
      </c>
      <c r="B254" s="22" t="s">
        <v>106</v>
      </c>
      <c r="C254" s="1" t="s">
        <v>65</v>
      </c>
      <c r="D254" s="12">
        <f t="array" ref="D254">INDEX(SKUMaster!B:B,MATCH(B254,SKUMaster!A:A,0))</f>
        <v>240</v>
      </c>
      <c r="E254" s="13">
        <f t="shared" si="1"/>
        <v>240</v>
      </c>
    </row>
    <row r="255" ht="15.75" customHeight="1">
      <c r="A255" s="1" t="s">
        <v>201</v>
      </c>
      <c r="B255" s="22" t="s">
        <v>90</v>
      </c>
      <c r="C255" s="1" t="s">
        <v>65</v>
      </c>
      <c r="D255" s="12">
        <f t="array" ref="D255">INDEX(SKUMaster!B:B,MATCH(B255,SKUMaster!A:A,0))</f>
        <v>240</v>
      </c>
      <c r="E255" s="13">
        <f t="shared" si="1"/>
        <v>240</v>
      </c>
    </row>
    <row r="256" ht="15.75" customHeight="1">
      <c r="A256" s="1" t="s">
        <v>201</v>
      </c>
      <c r="B256" s="22" t="s">
        <v>150</v>
      </c>
      <c r="C256" s="1" t="s">
        <v>65</v>
      </c>
      <c r="D256" s="12">
        <f t="array" ref="D256">INDEX(SKUMaster!B:B,MATCH(B256,SKUMaster!A:A,0))</f>
        <v>210</v>
      </c>
      <c r="E256" s="13">
        <f t="shared" si="1"/>
        <v>210</v>
      </c>
    </row>
    <row r="257" ht="15.75" customHeight="1">
      <c r="A257" s="1" t="s">
        <v>202</v>
      </c>
      <c r="B257" s="22" t="s">
        <v>64</v>
      </c>
      <c r="C257" s="1" t="s">
        <v>65</v>
      </c>
      <c r="D257" s="12">
        <f t="array" ref="D257">INDEX(SKUMaster!B:B,MATCH(B257,SKUMaster!A:A,0))</f>
        <v>127</v>
      </c>
      <c r="E257" s="13">
        <f t="shared" si="1"/>
        <v>127</v>
      </c>
    </row>
    <row r="258" ht="15.75" customHeight="1">
      <c r="A258" s="1" t="s">
        <v>202</v>
      </c>
      <c r="B258" s="22" t="s">
        <v>101</v>
      </c>
      <c r="C258" s="1" t="s">
        <v>65</v>
      </c>
      <c r="D258" s="12">
        <f t="array" ref="D258">INDEX(SKUMaster!B:B,MATCH(B258,SKUMaster!A:A,0))</f>
        <v>133</v>
      </c>
      <c r="E258" s="13">
        <f t="shared" si="1"/>
        <v>133</v>
      </c>
    </row>
    <row r="259" ht="15.75" customHeight="1">
      <c r="A259" s="1" t="s">
        <v>202</v>
      </c>
      <c r="B259" s="22" t="s">
        <v>90</v>
      </c>
      <c r="C259" s="1" t="s">
        <v>65</v>
      </c>
      <c r="D259" s="12">
        <f t="array" ref="D259">INDEX(SKUMaster!B:B,MATCH(B259,SKUMaster!A:A,0))</f>
        <v>240</v>
      </c>
      <c r="E259" s="13">
        <f t="shared" si="1"/>
        <v>240</v>
      </c>
    </row>
    <row r="260" ht="15.75" customHeight="1">
      <c r="A260" s="1" t="s">
        <v>202</v>
      </c>
      <c r="B260" s="22" t="s">
        <v>104</v>
      </c>
      <c r="C260" s="1" t="s">
        <v>72</v>
      </c>
      <c r="D260" s="12">
        <f t="array" ref="D260">INDEX(SKUMaster!B:B,MATCH(B260,SKUMaster!A:A,0))</f>
        <v>290</v>
      </c>
      <c r="E260" s="13">
        <f t="shared" si="1"/>
        <v>580</v>
      </c>
    </row>
    <row r="261" ht="15.75" customHeight="1">
      <c r="A261" s="1" t="s">
        <v>203</v>
      </c>
      <c r="B261" s="22" t="s">
        <v>64</v>
      </c>
      <c r="C261" s="1" t="s">
        <v>65</v>
      </c>
      <c r="D261" s="12">
        <f t="array" ref="D261">INDEX(SKUMaster!B:B,MATCH(B261,SKUMaster!A:A,0))</f>
        <v>127</v>
      </c>
      <c r="E261" s="13">
        <f t="shared" si="1"/>
        <v>127</v>
      </c>
    </row>
    <row r="262" ht="15.75" customHeight="1">
      <c r="A262" s="1" t="s">
        <v>203</v>
      </c>
      <c r="B262" s="22" t="s">
        <v>90</v>
      </c>
      <c r="C262" s="1" t="s">
        <v>65</v>
      </c>
      <c r="D262" s="12">
        <f t="array" ref="D262">INDEX(SKUMaster!B:B,MATCH(B262,SKUMaster!A:A,0))</f>
        <v>240</v>
      </c>
      <c r="E262" s="13">
        <f t="shared" si="1"/>
        <v>240</v>
      </c>
    </row>
    <row r="263" ht="15.75" customHeight="1">
      <c r="A263" s="1" t="s">
        <v>203</v>
      </c>
      <c r="B263" s="22" t="s">
        <v>83</v>
      </c>
      <c r="C263" s="1" t="s">
        <v>65</v>
      </c>
      <c r="D263" s="12">
        <f t="array" ref="D263">INDEX(SKUMaster!B:B,MATCH(B263,SKUMaster!A:A,0))</f>
        <v>240</v>
      </c>
      <c r="E263" s="13">
        <f t="shared" si="1"/>
        <v>240</v>
      </c>
    </row>
    <row r="264" ht="15.75" customHeight="1">
      <c r="A264" s="1" t="s">
        <v>204</v>
      </c>
      <c r="B264" s="22" t="s">
        <v>83</v>
      </c>
      <c r="C264" s="1" t="s">
        <v>65</v>
      </c>
      <c r="D264" s="12">
        <f t="array" ref="D264">INDEX(SKUMaster!B:B,MATCH(B264,SKUMaster!A:A,0))</f>
        <v>240</v>
      </c>
      <c r="E264" s="13">
        <f t="shared" si="1"/>
        <v>240</v>
      </c>
    </row>
    <row r="265" ht="15.75" customHeight="1">
      <c r="A265" s="1" t="s">
        <v>205</v>
      </c>
      <c r="B265" s="22" t="s">
        <v>64</v>
      </c>
      <c r="C265" s="1" t="s">
        <v>65</v>
      </c>
      <c r="D265" s="12">
        <f t="array" ref="D265">INDEX(SKUMaster!B:B,MATCH(B265,SKUMaster!A:A,0))</f>
        <v>127</v>
      </c>
      <c r="E265" s="13">
        <f t="shared" si="1"/>
        <v>127</v>
      </c>
    </row>
    <row r="266" ht="15.75" customHeight="1">
      <c r="A266" s="1" t="s">
        <v>205</v>
      </c>
      <c r="B266" s="22" t="s">
        <v>101</v>
      </c>
      <c r="C266" s="1" t="s">
        <v>65</v>
      </c>
      <c r="D266" s="12">
        <f t="array" ref="D266">INDEX(SKUMaster!B:B,MATCH(B266,SKUMaster!A:A,0))</f>
        <v>133</v>
      </c>
      <c r="E266" s="13">
        <f t="shared" si="1"/>
        <v>133</v>
      </c>
    </row>
    <row r="267" ht="15.75" customHeight="1">
      <c r="A267" s="1" t="s">
        <v>205</v>
      </c>
      <c r="B267" s="22" t="s">
        <v>90</v>
      </c>
      <c r="C267" s="1" t="s">
        <v>65</v>
      </c>
      <c r="D267" s="12">
        <f t="array" ref="D267">INDEX(SKUMaster!B:B,MATCH(B267,SKUMaster!A:A,0))</f>
        <v>240</v>
      </c>
      <c r="E267" s="13">
        <f t="shared" si="1"/>
        <v>240</v>
      </c>
    </row>
    <row r="268" ht="15.75" customHeight="1">
      <c r="A268" s="1" t="s">
        <v>206</v>
      </c>
      <c r="B268" s="22" t="s">
        <v>64</v>
      </c>
      <c r="C268" s="1" t="s">
        <v>65</v>
      </c>
      <c r="D268" s="12">
        <f t="array" ref="D268">INDEX(SKUMaster!B:B,MATCH(B268,SKUMaster!A:A,0))</f>
        <v>127</v>
      </c>
      <c r="E268" s="13">
        <f t="shared" si="1"/>
        <v>127</v>
      </c>
    </row>
    <row r="269" ht="15.75" customHeight="1">
      <c r="A269" s="1" t="s">
        <v>206</v>
      </c>
      <c r="B269" s="22" t="s">
        <v>90</v>
      </c>
      <c r="C269" s="1" t="s">
        <v>65</v>
      </c>
      <c r="D269" s="12">
        <f t="array" ref="D269">INDEX(SKUMaster!B:B,MATCH(B269,SKUMaster!A:A,0))</f>
        <v>240</v>
      </c>
      <c r="E269" s="13">
        <f t="shared" si="1"/>
        <v>240</v>
      </c>
    </row>
    <row r="270" ht="15.75" customHeight="1">
      <c r="A270" s="1" t="s">
        <v>206</v>
      </c>
      <c r="B270" s="22" t="s">
        <v>83</v>
      </c>
      <c r="C270" s="1" t="s">
        <v>65</v>
      </c>
      <c r="D270" s="12">
        <f t="array" ref="D270">INDEX(SKUMaster!B:B,MATCH(B270,SKUMaster!A:A,0))</f>
        <v>240</v>
      </c>
      <c r="E270" s="13">
        <f t="shared" si="1"/>
        <v>240</v>
      </c>
    </row>
    <row r="271" ht="15.75" customHeight="1">
      <c r="A271" s="1" t="s">
        <v>207</v>
      </c>
      <c r="B271" s="22" t="s">
        <v>64</v>
      </c>
      <c r="C271" s="1" t="s">
        <v>65</v>
      </c>
      <c r="D271" s="12">
        <f t="array" ref="D271">INDEX(SKUMaster!B:B,MATCH(B271,SKUMaster!A:A,0))</f>
        <v>127</v>
      </c>
      <c r="E271" s="13">
        <f t="shared" si="1"/>
        <v>127</v>
      </c>
    </row>
    <row r="272" ht="15.75" customHeight="1">
      <c r="A272" s="1" t="s">
        <v>207</v>
      </c>
      <c r="B272" s="22" t="s">
        <v>101</v>
      </c>
      <c r="C272" s="1" t="s">
        <v>65</v>
      </c>
      <c r="D272" s="12">
        <f t="array" ref="D272">INDEX(SKUMaster!B:B,MATCH(B272,SKUMaster!A:A,0))</f>
        <v>133</v>
      </c>
      <c r="E272" s="13">
        <f t="shared" si="1"/>
        <v>133</v>
      </c>
    </row>
    <row r="273" ht="15.75" customHeight="1">
      <c r="A273" s="1" t="s">
        <v>207</v>
      </c>
      <c r="B273" s="22" t="s">
        <v>90</v>
      </c>
      <c r="C273" s="1" t="s">
        <v>65</v>
      </c>
      <c r="D273" s="12">
        <f t="array" ref="D273">INDEX(SKUMaster!B:B,MATCH(B273,SKUMaster!A:A,0))</f>
        <v>240</v>
      </c>
      <c r="E273" s="13">
        <f t="shared" si="1"/>
        <v>240</v>
      </c>
    </row>
    <row r="274" ht="15.75" customHeight="1">
      <c r="A274" s="1" t="s">
        <v>208</v>
      </c>
      <c r="B274" s="22" t="s">
        <v>106</v>
      </c>
      <c r="C274" s="1" t="s">
        <v>65</v>
      </c>
      <c r="D274" s="12">
        <f t="array" ref="D274">INDEX(SKUMaster!B:B,MATCH(B274,SKUMaster!A:A,0))</f>
        <v>240</v>
      </c>
      <c r="E274" s="13">
        <f t="shared" si="1"/>
        <v>240</v>
      </c>
    </row>
    <row r="275" ht="15.75" customHeight="1">
      <c r="A275" s="1" t="s">
        <v>208</v>
      </c>
      <c r="B275" s="22" t="s">
        <v>83</v>
      </c>
      <c r="C275" s="1" t="s">
        <v>65</v>
      </c>
      <c r="D275" s="12">
        <f t="array" ref="D275">INDEX(SKUMaster!B:B,MATCH(B275,SKUMaster!A:A,0))</f>
        <v>240</v>
      </c>
      <c r="E275" s="13">
        <f t="shared" si="1"/>
        <v>240</v>
      </c>
    </row>
    <row r="276" ht="15.75" customHeight="1">
      <c r="A276" s="1" t="s">
        <v>208</v>
      </c>
      <c r="B276" s="22" t="s">
        <v>69</v>
      </c>
      <c r="C276" s="1" t="s">
        <v>65</v>
      </c>
      <c r="D276" s="12">
        <f t="array" ref="D276">INDEX(SKUMaster!B:B,MATCH(B276,SKUMaster!A:A,0))</f>
        <v>350</v>
      </c>
      <c r="E276" s="13">
        <f t="shared" si="1"/>
        <v>350</v>
      </c>
    </row>
    <row r="277" ht="15.75" customHeight="1">
      <c r="A277" s="1" t="s">
        <v>209</v>
      </c>
      <c r="B277" s="22" t="s">
        <v>90</v>
      </c>
      <c r="C277" s="1" t="s">
        <v>72</v>
      </c>
      <c r="D277" s="12">
        <f t="array" ref="D277">INDEX(SKUMaster!B:B,MATCH(B277,SKUMaster!A:A,0))</f>
        <v>240</v>
      </c>
      <c r="E277" s="13">
        <f t="shared" si="1"/>
        <v>480</v>
      </c>
    </row>
    <row r="278" ht="15.75" customHeight="1">
      <c r="A278" s="1" t="s">
        <v>209</v>
      </c>
      <c r="B278" s="22" t="s">
        <v>199</v>
      </c>
      <c r="C278" s="1" t="s">
        <v>65</v>
      </c>
      <c r="D278" s="12">
        <f t="array" ref="D278">INDEX(SKUMaster!B:B,MATCH(B278,SKUMaster!A:A,0))</f>
        <v>120</v>
      </c>
      <c r="E278" s="13">
        <f t="shared" si="1"/>
        <v>120</v>
      </c>
    </row>
    <row r="279" ht="15.75" customHeight="1">
      <c r="A279" s="1" t="s">
        <v>209</v>
      </c>
      <c r="B279" s="22" t="s">
        <v>75</v>
      </c>
      <c r="C279" s="1" t="s">
        <v>76</v>
      </c>
      <c r="D279" s="12">
        <f t="array" ref="D279">INDEX(SKUMaster!B:B,MATCH(B279,SKUMaster!A:A,0))</f>
        <v>112</v>
      </c>
      <c r="E279" s="13">
        <f t="shared" si="1"/>
        <v>448</v>
      </c>
    </row>
    <row r="280" ht="15.75" customHeight="1">
      <c r="A280" s="1" t="s">
        <v>210</v>
      </c>
      <c r="B280" s="22" t="s">
        <v>81</v>
      </c>
      <c r="C280" s="1" t="s">
        <v>211</v>
      </c>
      <c r="D280" s="12">
        <f t="array" ref="D280">INDEX(SKUMaster!B:B,MATCH(B280,SKUMaster!A:A,0))</f>
        <v>112</v>
      </c>
      <c r="E280" s="13">
        <f t="shared" si="1"/>
        <v>672</v>
      </c>
    </row>
    <row r="281" ht="15.75" customHeight="1">
      <c r="A281" s="1" t="s">
        <v>210</v>
      </c>
      <c r="B281" s="22" t="s">
        <v>75</v>
      </c>
      <c r="C281" s="1" t="s">
        <v>211</v>
      </c>
      <c r="D281" s="12">
        <f t="array" ref="D281">INDEX(SKUMaster!B:B,MATCH(B281,SKUMaster!A:A,0))</f>
        <v>112</v>
      </c>
      <c r="E281" s="13">
        <f t="shared" si="1"/>
        <v>672</v>
      </c>
    </row>
    <row r="282" ht="15.75" customHeight="1">
      <c r="A282" s="1" t="s">
        <v>210</v>
      </c>
      <c r="B282" s="22" t="s">
        <v>77</v>
      </c>
      <c r="C282" s="1" t="s">
        <v>72</v>
      </c>
      <c r="D282" s="12">
        <f t="array" ref="D282">INDEX(SKUMaster!B:B,MATCH(B282,SKUMaster!A:A,0))</f>
        <v>112</v>
      </c>
      <c r="E282" s="13">
        <f t="shared" si="1"/>
        <v>224</v>
      </c>
    </row>
    <row r="283" ht="15.75" customHeight="1">
      <c r="A283" s="1" t="s">
        <v>210</v>
      </c>
      <c r="B283" s="22" t="s">
        <v>81</v>
      </c>
      <c r="C283" s="1" t="s">
        <v>72</v>
      </c>
      <c r="D283" s="12">
        <f t="array" ref="D283">INDEX(SKUMaster!B:B,MATCH(B283,SKUMaster!A:A,0))</f>
        <v>112</v>
      </c>
      <c r="E283" s="13">
        <f t="shared" si="1"/>
        <v>224</v>
      </c>
    </row>
    <row r="284" ht="15.75" customHeight="1">
      <c r="A284" s="1" t="s">
        <v>210</v>
      </c>
      <c r="B284" s="22" t="s">
        <v>75</v>
      </c>
      <c r="C284" s="1" t="s">
        <v>72</v>
      </c>
      <c r="D284" s="12">
        <f t="array" ref="D284">INDEX(SKUMaster!B:B,MATCH(B284,SKUMaster!A:A,0))</f>
        <v>112</v>
      </c>
      <c r="E284" s="13">
        <f t="shared" si="1"/>
        <v>224</v>
      </c>
    </row>
    <row r="285" ht="15.75" customHeight="1">
      <c r="A285" s="1" t="s">
        <v>212</v>
      </c>
      <c r="B285" s="22" t="s">
        <v>64</v>
      </c>
      <c r="C285" s="1" t="s">
        <v>65</v>
      </c>
      <c r="D285" s="12">
        <f t="array" ref="D285">INDEX(SKUMaster!B:B,MATCH(B285,SKUMaster!A:A,0))</f>
        <v>127</v>
      </c>
      <c r="E285" s="13">
        <f t="shared" si="1"/>
        <v>127</v>
      </c>
    </row>
    <row r="286" ht="15.75" customHeight="1">
      <c r="A286" s="1" t="s">
        <v>212</v>
      </c>
      <c r="B286" s="22" t="s">
        <v>101</v>
      </c>
      <c r="C286" s="1" t="s">
        <v>65</v>
      </c>
      <c r="D286" s="12">
        <f t="array" ref="D286">INDEX(SKUMaster!B:B,MATCH(B286,SKUMaster!A:A,0))</f>
        <v>133</v>
      </c>
      <c r="E286" s="13">
        <f t="shared" si="1"/>
        <v>133</v>
      </c>
    </row>
    <row r="287" ht="15.75" customHeight="1">
      <c r="A287" s="1" t="s">
        <v>212</v>
      </c>
      <c r="B287" s="22" t="s">
        <v>90</v>
      </c>
      <c r="C287" s="1" t="s">
        <v>65</v>
      </c>
      <c r="D287" s="12">
        <f t="array" ref="D287">INDEX(SKUMaster!B:B,MATCH(B287,SKUMaster!A:A,0))</f>
        <v>240</v>
      </c>
      <c r="E287" s="13">
        <f t="shared" si="1"/>
        <v>240</v>
      </c>
    </row>
    <row r="288" ht="15.75" customHeight="1">
      <c r="A288" s="1" t="s">
        <v>213</v>
      </c>
      <c r="B288" s="22" t="s">
        <v>214</v>
      </c>
      <c r="C288" s="1" t="s">
        <v>65</v>
      </c>
      <c r="D288" s="12">
        <f t="array" ref="D288">INDEX(SKUMaster!B:B,MATCH(B288,SKUMaster!A:A,0))</f>
        <v>490</v>
      </c>
      <c r="E288" s="13">
        <f t="shared" si="1"/>
        <v>490</v>
      </c>
    </row>
    <row r="289" ht="15.75" customHeight="1">
      <c r="A289" s="1" t="s">
        <v>215</v>
      </c>
      <c r="B289" s="22" t="s">
        <v>64</v>
      </c>
      <c r="C289" s="1" t="s">
        <v>65</v>
      </c>
      <c r="D289" s="12">
        <f t="array" ref="D289">INDEX(SKUMaster!B:B,MATCH(B289,SKUMaster!A:A,0))</f>
        <v>127</v>
      </c>
      <c r="E289" s="13">
        <f t="shared" si="1"/>
        <v>127</v>
      </c>
    </row>
    <row r="290" ht="15.75" customHeight="1">
      <c r="A290" s="1" t="s">
        <v>215</v>
      </c>
      <c r="B290" s="22" t="s">
        <v>101</v>
      </c>
      <c r="C290" s="1" t="s">
        <v>65</v>
      </c>
      <c r="D290" s="12">
        <f t="array" ref="D290">INDEX(SKUMaster!B:B,MATCH(B290,SKUMaster!A:A,0))</f>
        <v>133</v>
      </c>
      <c r="E290" s="13">
        <f t="shared" si="1"/>
        <v>133</v>
      </c>
    </row>
    <row r="291" ht="15.75" customHeight="1">
      <c r="A291" s="1" t="s">
        <v>215</v>
      </c>
      <c r="B291" s="22" t="s">
        <v>90</v>
      </c>
      <c r="C291" s="1" t="s">
        <v>65</v>
      </c>
      <c r="D291" s="12">
        <f t="array" ref="D291">INDEX(SKUMaster!B:B,MATCH(B291,SKUMaster!A:A,0))</f>
        <v>240</v>
      </c>
      <c r="E291" s="13">
        <f t="shared" si="1"/>
        <v>240</v>
      </c>
    </row>
    <row r="292" ht="15.75" customHeight="1">
      <c r="A292" s="1" t="s">
        <v>216</v>
      </c>
      <c r="B292" s="22" t="s">
        <v>64</v>
      </c>
      <c r="C292" s="1" t="s">
        <v>65</v>
      </c>
      <c r="D292" s="12">
        <f t="array" ref="D292">INDEX(SKUMaster!B:B,MATCH(B292,SKUMaster!A:A,0))</f>
        <v>127</v>
      </c>
      <c r="E292" s="13">
        <f t="shared" si="1"/>
        <v>127</v>
      </c>
    </row>
    <row r="293" ht="15.75" customHeight="1">
      <c r="A293" s="1" t="s">
        <v>216</v>
      </c>
      <c r="B293" s="22" t="s">
        <v>90</v>
      </c>
      <c r="C293" s="1" t="s">
        <v>65</v>
      </c>
      <c r="D293" s="12">
        <f t="array" ref="D293">INDEX(SKUMaster!B:B,MATCH(B293,SKUMaster!A:A,0))</f>
        <v>240</v>
      </c>
      <c r="E293" s="13">
        <f t="shared" si="1"/>
        <v>240</v>
      </c>
    </row>
    <row r="294" ht="15.75" customHeight="1">
      <c r="A294" s="1" t="s">
        <v>216</v>
      </c>
      <c r="B294" s="22" t="s">
        <v>83</v>
      </c>
      <c r="C294" s="1" t="s">
        <v>65</v>
      </c>
      <c r="D294" s="12">
        <f t="array" ref="D294">INDEX(SKUMaster!B:B,MATCH(B294,SKUMaster!A:A,0))</f>
        <v>240</v>
      </c>
      <c r="E294" s="13">
        <f t="shared" si="1"/>
        <v>240</v>
      </c>
    </row>
    <row r="295" ht="15.75" customHeight="1">
      <c r="A295" s="1" t="s">
        <v>217</v>
      </c>
      <c r="B295" s="22" t="s">
        <v>64</v>
      </c>
      <c r="C295" s="1" t="s">
        <v>65</v>
      </c>
      <c r="D295" s="12">
        <f t="array" ref="D295">INDEX(SKUMaster!B:B,MATCH(B295,SKUMaster!A:A,0))</f>
        <v>127</v>
      </c>
      <c r="E295" s="13">
        <f t="shared" si="1"/>
        <v>127</v>
      </c>
    </row>
    <row r="296" ht="15.75" customHeight="1">
      <c r="A296" s="1" t="s">
        <v>217</v>
      </c>
      <c r="B296" s="22" t="s">
        <v>101</v>
      </c>
      <c r="C296" s="1" t="s">
        <v>65</v>
      </c>
      <c r="D296" s="12">
        <f t="array" ref="D296">INDEX(SKUMaster!B:B,MATCH(B296,SKUMaster!A:A,0))</f>
        <v>133</v>
      </c>
      <c r="E296" s="13">
        <f t="shared" si="1"/>
        <v>133</v>
      </c>
    </row>
    <row r="297" ht="15.75" customHeight="1">
      <c r="A297" s="1" t="s">
        <v>217</v>
      </c>
      <c r="B297" s="22" t="s">
        <v>90</v>
      </c>
      <c r="C297" s="1" t="s">
        <v>65</v>
      </c>
      <c r="D297" s="12">
        <f t="array" ref="D297">INDEX(SKUMaster!B:B,MATCH(B297,SKUMaster!A:A,0))</f>
        <v>240</v>
      </c>
      <c r="E297" s="13">
        <f t="shared" si="1"/>
        <v>240</v>
      </c>
    </row>
    <row r="298" ht="15.75" customHeight="1">
      <c r="A298" s="1" t="s">
        <v>218</v>
      </c>
      <c r="B298" s="22" t="s">
        <v>64</v>
      </c>
      <c r="C298" s="1" t="s">
        <v>65</v>
      </c>
      <c r="D298" s="12">
        <f t="array" ref="D298">INDEX(SKUMaster!B:B,MATCH(B298,SKUMaster!A:A,0))</f>
        <v>127</v>
      </c>
      <c r="E298" s="13">
        <f t="shared" si="1"/>
        <v>127</v>
      </c>
    </row>
    <row r="299" ht="15.75" customHeight="1">
      <c r="A299" s="1" t="s">
        <v>218</v>
      </c>
      <c r="B299" s="22" t="s">
        <v>101</v>
      </c>
      <c r="C299" s="1" t="s">
        <v>65</v>
      </c>
      <c r="D299" s="12">
        <f t="array" ref="D299">INDEX(SKUMaster!B:B,MATCH(B299,SKUMaster!A:A,0))</f>
        <v>133</v>
      </c>
      <c r="E299" s="13">
        <f t="shared" si="1"/>
        <v>133</v>
      </c>
    </row>
    <row r="300" ht="15.75" customHeight="1">
      <c r="A300" s="1" t="s">
        <v>218</v>
      </c>
      <c r="B300" s="22" t="s">
        <v>90</v>
      </c>
      <c r="C300" s="1" t="s">
        <v>65</v>
      </c>
      <c r="D300" s="12">
        <f t="array" ref="D300">INDEX(SKUMaster!B:B,MATCH(B300,SKUMaster!A:A,0))</f>
        <v>240</v>
      </c>
      <c r="E300" s="13">
        <f t="shared" si="1"/>
        <v>240</v>
      </c>
    </row>
    <row r="301" ht="15.75" customHeight="1">
      <c r="A301" s="1" t="s">
        <v>219</v>
      </c>
      <c r="B301" s="22" t="s">
        <v>103</v>
      </c>
      <c r="C301" s="1" t="s">
        <v>65</v>
      </c>
      <c r="D301" s="12">
        <f t="array" ref="D301">INDEX(SKUMaster!B:B,MATCH(B301,SKUMaster!A:A,0))</f>
        <v>290</v>
      </c>
      <c r="E301" s="13">
        <f t="shared" si="1"/>
        <v>290</v>
      </c>
    </row>
    <row r="302" ht="15.75" customHeight="1">
      <c r="A302" s="1" t="s">
        <v>219</v>
      </c>
      <c r="B302" s="22" t="s">
        <v>104</v>
      </c>
      <c r="C302" s="1" t="s">
        <v>65</v>
      </c>
      <c r="D302" s="12">
        <f t="array" ref="D302">INDEX(SKUMaster!B:B,MATCH(B302,SKUMaster!A:A,0))</f>
        <v>290</v>
      </c>
      <c r="E302" s="13">
        <f t="shared" si="1"/>
        <v>290</v>
      </c>
    </row>
    <row r="303" ht="15.75" customHeight="1">
      <c r="A303" s="1" t="s">
        <v>219</v>
      </c>
      <c r="B303" s="22" t="s">
        <v>105</v>
      </c>
      <c r="C303" s="1" t="s">
        <v>65</v>
      </c>
      <c r="D303" s="12">
        <f t="array" ref="D303">INDEX(SKUMaster!B:B,MATCH(B303,SKUMaster!A:A,0))</f>
        <v>290</v>
      </c>
      <c r="E303" s="13">
        <f t="shared" si="1"/>
        <v>290</v>
      </c>
    </row>
    <row r="304" ht="15.75" customHeight="1">
      <c r="A304" s="1" t="s">
        <v>219</v>
      </c>
      <c r="B304" s="22" t="s">
        <v>199</v>
      </c>
      <c r="C304" s="1" t="s">
        <v>65</v>
      </c>
      <c r="D304" s="12">
        <f t="array" ref="D304">INDEX(SKUMaster!B:B,MATCH(B304,SKUMaster!A:A,0))</f>
        <v>120</v>
      </c>
      <c r="E304" s="13">
        <f t="shared" si="1"/>
        <v>120</v>
      </c>
    </row>
    <row r="305" ht="15.75" customHeight="1">
      <c r="A305" s="1" t="s">
        <v>219</v>
      </c>
      <c r="B305" s="22" t="s">
        <v>111</v>
      </c>
      <c r="C305" s="1" t="s">
        <v>65</v>
      </c>
      <c r="D305" s="12">
        <f t="array" ref="D305">INDEX(SKUMaster!B:B,MATCH(B305,SKUMaster!A:A,0))</f>
        <v>65</v>
      </c>
      <c r="E305" s="13">
        <f t="shared" si="1"/>
        <v>65</v>
      </c>
    </row>
    <row r="306" ht="15.75" customHeight="1">
      <c r="A306" s="1" t="s">
        <v>219</v>
      </c>
      <c r="B306" s="22" t="s">
        <v>144</v>
      </c>
      <c r="C306" s="1" t="s">
        <v>65</v>
      </c>
      <c r="D306" s="12">
        <f t="array" ref="D306">INDEX(SKUMaster!B:B,MATCH(B306,SKUMaster!A:A,0))</f>
        <v>113</v>
      </c>
      <c r="E306" s="13">
        <f t="shared" si="1"/>
        <v>113</v>
      </c>
    </row>
    <row r="307" ht="15.75" customHeight="1">
      <c r="A307" s="1" t="s">
        <v>220</v>
      </c>
      <c r="B307" s="22" t="s">
        <v>77</v>
      </c>
      <c r="C307" s="1" t="s">
        <v>76</v>
      </c>
      <c r="D307" s="12">
        <f t="array" ref="D307">INDEX(SKUMaster!B:B,MATCH(B307,SKUMaster!A:A,0))</f>
        <v>112</v>
      </c>
      <c r="E307" s="13">
        <f t="shared" si="1"/>
        <v>448</v>
      </c>
    </row>
    <row r="308" ht="15.75" customHeight="1">
      <c r="A308" s="1" t="s">
        <v>220</v>
      </c>
      <c r="B308" s="22" t="s">
        <v>81</v>
      </c>
      <c r="C308" s="1" t="s">
        <v>76</v>
      </c>
      <c r="D308" s="12">
        <f t="array" ref="D308">INDEX(SKUMaster!B:B,MATCH(B308,SKUMaster!A:A,0))</f>
        <v>112</v>
      </c>
      <c r="E308" s="13">
        <f t="shared" si="1"/>
        <v>448</v>
      </c>
    </row>
    <row r="309" ht="15.75" customHeight="1">
      <c r="A309" s="1" t="s">
        <v>220</v>
      </c>
      <c r="B309" s="22" t="s">
        <v>75</v>
      </c>
      <c r="C309" s="1" t="s">
        <v>76</v>
      </c>
      <c r="D309" s="12">
        <f t="array" ref="D309">INDEX(SKUMaster!B:B,MATCH(B309,SKUMaster!A:A,0))</f>
        <v>112</v>
      </c>
      <c r="E309" s="13">
        <f t="shared" si="1"/>
        <v>448</v>
      </c>
    </row>
    <row r="310" ht="15.75" customHeight="1">
      <c r="A310" s="1" t="s">
        <v>220</v>
      </c>
      <c r="B310" s="22" t="s">
        <v>136</v>
      </c>
      <c r="C310" s="1" t="s">
        <v>65</v>
      </c>
      <c r="D310" s="12">
        <f t="array" ref="D310">INDEX(SKUMaster!B:B,MATCH(B310,SKUMaster!A:A,0))</f>
        <v>115</v>
      </c>
      <c r="E310" s="13">
        <f t="shared" si="1"/>
        <v>115</v>
      </c>
    </row>
    <row r="311" ht="15.75" customHeight="1">
      <c r="A311" s="1" t="s">
        <v>221</v>
      </c>
      <c r="B311" s="22" t="s">
        <v>83</v>
      </c>
      <c r="C311" s="1" t="s">
        <v>65</v>
      </c>
      <c r="D311" s="12">
        <f t="array" ref="D311">INDEX(SKUMaster!B:B,MATCH(B311,SKUMaster!A:A,0))</f>
        <v>240</v>
      </c>
      <c r="E311" s="13">
        <f t="shared" si="1"/>
        <v>240</v>
      </c>
    </row>
    <row r="312" ht="15.75" customHeight="1">
      <c r="A312" s="1" t="s">
        <v>222</v>
      </c>
      <c r="B312" s="22" t="s">
        <v>64</v>
      </c>
      <c r="C312" s="1" t="s">
        <v>65</v>
      </c>
      <c r="D312" s="12">
        <f t="array" ref="D312">INDEX(SKUMaster!B:B,MATCH(B312,SKUMaster!A:A,0))</f>
        <v>127</v>
      </c>
      <c r="E312" s="13">
        <f t="shared" si="1"/>
        <v>127</v>
      </c>
    </row>
    <row r="313" ht="15.75" customHeight="1">
      <c r="A313" s="1" t="s">
        <v>222</v>
      </c>
      <c r="B313" s="22" t="s">
        <v>101</v>
      </c>
      <c r="C313" s="1" t="s">
        <v>65</v>
      </c>
      <c r="D313" s="12">
        <f t="array" ref="D313">INDEX(SKUMaster!B:B,MATCH(B313,SKUMaster!A:A,0))</f>
        <v>133</v>
      </c>
      <c r="E313" s="13">
        <f t="shared" si="1"/>
        <v>133</v>
      </c>
    </row>
    <row r="314" ht="15.75" customHeight="1">
      <c r="A314" s="1" t="s">
        <v>222</v>
      </c>
      <c r="B314" s="22" t="s">
        <v>90</v>
      </c>
      <c r="C314" s="1" t="s">
        <v>65</v>
      </c>
      <c r="D314" s="12">
        <f t="array" ref="D314">INDEX(SKUMaster!B:B,MATCH(B314,SKUMaster!A:A,0))</f>
        <v>240</v>
      </c>
      <c r="E314" s="13">
        <f t="shared" si="1"/>
        <v>240</v>
      </c>
    </row>
    <row r="315" ht="15.75" customHeight="1">
      <c r="A315" s="1" t="s">
        <v>223</v>
      </c>
      <c r="B315" s="22" t="s">
        <v>64</v>
      </c>
      <c r="C315" s="1" t="s">
        <v>65</v>
      </c>
      <c r="D315" s="12">
        <f t="array" ref="D315">INDEX(SKUMaster!B:B,MATCH(B315,SKUMaster!A:A,0))</f>
        <v>127</v>
      </c>
      <c r="E315" s="13">
        <f t="shared" si="1"/>
        <v>127</v>
      </c>
    </row>
    <row r="316" ht="15.75" customHeight="1">
      <c r="A316" s="1" t="s">
        <v>223</v>
      </c>
      <c r="B316" s="22" t="s">
        <v>101</v>
      </c>
      <c r="C316" s="1" t="s">
        <v>65</v>
      </c>
      <c r="D316" s="12">
        <f t="array" ref="D316">INDEX(SKUMaster!B:B,MATCH(B316,SKUMaster!A:A,0))</f>
        <v>133</v>
      </c>
      <c r="E316" s="13">
        <f t="shared" si="1"/>
        <v>133</v>
      </c>
    </row>
    <row r="317" ht="15.75" customHeight="1">
      <c r="A317" s="1" t="s">
        <v>223</v>
      </c>
      <c r="B317" s="22" t="s">
        <v>90</v>
      </c>
      <c r="C317" s="1" t="s">
        <v>65</v>
      </c>
      <c r="D317" s="12">
        <f t="array" ref="D317">INDEX(SKUMaster!B:B,MATCH(B317,SKUMaster!A:A,0))</f>
        <v>240</v>
      </c>
      <c r="E317" s="13">
        <f t="shared" si="1"/>
        <v>240</v>
      </c>
    </row>
    <row r="318" ht="15.75" customHeight="1">
      <c r="A318" s="1" t="s">
        <v>224</v>
      </c>
      <c r="B318" s="22" t="s">
        <v>141</v>
      </c>
      <c r="C318" s="1" t="s">
        <v>72</v>
      </c>
      <c r="D318" s="12">
        <f t="array" ref="D318">INDEX(SKUMaster!B:B,MATCH(B318,SKUMaster!A:A,0))</f>
        <v>210</v>
      </c>
      <c r="E318" s="13">
        <f t="shared" si="1"/>
        <v>420</v>
      </c>
    </row>
    <row r="319" ht="15.75" customHeight="1">
      <c r="A319" s="1" t="s">
        <v>224</v>
      </c>
      <c r="B319" s="22" t="s">
        <v>141</v>
      </c>
      <c r="C319" s="1" t="s">
        <v>72</v>
      </c>
      <c r="D319" s="12">
        <f t="array" ref="D319">INDEX(SKUMaster!B:B,MATCH(B319,SKUMaster!A:A,0))</f>
        <v>210</v>
      </c>
      <c r="E319" s="13">
        <f t="shared" si="1"/>
        <v>420</v>
      </c>
    </row>
    <row r="320" ht="15.75" customHeight="1">
      <c r="A320" s="1" t="s">
        <v>225</v>
      </c>
      <c r="B320" s="22" t="s">
        <v>64</v>
      </c>
      <c r="C320" s="1" t="s">
        <v>65</v>
      </c>
      <c r="D320" s="12">
        <f t="array" ref="D320">INDEX(SKUMaster!B:B,MATCH(B320,SKUMaster!A:A,0))</f>
        <v>127</v>
      </c>
      <c r="E320" s="13">
        <f t="shared" si="1"/>
        <v>127</v>
      </c>
    </row>
    <row r="321" ht="15.75" customHeight="1">
      <c r="A321" s="1" t="s">
        <v>225</v>
      </c>
      <c r="B321" s="22" t="s">
        <v>101</v>
      </c>
      <c r="C321" s="1" t="s">
        <v>65</v>
      </c>
      <c r="D321" s="12">
        <f t="array" ref="D321">INDEX(SKUMaster!B:B,MATCH(B321,SKUMaster!A:A,0))</f>
        <v>133</v>
      </c>
      <c r="E321" s="13">
        <f t="shared" si="1"/>
        <v>133</v>
      </c>
    </row>
    <row r="322" ht="15.75" customHeight="1">
      <c r="A322" s="1" t="s">
        <v>225</v>
      </c>
      <c r="B322" s="22" t="s">
        <v>90</v>
      </c>
      <c r="C322" s="1" t="s">
        <v>65</v>
      </c>
      <c r="D322" s="12">
        <f t="array" ref="D322">INDEX(SKUMaster!B:B,MATCH(B322,SKUMaster!A:A,0))</f>
        <v>240</v>
      </c>
      <c r="E322" s="13">
        <f t="shared" si="1"/>
        <v>240</v>
      </c>
    </row>
    <row r="323" ht="15.75" customHeight="1">
      <c r="A323" s="1" t="s">
        <v>226</v>
      </c>
      <c r="B323" s="22" t="s">
        <v>64</v>
      </c>
      <c r="C323" s="1" t="s">
        <v>65</v>
      </c>
      <c r="D323" s="12">
        <f t="array" ref="D323">INDEX(SKUMaster!B:B,MATCH(B323,SKUMaster!A:A,0))</f>
        <v>127</v>
      </c>
      <c r="E323" s="13">
        <f t="shared" si="1"/>
        <v>127</v>
      </c>
    </row>
    <row r="324" ht="15.75" customHeight="1">
      <c r="A324" s="1" t="s">
        <v>227</v>
      </c>
      <c r="B324" s="22" t="s">
        <v>90</v>
      </c>
      <c r="C324" s="1" t="s">
        <v>65</v>
      </c>
      <c r="D324" s="12">
        <f t="array" ref="D324">INDEX(SKUMaster!B:B,MATCH(B324,SKUMaster!A:A,0))</f>
        <v>240</v>
      </c>
      <c r="E324" s="13">
        <f t="shared" si="1"/>
        <v>240</v>
      </c>
    </row>
    <row r="325" ht="15.75" customHeight="1">
      <c r="A325" s="1" t="s">
        <v>227</v>
      </c>
      <c r="B325" s="22" t="s">
        <v>102</v>
      </c>
      <c r="C325" s="1" t="s">
        <v>65</v>
      </c>
      <c r="D325" s="12">
        <f t="array" ref="D325">INDEX(SKUMaster!B:B,MATCH(B325,SKUMaster!A:A,0))</f>
        <v>121</v>
      </c>
      <c r="E325" s="13">
        <f t="shared" si="1"/>
        <v>121</v>
      </c>
    </row>
    <row r="326" ht="15.75" customHeight="1">
      <c r="A326" s="1" t="s">
        <v>228</v>
      </c>
      <c r="B326" s="22" t="s">
        <v>64</v>
      </c>
      <c r="C326" s="1" t="s">
        <v>65</v>
      </c>
      <c r="D326" s="12">
        <f t="array" ref="D326">INDEX(SKUMaster!B:B,MATCH(B326,SKUMaster!A:A,0))</f>
        <v>127</v>
      </c>
      <c r="E326" s="13">
        <f t="shared" si="1"/>
        <v>127</v>
      </c>
    </row>
    <row r="327" ht="15.75" customHeight="1">
      <c r="A327" s="1" t="s">
        <v>228</v>
      </c>
      <c r="B327" s="22" t="s">
        <v>71</v>
      </c>
      <c r="C327" s="1" t="s">
        <v>72</v>
      </c>
      <c r="D327" s="12">
        <f t="array" ref="D327">INDEX(SKUMaster!B:B,MATCH(B327,SKUMaster!A:A,0))</f>
        <v>137</v>
      </c>
      <c r="E327" s="13">
        <f t="shared" si="1"/>
        <v>274</v>
      </c>
    </row>
    <row r="328" ht="15.75" customHeight="1">
      <c r="A328" s="1" t="s">
        <v>228</v>
      </c>
      <c r="B328" s="22" t="s">
        <v>150</v>
      </c>
      <c r="C328" s="1" t="s">
        <v>65</v>
      </c>
      <c r="D328" s="12">
        <f t="array" ref="D328">INDEX(SKUMaster!B:B,MATCH(B328,SKUMaster!A:A,0))</f>
        <v>210</v>
      </c>
      <c r="E328" s="13">
        <f t="shared" si="1"/>
        <v>210</v>
      </c>
    </row>
    <row r="329" ht="15.75" customHeight="1">
      <c r="A329" s="1" t="s">
        <v>229</v>
      </c>
      <c r="B329" s="22" t="s">
        <v>121</v>
      </c>
      <c r="C329" s="1" t="s">
        <v>76</v>
      </c>
      <c r="D329" s="12">
        <f t="array" ref="D329">INDEX(SKUMaster!B:B,MATCH(B329,SKUMaster!A:A,0))</f>
        <v>210</v>
      </c>
      <c r="E329" s="13">
        <f t="shared" si="1"/>
        <v>840</v>
      </c>
    </row>
    <row r="330" ht="15.75" customHeight="1">
      <c r="A330" s="1" t="s">
        <v>230</v>
      </c>
      <c r="B330" s="22" t="s">
        <v>64</v>
      </c>
      <c r="C330" s="1" t="s">
        <v>65</v>
      </c>
      <c r="D330" s="12">
        <f t="array" ref="D330">INDEX(SKUMaster!B:B,MATCH(B330,SKUMaster!A:A,0))</f>
        <v>127</v>
      </c>
      <c r="E330" s="13">
        <f t="shared" si="1"/>
        <v>127</v>
      </c>
    </row>
    <row r="331" ht="15.75" customHeight="1">
      <c r="A331" s="1" t="s">
        <v>230</v>
      </c>
      <c r="B331" s="22" t="s">
        <v>101</v>
      </c>
      <c r="C331" s="1" t="s">
        <v>65</v>
      </c>
      <c r="D331" s="12">
        <f t="array" ref="D331">INDEX(SKUMaster!B:B,MATCH(B331,SKUMaster!A:A,0))</f>
        <v>133</v>
      </c>
      <c r="E331" s="13">
        <f t="shared" si="1"/>
        <v>133</v>
      </c>
    </row>
    <row r="332" ht="15.75" customHeight="1">
      <c r="A332" s="1" t="s">
        <v>230</v>
      </c>
      <c r="B332" s="22" t="s">
        <v>90</v>
      </c>
      <c r="C332" s="1" t="s">
        <v>65</v>
      </c>
      <c r="D332" s="12">
        <f t="array" ref="D332">INDEX(SKUMaster!B:B,MATCH(B332,SKUMaster!A:A,0))</f>
        <v>240</v>
      </c>
      <c r="E332" s="13">
        <f t="shared" si="1"/>
        <v>240</v>
      </c>
    </row>
    <row r="333" ht="15.75" customHeight="1">
      <c r="A333" s="1" t="s">
        <v>231</v>
      </c>
      <c r="B333" s="22" t="s">
        <v>81</v>
      </c>
      <c r="C333" s="1" t="s">
        <v>65</v>
      </c>
      <c r="D333" s="12">
        <f t="array" ref="D333">INDEX(SKUMaster!B:B,MATCH(B333,SKUMaster!A:A,0))</f>
        <v>112</v>
      </c>
      <c r="E333" s="13">
        <f t="shared" si="1"/>
        <v>112</v>
      </c>
    </row>
    <row r="334" ht="15.75" customHeight="1">
      <c r="A334" s="1" t="s">
        <v>231</v>
      </c>
      <c r="B334" s="22" t="s">
        <v>68</v>
      </c>
      <c r="C334" s="1" t="s">
        <v>65</v>
      </c>
      <c r="D334" s="12">
        <f t="array" ref="D334">INDEX(SKUMaster!B:B,MATCH(B334,SKUMaster!A:A,0))</f>
        <v>165</v>
      </c>
      <c r="E334" s="13">
        <f t="shared" si="1"/>
        <v>165</v>
      </c>
    </row>
    <row r="335" ht="15.75" customHeight="1">
      <c r="A335" s="1" t="s">
        <v>231</v>
      </c>
      <c r="B335" s="22" t="s">
        <v>90</v>
      </c>
      <c r="C335" s="1" t="s">
        <v>65</v>
      </c>
      <c r="D335" s="12">
        <f t="array" ref="D335">INDEX(SKUMaster!B:B,MATCH(B335,SKUMaster!A:A,0))</f>
        <v>240</v>
      </c>
      <c r="E335" s="13">
        <f t="shared" si="1"/>
        <v>240</v>
      </c>
    </row>
    <row r="336" ht="15.75" customHeight="1">
      <c r="A336" s="1" t="s">
        <v>231</v>
      </c>
      <c r="B336" s="22" t="s">
        <v>121</v>
      </c>
      <c r="C336" s="1" t="s">
        <v>65</v>
      </c>
      <c r="D336" s="12">
        <f t="array" ref="D336">INDEX(SKUMaster!B:B,MATCH(B336,SKUMaster!A:A,0))</f>
        <v>210</v>
      </c>
      <c r="E336" s="13">
        <f t="shared" si="1"/>
        <v>210</v>
      </c>
    </row>
    <row r="337" ht="15.75" customHeight="1">
      <c r="A337" s="1" t="s">
        <v>231</v>
      </c>
      <c r="B337" s="22" t="s">
        <v>83</v>
      </c>
      <c r="C337" s="1" t="s">
        <v>65</v>
      </c>
      <c r="D337" s="12">
        <f t="array" ref="D337">INDEX(SKUMaster!B:B,MATCH(B337,SKUMaster!A:A,0))</f>
        <v>240</v>
      </c>
      <c r="E337" s="13">
        <f t="shared" si="1"/>
        <v>240</v>
      </c>
    </row>
    <row r="338" ht="15.75" customHeight="1">
      <c r="A338" s="1" t="s">
        <v>232</v>
      </c>
      <c r="B338" s="22" t="s">
        <v>64</v>
      </c>
      <c r="C338" s="1" t="s">
        <v>65</v>
      </c>
      <c r="D338" s="12">
        <f t="array" ref="D338">INDEX(SKUMaster!B:B,MATCH(B338,SKUMaster!A:A,0))</f>
        <v>127</v>
      </c>
      <c r="E338" s="13">
        <f t="shared" si="1"/>
        <v>127</v>
      </c>
    </row>
    <row r="339" ht="15.75" customHeight="1">
      <c r="A339" s="1" t="s">
        <v>232</v>
      </c>
      <c r="B339" s="22" t="s">
        <v>101</v>
      </c>
      <c r="C339" s="1" t="s">
        <v>65</v>
      </c>
      <c r="D339" s="12">
        <f t="array" ref="D339">INDEX(SKUMaster!B:B,MATCH(B339,SKUMaster!A:A,0))</f>
        <v>133</v>
      </c>
      <c r="E339" s="13">
        <f t="shared" si="1"/>
        <v>133</v>
      </c>
    </row>
    <row r="340" ht="15.75" customHeight="1">
      <c r="A340" s="1" t="s">
        <v>232</v>
      </c>
      <c r="B340" s="22" t="s">
        <v>90</v>
      </c>
      <c r="C340" s="1" t="s">
        <v>65</v>
      </c>
      <c r="D340" s="12">
        <f t="array" ref="D340">INDEX(SKUMaster!B:B,MATCH(B340,SKUMaster!A:A,0))</f>
        <v>240</v>
      </c>
      <c r="E340" s="13">
        <f t="shared" si="1"/>
        <v>240</v>
      </c>
    </row>
    <row r="341" ht="15.75" customHeight="1">
      <c r="A341" s="1" t="s">
        <v>233</v>
      </c>
      <c r="B341" s="22" t="s">
        <v>83</v>
      </c>
      <c r="C341" s="1" t="s">
        <v>65</v>
      </c>
      <c r="D341" s="12">
        <f t="array" ref="D341">INDEX(SKUMaster!B:B,MATCH(B341,SKUMaster!A:A,0))</f>
        <v>240</v>
      </c>
      <c r="E341" s="13">
        <f t="shared" si="1"/>
        <v>240</v>
      </c>
    </row>
    <row r="342" ht="15.75" customHeight="1">
      <c r="A342" s="1" t="s">
        <v>234</v>
      </c>
      <c r="B342" s="22" t="s">
        <v>64</v>
      </c>
      <c r="C342" s="1" t="s">
        <v>65</v>
      </c>
      <c r="D342" s="12">
        <f t="array" ref="D342">INDEX(SKUMaster!B:B,MATCH(B342,SKUMaster!A:A,0))</f>
        <v>127</v>
      </c>
      <c r="E342" s="13">
        <f t="shared" si="1"/>
        <v>127</v>
      </c>
    </row>
    <row r="343" ht="15.75" customHeight="1">
      <c r="A343" s="1" t="s">
        <v>234</v>
      </c>
      <c r="B343" s="22" t="s">
        <v>101</v>
      </c>
      <c r="C343" s="1" t="s">
        <v>65</v>
      </c>
      <c r="D343" s="12">
        <f t="array" ref="D343">INDEX(SKUMaster!B:B,MATCH(B343,SKUMaster!A:A,0))</f>
        <v>133</v>
      </c>
      <c r="E343" s="13">
        <f t="shared" si="1"/>
        <v>133</v>
      </c>
    </row>
    <row r="344" ht="15.75" customHeight="1">
      <c r="A344" s="1" t="s">
        <v>234</v>
      </c>
      <c r="B344" s="22" t="s">
        <v>90</v>
      </c>
      <c r="C344" s="1" t="s">
        <v>65</v>
      </c>
      <c r="D344" s="12">
        <f t="array" ref="D344">INDEX(SKUMaster!B:B,MATCH(B344,SKUMaster!A:A,0))</f>
        <v>240</v>
      </c>
      <c r="E344" s="13">
        <f t="shared" si="1"/>
        <v>240</v>
      </c>
    </row>
    <row r="345" ht="15.75" customHeight="1">
      <c r="A345" s="1" t="s">
        <v>235</v>
      </c>
      <c r="B345" s="22" t="s">
        <v>79</v>
      </c>
      <c r="C345" s="1" t="s">
        <v>65</v>
      </c>
      <c r="D345" s="12">
        <f t="array" ref="D345">INDEX(SKUMaster!B:B,MATCH(B345,SKUMaster!A:A,0))</f>
        <v>240</v>
      </c>
      <c r="E345" s="13">
        <f t="shared" si="1"/>
        <v>240</v>
      </c>
    </row>
    <row r="346" ht="15.75" customHeight="1">
      <c r="A346" s="1" t="s">
        <v>235</v>
      </c>
      <c r="B346" s="22" t="s">
        <v>102</v>
      </c>
      <c r="C346" s="1" t="s">
        <v>65</v>
      </c>
      <c r="D346" s="12">
        <f t="array" ref="D346">INDEX(SKUMaster!B:B,MATCH(B346,SKUMaster!A:A,0))</f>
        <v>121</v>
      </c>
      <c r="E346" s="13">
        <f t="shared" si="1"/>
        <v>121</v>
      </c>
    </row>
    <row r="347" ht="15.75" customHeight="1">
      <c r="A347" s="1" t="s">
        <v>235</v>
      </c>
      <c r="B347" s="22" t="s">
        <v>114</v>
      </c>
      <c r="C347" s="1" t="s">
        <v>65</v>
      </c>
      <c r="D347" s="12">
        <f t="array" ref="D347">INDEX(SKUMaster!B:B,MATCH(B347,SKUMaster!A:A,0))</f>
        <v>120</v>
      </c>
      <c r="E347" s="13">
        <f t="shared" si="1"/>
        <v>120</v>
      </c>
    </row>
    <row r="348" ht="15.75" customHeight="1">
      <c r="A348" s="1" t="s">
        <v>235</v>
      </c>
      <c r="B348" s="22" t="s">
        <v>199</v>
      </c>
      <c r="C348" s="1" t="s">
        <v>65</v>
      </c>
      <c r="D348" s="12">
        <f t="array" ref="D348">INDEX(SKUMaster!B:B,MATCH(B348,SKUMaster!A:A,0))</f>
        <v>120</v>
      </c>
      <c r="E348" s="13">
        <f t="shared" si="1"/>
        <v>120</v>
      </c>
    </row>
    <row r="349" ht="15.75" customHeight="1">
      <c r="A349" s="1" t="s">
        <v>235</v>
      </c>
      <c r="B349" s="22" t="s">
        <v>75</v>
      </c>
      <c r="C349" s="1" t="s">
        <v>65</v>
      </c>
      <c r="D349" s="12">
        <f t="array" ref="D349">INDEX(SKUMaster!B:B,MATCH(B349,SKUMaster!A:A,0))</f>
        <v>112</v>
      </c>
      <c r="E349" s="13">
        <f t="shared" si="1"/>
        <v>112</v>
      </c>
    </row>
    <row r="350" ht="15.75" customHeight="1">
      <c r="A350" s="1" t="s">
        <v>235</v>
      </c>
      <c r="B350" s="22" t="s">
        <v>236</v>
      </c>
      <c r="C350" s="1" t="s">
        <v>65</v>
      </c>
      <c r="D350" s="12">
        <f t="array" ref="D350">INDEX(SKUMaster!B:B,MATCH(B350,SKUMaster!A:A,0))</f>
        <v>250</v>
      </c>
      <c r="E350" s="13">
        <f t="shared" si="1"/>
        <v>250</v>
      </c>
    </row>
    <row r="351" ht="15.75" customHeight="1">
      <c r="A351" s="1" t="s">
        <v>237</v>
      </c>
      <c r="B351" s="22" t="s">
        <v>64</v>
      </c>
      <c r="C351" s="1" t="s">
        <v>65</v>
      </c>
      <c r="D351" s="12">
        <f t="array" ref="D351">INDEX(SKUMaster!B:B,MATCH(B351,SKUMaster!A:A,0))</f>
        <v>127</v>
      </c>
      <c r="E351" s="13">
        <f t="shared" si="1"/>
        <v>127</v>
      </c>
    </row>
    <row r="352" ht="15.75" customHeight="1">
      <c r="A352" s="1" t="s">
        <v>237</v>
      </c>
      <c r="B352" s="22" t="s">
        <v>101</v>
      </c>
      <c r="C352" s="1" t="s">
        <v>65</v>
      </c>
      <c r="D352" s="12">
        <f t="array" ref="D352">INDEX(SKUMaster!B:B,MATCH(B352,SKUMaster!A:A,0))</f>
        <v>133</v>
      </c>
      <c r="E352" s="13">
        <f t="shared" si="1"/>
        <v>133</v>
      </c>
    </row>
    <row r="353" ht="15.75" customHeight="1">
      <c r="A353" s="1" t="s">
        <v>237</v>
      </c>
      <c r="B353" s="22" t="s">
        <v>90</v>
      </c>
      <c r="C353" s="1" t="s">
        <v>65</v>
      </c>
      <c r="D353" s="12">
        <f t="array" ref="D353">INDEX(SKUMaster!B:B,MATCH(B353,SKUMaster!A:A,0))</f>
        <v>240</v>
      </c>
      <c r="E353" s="13">
        <f t="shared" si="1"/>
        <v>240</v>
      </c>
    </row>
    <row r="354" ht="15.75" customHeight="1">
      <c r="A354" s="1" t="s">
        <v>238</v>
      </c>
      <c r="B354" s="22" t="s">
        <v>88</v>
      </c>
      <c r="C354" s="1" t="s">
        <v>65</v>
      </c>
      <c r="D354" s="12">
        <f t="array" ref="D354">INDEX(SKUMaster!B:B,MATCH(B354,SKUMaster!A:A,0))</f>
        <v>120</v>
      </c>
      <c r="E354" s="13">
        <f t="shared" si="1"/>
        <v>120</v>
      </c>
    </row>
    <row r="355" ht="15.75" customHeight="1">
      <c r="A355" s="1" t="s">
        <v>238</v>
      </c>
      <c r="B355" s="22" t="s">
        <v>119</v>
      </c>
      <c r="C355" s="1" t="s">
        <v>65</v>
      </c>
      <c r="D355" s="12">
        <f t="array" ref="D355">INDEX(SKUMaster!B:B,MATCH(B355,SKUMaster!A:A,0))</f>
        <v>120</v>
      </c>
      <c r="E355" s="13">
        <f t="shared" si="1"/>
        <v>120</v>
      </c>
    </row>
    <row r="356" ht="15.75" customHeight="1">
      <c r="A356" s="1" t="s">
        <v>238</v>
      </c>
      <c r="B356" s="22" t="s">
        <v>75</v>
      </c>
      <c r="C356" s="1" t="s">
        <v>65</v>
      </c>
      <c r="D356" s="12">
        <f t="array" ref="D356">INDEX(SKUMaster!B:B,MATCH(B356,SKUMaster!A:A,0))</f>
        <v>112</v>
      </c>
      <c r="E356" s="13">
        <f t="shared" si="1"/>
        <v>112</v>
      </c>
    </row>
    <row r="357" ht="15.75" customHeight="1">
      <c r="A357" s="1" t="s">
        <v>238</v>
      </c>
      <c r="B357" s="22" t="s">
        <v>105</v>
      </c>
      <c r="C357" s="1" t="s">
        <v>65</v>
      </c>
      <c r="D357" s="12">
        <f t="array" ref="D357">INDEX(SKUMaster!B:B,MATCH(B357,SKUMaster!A:A,0))</f>
        <v>290</v>
      </c>
      <c r="E357" s="13">
        <f t="shared" si="1"/>
        <v>290</v>
      </c>
    </row>
    <row r="358" ht="15.75" customHeight="1">
      <c r="A358" s="1" t="s">
        <v>238</v>
      </c>
      <c r="B358" s="22" t="s">
        <v>239</v>
      </c>
      <c r="C358" s="1" t="s">
        <v>65</v>
      </c>
      <c r="D358" s="12">
        <f t="array" ref="D358">INDEX(SKUMaster!B:B,MATCH(B358,SKUMaster!A:A,0))</f>
        <v>160</v>
      </c>
      <c r="E358" s="13">
        <f t="shared" si="1"/>
        <v>160</v>
      </c>
    </row>
    <row r="359" ht="15.75" customHeight="1">
      <c r="A359" s="1" t="s">
        <v>238</v>
      </c>
      <c r="B359" s="22" t="s">
        <v>240</v>
      </c>
      <c r="C359" s="1" t="s">
        <v>65</v>
      </c>
      <c r="D359" s="12">
        <f t="array" ref="D359">INDEX(SKUMaster!B:B,MATCH(B359,SKUMaster!A:A,0))</f>
        <v>150</v>
      </c>
      <c r="E359" s="13">
        <f t="shared" si="1"/>
        <v>150</v>
      </c>
    </row>
    <row r="360" ht="15.75" customHeight="1">
      <c r="A360" s="1" t="s">
        <v>241</v>
      </c>
      <c r="B360" s="22" t="s">
        <v>64</v>
      </c>
      <c r="C360" s="1" t="s">
        <v>65</v>
      </c>
      <c r="D360" s="12">
        <f t="array" ref="D360">INDEX(SKUMaster!B:B,MATCH(B360,SKUMaster!A:A,0))</f>
        <v>127</v>
      </c>
      <c r="E360" s="13">
        <f t="shared" si="1"/>
        <v>127</v>
      </c>
    </row>
    <row r="361" ht="15.75" customHeight="1">
      <c r="A361" s="1" t="s">
        <v>242</v>
      </c>
      <c r="B361" s="22" t="s">
        <v>64</v>
      </c>
      <c r="C361" s="1" t="s">
        <v>65</v>
      </c>
      <c r="D361" s="12">
        <f t="array" ref="D361">INDEX(SKUMaster!B:B,MATCH(B361,SKUMaster!A:A,0))</f>
        <v>127</v>
      </c>
      <c r="E361" s="13">
        <f t="shared" si="1"/>
        <v>127</v>
      </c>
    </row>
    <row r="362" ht="15.75" customHeight="1">
      <c r="A362" s="1" t="s">
        <v>242</v>
      </c>
      <c r="B362" s="22" t="s">
        <v>101</v>
      </c>
      <c r="C362" s="1" t="s">
        <v>65</v>
      </c>
      <c r="D362" s="12">
        <f t="array" ref="D362">INDEX(SKUMaster!B:B,MATCH(B362,SKUMaster!A:A,0))</f>
        <v>133</v>
      </c>
      <c r="E362" s="13">
        <f t="shared" si="1"/>
        <v>133</v>
      </c>
    </row>
    <row r="363" ht="15.75" customHeight="1">
      <c r="A363" s="1" t="s">
        <v>242</v>
      </c>
      <c r="B363" s="22" t="s">
        <v>90</v>
      </c>
      <c r="C363" s="1" t="s">
        <v>65</v>
      </c>
      <c r="D363" s="12">
        <f t="array" ref="D363">INDEX(SKUMaster!B:B,MATCH(B363,SKUMaster!A:A,0))</f>
        <v>240</v>
      </c>
      <c r="E363" s="13">
        <f t="shared" si="1"/>
        <v>240</v>
      </c>
    </row>
    <row r="364" ht="15.75" customHeight="1">
      <c r="A364" s="1" t="s">
        <v>243</v>
      </c>
      <c r="B364" s="22" t="s">
        <v>64</v>
      </c>
      <c r="C364" s="1" t="s">
        <v>72</v>
      </c>
      <c r="D364" s="12">
        <f t="array" ref="D364">INDEX(SKUMaster!B:B,MATCH(B364,SKUMaster!A:A,0))</f>
        <v>127</v>
      </c>
      <c r="E364" s="13">
        <f t="shared" si="1"/>
        <v>254</v>
      </c>
    </row>
    <row r="365" ht="15.75" customHeight="1">
      <c r="A365" s="1" t="s">
        <v>243</v>
      </c>
      <c r="B365" s="22" t="s">
        <v>101</v>
      </c>
      <c r="C365" s="1" t="s">
        <v>72</v>
      </c>
      <c r="D365" s="12">
        <f t="array" ref="D365">INDEX(SKUMaster!B:B,MATCH(B365,SKUMaster!A:A,0))</f>
        <v>133</v>
      </c>
      <c r="E365" s="13">
        <f t="shared" si="1"/>
        <v>266</v>
      </c>
    </row>
    <row r="366" ht="15.75" customHeight="1">
      <c r="A366" s="1" t="s">
        <v>243</v>
      </c>
      <c r="B366" s="22" t="s">
        <v>90</v>
      </c>
      <c r="C366" s="1" t="s">
        <v>72</v>
      </c>
      <c r="D366" s="12">
        <f t="array" ref="D366">INDEX(SKUMaster!B:B,MATCH(B366,SKUMaster!A:A,0))</f>
        <v>240</v>
      </c>
      <c r="E366" s="13">
        <f t="shared" si="1"/>
        <v>480</v>
      </c>
    </row>
    <row r="367" ht="15.75" customHeight="1">
      <c r="A367" s="1" t="s">
        <v>243</v>
      </c>
      <c r="B367" s="22" t="s">
        <v>64</v>
      </c>
      <c r="C367" s="1" t="s">
        <v>65</v>
      </c>
      <c r="D367" s="12">
        <f t="array" ref="D367">INDEX(SKUMaster!B:B,MATCH(B367,SKUMaster!A:A,0))</f>
        <v>127</v>
      </c>
      <c r="E367" s="13">
        <f t="shared" si="1"/>
        <v>127</v>
      </c>
    </row>
    <row r="368" ht="15.75" customHeight="1">
      <c r="A368" s="1" t="s">
        <v>243</v>
      </c>
      <c r="B368" s="22" t="s">
        <v>101</v>
      </c>
      <c r="C368" s="1" t="s">
        <v>65</v>
      </c>
      <c r="D368" s="12">
        <f t="array" ref="D368">INDEX(SKUMaster!B:B,MATCH(B368,SKUMaster!A:A,0))</f>
        <v>133</v>
      </c>
      <c r="E368" s="13">
        <f t="shared" si="1"/>
        <v>133</v>
      </c>
    </row>
    <row r="369" ht="15.75" customHeight="1">
      <c r="A369" s="1" t="s">
        <v>243</v>
      </c>
      <c r="B369" s="22" t="s">
        <v>90</v>
      </c>
      <c r="C369" s="1" t="s">
        <v>65</v>
      </c>
      <c r="D369" s="12">
        <f t="array" ref="D369">INDEX(SKUMaster!B:B,MATCH(B369,SKUMaster!A:A,0))</f>
        <v>240</v>
      </c>
      <c r="E369" s="13">
        <f t="shared" si="1"/>
        <v>240</v>
      </c>
    </row>
    <row r="370" ht="15.75" customHeight="1">
      <c r="A370" s="1" t="s">
        <v>243</v>
      </c>
      <c r="B370" s="22" t="s">
        <v>102</v>
      </c>
      <c r="C370" s="1" t="s">
        <v>65</v>
      </c>
      <c r="D370" s="12">
        <f t="array" ref="D370">INDEX(SKUMaster!B:B,MATCH(B370,SKUMaster!A:A,0))</f>
        <v>121</v>
      </c>
      <c r="E370" s="13">
        <f t="shared" si="1"/>
        <v>121</v>
      </c>
    </row>
    <row r="371" ht="15.75" customHeight="1">
      <c r="A371" s="1" t="s">
        <v>244</v>
      </c>
      <c r="B371" s="22" t="s">
        <v>117</v>
      </c>
      <c r="C371" s="1" t="s">
        <v>65</v>
      </c>
      <c r="D371" s="12">
        <f t="array" ref="D371">INDEX(SKUMaster!B:B,MATCH(B371,SKUMaster!A:A,0))</f>
        <v>350</v>
      </c>
      <c r="E371" s="13">
        <f t="shared" si="1"/>
        <v>350</v>
      </c>
    </row>
    <row r="372" ht="15.75" customHeight="1">
      <c r="A372" s="1" t="s">
        <v>244</v>
      </c>
      <c r="B372" s="22" t="s">
        <v>116</v>
      </c>
      <c r="C372" s="1" t="s">
        <v>65</v>
      </c>
      <c r="D372" s="12">
        <f t="array" ref="D372">INDEX(SKUMaster!B:B,MATCH(B372,SKUMaster!A:A,0))</f>
        <v>350</v>
      </c>
      <c r="E372" s="13">
        <f t="shared" si="1"/>
        <v>350</v>
      </c>
    </row>
    <row r="373" ht="15.75" customHeight="1">
      <c r="A373" s="1" t="s">
        <v>245</v>
      </c>
      <c r="B373" s="22" t="s">
        <v>64</v>
      </c>
      <c r="C373" s="1" t="s">
        <v>65</v>
      </c>
      <c r="D373" s="12">
        <f t="array" ref="D373">INDEX(SKUMaster!B:B,MATCH(B373,SKUMaster!A:A,0))</f>
        <v>127</v>
      </c>
      <c r="E373" s="13">
        <f t="shared" si="1"/>
        <v>127</v>
      </c>
    </row>
    <row r="374" ht="15.75" customHeight="1">
      <c r="A374" s="1" t="s">
        <v>245</v>
      </c>
      <c r="B374" s="22" t="s">
        <v>101</v>
      </c>
      <c r="C374" s="1" t="s">
        <v>65</v>
      </c>
      <c r="D374" s="12">
        <f t="array" ref="D374">INDEX(SKUMaster!B:B,MATCH(B374,SKUMaster!A:A,0))</f>
        <v>133</v>
      </c>
      <c r="E374" s="13">
        <f t="shared" si="1"/>
        <v>133</v>
      </c>
    </row>
    <row r="375" ht="15.75" customHeight="1">
      <c r="A375" s="1" t="s">
        <v>245</v>
      </c>
      <c r="B375" s="22" t="s">
        <v>90</v>
      </c>
      <c r="C375" s="1" t="s">
        <v>65</v>
      </c>
      <c r="D375" s="12">
        <f t="array" ref="D375">INDEX(SKUMaster!B:B,MATCH(B375,SKUMaster!A:A,0))</f>
        <v>240</v>
      </c>
      <c r="E375" s="13">
        <f t="shared" si="1"/>
        <v>240</v>
      </c>
    </row>
    <row r="376" ht="15.75" customHeight="1">
      <c r="A376" s="1" t="s">
        <v>246</v>
      </c>
      <c r="B376" s="22" t="s">
        <v>247</v>
      </c>
      <c r="C376" s="1" t="s">
        <v>72</v>
      </c>
      <c r="D376" s="12">
        <f t="array" ref="D376">INDEX(SKUMaster!B:B,MATCH(B376,SKUMaster!A:A,0))</f>
        <v>552</v>
      </c>
      <c r="E376" s="13">
        <f t="shared" si="1"/>
        <v>1104</v>
      </c>
    </row>
    <row r="377" ht="15.75" customHeight="1">
      <c r="A377" s="1" t="s">
        <v>246</v>
      </c>
      <c r="B377" s="22" t="s">
        <v>147</v>
      </c>
      <c r="C377" s="1" t="s">
        <v>65</v>
      </c>
      <c r="D377" s="12">
        <f t="array" ref="D377">INDEX(SKUMaster!B:B,MATCH(B377,SKUMaster!A:A,0))</f>
        <v>165</v>
      </c>
      <c r="E377" s="13">
        <f t="shared" si="1"/>
        <v>165</v>
      </c>
    </row>
    <row r="378" ht="15.75" customHeight="1">
      <c r="A378" s="1" t="s">
        <v>246</v>
      </c>
      <c r="B378" s="22" t="s">
        <v>75</v>
      </c>
      <c r="C378" s="1" t="s">
        <v>84</v>
      </c>
      <c r="D378" s="12">
        <f t="array" ref="D378">INDEX(SKUMaster!B:B,MATCH(B378,SKUMaster!A:A,0))</f>
        <v>112</v>
      </c>
      <c r="E378" s="13">
        <f t="shared" si="1"/>
        <v>896</v>
      </c>
    </row>
    <row r="379" ht="15.75" customHeight="1">
      <c r="A379" s="1" t="s">
        <v>246</v>
      </c>
      <c r="B379" s="22" t="s">
        <v>120</v>
      </c>
      <c r="C379" s="1" t="s">
        <v>65</v>
      </c>
      <c r="D379" s="12">
        <f t="array" ref="D379">INDEX(SKUMaster!B:B,MATCH(B379,SKUMaster!A:A,0))</f>
        <v>100</v>
      </c>
      <c r="E379" s="13">
        <f t="shared" si="1"/>
        <v>100</v>
      </c>
    </row>
    <row r="380" ht="15.75" customHeight="1">
      <c r="A380" s="1" t="s">
        <v>248</v>
      </c>
      <c r="B380" s="22" t="s">
        <v>64</v>
      </c>
      <c r="C380" s="1" t="s">
        <v>65</v>
      </c>
      <c r="D380" s="12">
        <f t="array" ref="D380">INDEX(SKUMaster!B:B,MATCH(B380,SKUMaster!A:A,0))</f>
        <v>127</v>
      </c>
      <c r="E380" s="13">
        <f t="shared" si="1"/>
        <v>127</v>
      </c>
    </row>
    <row r="381" ht="15.75" customHeight="1">
      <c r="A381" s="1" t="s">
        <v>248</v>
      </c>
      <c r="B381" s="22" t="s">
        <v>101</v>
      </c>
      <c r="C381" s="1" t="s">
        <v>65</v>
      </c>
      <c r="D381" s="12">
        <f t="array" ref="D381">INDEX(SKUMaster!B:B,MATCH(B381,SKUMaster!A:A,0))</f>
        <v>133</v>
      </c>
      <c r="E381" s="13">
        <f t="shared" si="1"/>
        <v>133</v>
      </c>
    </row>
    <row r="382" ht="15.75" customHeight="1">
      <c r="A382" s="1" t="s">
        <v>248</v>
      </c>
      <c r="B382" s="22" t="s">
        <v>90</v>
      </c>
      <c r="C382" s="1" t="s">
        <v>65</v>
      </c>
      <c r="D382" s="12">
        <f t="array" ref="D382">INDEX(SKUMaster!B:B,MATCH(B382,SKUMaster!A:A,0))</f>
        <v>240</v>
      </c>
      <c r="E382" s="13">
        <f t="shared" si="1"/>
        <v>240</v>
      </c>
    </row>
    <row r="383" ht="15.75" customHeight="1">
      <c r="A383" s="1" t="s">
        <v>249</v>
      </c>
      <c r="B383" s="22" t="s">
        <v>64</v>
      </c>
      <c r="C383" s="1" t="s">
        <v>65</v>
      </c>
      <c r="D383" s="12">
        <f t="array" ref="D383">INDEX(SKUMaster!B:B,MATCH(B383,SKUMaster!A:A,0))</f>
        <v>127</v>
      </c>
      <c r="E383" s="13">
        <f t="shared" si="1"/>
        <v>127</v>
      </c>
    </row>
    <row r="384" ht="15.75" customHeight="1">
      <c r="A384" s="1" t="s">
        <v>249</v>
      </c>
      <c r="B384" s="22" t="s">
        <v>101</v>
      </c>
      <c r="C384" s="1" t="s">
        <v>65</v>
      </c>
      <c r="D384" s="12">
        <f t="array" ref="D384">INDEX(SKUMaster!B:B,MATCH(B384,SKUMaster!A:A,0))</f>
        <v>133</v>
      </c>
      <c r="E384" s="13">
        <f t="shared" si="1"/>
        <v>133</v>
      </c>
    </row>
    <row r="385" ht="15.75" customHeight="1">
      <c r="A385" s="1" t="s">
        <v>249</v>
      </c>
      <c r="B385" s="22" t="s">
        <v>90</v>
      </c>
      <c r="C385" s="1" t="s">
        <v>65</v>
      </c>
      <c r="D385" s="12">
        <f t="array" ref="D385">INDEX(SKUMaster!B:B,MATCH(B385,SKUMaster!A:A,0))</f>
        <v>240</v>
      </c>
      <c r="E385" s="13">
        <f t="shared" si="1"/>
        <v>240</v>
      </c>
    </row>
    <row r="386" ht="15.75" customHeight="1">
      <c r="A386" s="1" t="s">
        <v>250</v>
      </c>
      <c r="B386" s="22" t="s">
        <v>136</v>
      </c>
      <c r="C386" s="1" t="s">
        <v>65</v>
      </c>
      <c r="D386" s="12">
        <f t="array" ref="D386">INDEX(SKUMaster!B:B,MATCH(B386,SKUMaster!A:A,0))</f>
        <v>115</v>
      </c>
      <c r="E386" s="13">
        <f t="shared" si="1"/>
        <v>115</v>
      </c>
    </row>
    <row r="387" ht="15.75" customHeight="1">
      <c r="A387" s="1" t="s">
        <v>250</v>
      </c>
      <c r="B387" s="22" t="s">
        <v>64</v>
      </c>
      <c r="C387" s="1" t="s">
        <v>65</v>
      </c>
      <c r="D387" s="12">
        <f t="array" ref="D387">INDEX(SKUMaster!B:B,MATCH(B387,SKUMaster!A:A,0))</f>
        <v>127</v>
      </c>
      <c r="E387" s="13">
        <f t="shared" si="1"/>
        <v>127</v>
      </c>
    </row>
    <row r="388" ht="15.75" customHeight="1">
      <c r="A388" s="1" t="s">
        <v>250</v>
      </c>
      <c r="B388" s="22" t="s">
        <v>101</v>
      </c>
      <c r="C388" s="1" t="s">
        <v>65</v>
      </c>
      <c r="D388" s="12">
        <f t="array" ref="D388">INDEX(SKUMaster!B:B,MATCH(B388,SKUMaster!A:A,0))</f>
        <v>133</v>
      </c>
      <c r="E388" s="13">
        <f t="shared" si="1"/>
        <v>133</v>
      </c>
    </row>
    <row r="389" ht="15.75" customHeight="1">
      <c r="A389" s="1" t="s">
        <v>250</v>
      </c>
      <c r="B389" s="22" t="s">
        <v>90</v>
      </c>
      <c r="C389" s="1" t="s">
        <v>65</v>
      </c>
      <c r="D389" s="12">
        <f t="array" ref="D389">INDEX(SKUMaster!B:B,MATCH(B389,SKUMaster!A:A,0))</f>
        <v>240</v>
      </c>
      <c r="E389" s="13">
        <f t="shared" si="1"/>
        <v>240</v>
      </c>
    </row>
    <row r="390" ht="15.75" customHeight="1">
      <c r="A390" s="1" t="s">
        <v>251</v>
      </c>
      <c r="B390" s="22" t="s">
        <v>191</v>
      </c>
      <c r="C390" s="1" t="s">
        <v>65</v>
      </c>
      <c r="D390" s="12">
        <f t="array" ref="D390">INDEX(SKUMaster!B:B,MATCH(B390,SKUMaster!A:A,0))</f>
        <v>115</v>
      </c>
      <c r="E390" s="13">
        <f t="shared" si="1"/>
        <v>115</v>
      </c>
    </row>
    <row r="391" ht="15.75" customHeight="1">
      <c r="A391" s="1" t="s">
        <v>251</v>
      </c>
      <c r="B391" s="22" t="s">
        <v>192</v>
      </c>
      <c r="C391" s="1" t="s">
        <v>65</v>
      </c>
      <c r="D391" s="12">
        <f t="array" ref="D391">INDEX(SKUMaster!B:B,MATCH(B391,SKUMaster!A:A,0))</f>
        <v>130</v>
      </c>
      <c r="E391" s="13">
        <f t="shared" si="1"/>
        <v>130</v>
      </c>
    </row>
    <row r="392" ht="15.75" customHeight="1">
      <c r="A392" s="1" t="s">
        <v>252</v>
      </c>
      <c r="B392" s="22" t="s">
        <v>191</v>
      </c>
      <c r="C392" s="1" t="s">
        <v>65</v>
      </c>
      <c r="D392" s="12">
        <f t="array" ref="D392">INDEX(SKUMaster!B:B,MATCH(B392,SKUMaster!A:A,0))</f>
        <v>115</v>
      </c>
      <c r="E392" s="13">
        <f t="shared" si="1"/>
        <v>115</v>
      </c>
    </row>
    <row r="393" ht="15.75" customHeight="1">
      <c r="A393" s="1" t="s">
        <v>252</v>
      </c>
      <c r="B393" s="22" t="s">
        <v>192</v>
      </c>
      <c r="C393" s="1" t="s">
        <v>65</v>
      </c>
      <c r="D393" s="12">
        <f t="array" ref="D393">INDEX(SKUMaster!B:B,MATCH(B393,SKUMaster!A:A,0))</f>
        <v>130</v>
      </c>
      <c r="E393" s="13">
        <f t="shared" si="1"/>
        <v>130</v>
      </c>
    </row>
    <row r="394" ht="15.75" customHeight="1">
      <c r="A394" s="1" t="s">
        <v>253</v>
      </c>
      <c r="B394" s="22" t="s">
        <v>254</v>
      </c>
      <c r="C394" s="1" t="s">
        <v>211</v>
      </c>
      <c r="D394" s="12">
        <f t="array" ref="D394">INDEX(SKUMaster!B:B,MATCH(B394,SKUMaster!A:A,0))</f>
        <v>137</v>
      </c>
      <c r="E394" s="13">
        <f t="shared" si="1"/>
        <v>822</v>
      </c>
    </row>
    <row r="395" ht="15.75" customHeight="1">
      <c r="A395" s="1" t="s">
        <v>253</v>
      </c>
      <c r="B395" s="22" t="s">
        <v>106</v>
      </c>
      <c r="C395" s="1" t="s">
        <v>72</v>
      </c>
      <c r="D395" s="12">
        <f t="array" ref="D395">INDEX(SKUMaster!B:B,MATCH(B395,SKUMaster!A:A,0))</f>
        <v>240</v>
      </c>
      <c r="E395" s="13">
        <f t="shared" si="1"/>
        <v>480</v>
      </c>
    </row>
    <row r="396" ht="15.75" customHeight="1">
      <c r="A396" s="1" t="s">
        <v>255</v>
      </c>
      <c r="B396" s="22" t="s">
        <v>64</v>
      </c>
      <c r="C396" s="1" t="s">
        <v>65</v>
      </c>
      <c r="D396" s="12">
        <f t="array" ref="D396">INDEX(SKUMaster!B:B,MATCH(B396,SKUMaster!A:A,0))</f>
        <v>127</v>
      </c>
      <c r="E396" s="13">
        <f t="shared" si="1"/>
        <v>127</v>
      </c>
    </row>
    <row r="397" ht="15.75" customHeight="1">
      <c r="A397" s="1" t="s">
        <v>255</v>
      </c>
      <c r="B397" s="22" t="s">
        <v>101</v>
      </c>
      <c r="C397" s="1" t="s">
        <v>65</v>
      </c>
      <c r="D397" s="12">
        <f t="array" ref="D397">INDEX(SKUMaster!B:B,MATCH(B397,SKUMaster!A:A,0))</f>
        <v>133</v>
      </c>
      <c r="E397" s="13">
        <f t="shared" si="1"/>
        <v>133</v>
      </c>
    </row>
    <row r="398" ht="15.75" customHeight="1">
      <c r="A398" s="1" t="s">
        <v>255</v>
      </c>
      <c r="B398" s="22" t="s">
        <v>90</v>
      </c>
      <c r="C398" s="1" t="s">
        <v>65</v>
      </c>
      <c r="D398" s="12">
        <f t="array" ref="D398">INDEX(SKUMaster!B:B,MATCH(B398,SKUMaster!A:A,0))</f>
        <v>240</v>
      </c>
      <c r="E398" s="13">
        <f t="shared" si="1"/>
        <v>240</v>
      </c>
    </row>
    <row r="399" ht="15.75" customHeight="1">
      <c r="A399" s="1" t="s">
        <v>256</v>
      </c>
      <c r="B399" s="22" t="s">
        <v>90</v>
      </c>
      <c r="C399" s="1" t="s">
        <v>72</v>
      </c>
      <c r="D399" s="12">
        <f t="array" ref="D399">INDEX(SKUMaster!B:B,MATCH(B399,SKUMaster!A:A,0))</f>
        <v>240</v>
      </c>
      <c r="E399" s="13">
        <f t="shared" si="1"/>
        <v>480</v>
      </c>
    </row>
    <row r="400" ht="15.75" customHeight="1">
      <c r="A400" s="1" t="s">
        <v>257</v>
      </c>
      <c r="B400" s="22" t="s">
        <v>119</v>
      </c>
      <c r="C400" s="1" t="s">
        <v>65</v>
      </c>
      <c r="D400" s="12">
        <f t="array" ref="D400">INDEX(SKUMaster!B:B,MATCH(B400,SKUMaster!A:A,0))</f>
        <v>120</v>
      </c>
      <c r="E400" s="13">
        <f t="shared" si="1"/>
        <v>120</v>
      </c>
    </row>
    <row r="401" ht="15.75" customHeight="1">
      <c r="A401" s="1" t="s">
        <v>257</v>
      </c>
      <c r="B401" s="22" t="s">
        <v>120</v>
      </c>
      <c r="C401" s="1" t="s">
        <v>65</v>
      </c>
      <c r="D401" s="12">
        <f t="array" ref="D401">INDEX(SKUMaster!B:B,MATCH(B401,SKUMaster!A:A,0))</f>
        <v>100</v>
      </c>
      <c r="E401" s="13">
        <f t="shared" si="1"/>
        <v>100</v>
      </c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43"/>
    <col customWidth="1" min="3" max="26" width="8.71"/>
  </cols>
  <sheetData>
    <row r="1">
      <c r="A1" s="2" t="s">
        <v>7</v>
      </c>
      <c r="B1" s="23" t="s">
        <v>8</v>
      </c>
      <c r="C1" s="2" t="s">
        <v>258</v>
      </c>
    </row>
    <row r="2">
      <c r="A2" s="1">
        <v>121003.0</v>
      </c>
      <c r="B2" s="22" t="s">
        <v>259</v>
      </c>
      <c r="C2" s="1" t="s">
        <v>260</v>
      </c>
    </row>
    <row r="3">
      <c r="A3" s="1">
        <v>121003.0</v>
      </c>
      <c r="B3" s="22" t="s">
        <v>261</v>
      </c>
      <c r="C3" s="1" t="s">
        <v>260</v>
      </c>
    </row>
    <row r="4">
      <c r="A4" s="1">
        <v>121003.0</v>
      </c>
      <c r="B4" s="22" t="s">
        <v>262</v>
      </c>
      <c r="C4" s="1" t="s">
        <v>260</v>
      </c>
    </row>
    <row r="5">
      <c r="A5" s="1">
        <v>121003.0</v>
      </c>
      <c r="B5" s="22" t="s">
        <v>263</v>
      </c>
      <c r="C5" s="1" t="s">
        <v>264</v>
      </c>
    </row>
    <row r="6">
      <c r="A6" s="1">
        <v>121003.0</v>
      </c>
      <c r="B6" s="22" t="s">
        <v>265</v>
      </c>
      <c r="C6" s="1" t="s">
        <v>260</v>
      </c>
    </row>
    <row r="7">
      <c r="A7" s="1">
        <v>121003.0</v>
      </c>
      <c r="B7" s="22" t="s">
        <v>266</v>
      </c>
      <c r="C7" s="1" t="s">
        <v>260</v>
      </c>
    </row>
    <row r="8">
      <c r="A8" s="1">
        <v>121003.0</v>
      </c>
      <c r="B8" s="22" t="s">
        <v>267</v>
      </c>
      <c r="C8" s="1" t="s">
        <v>264</v>
      </c>
    </row>
    <row r="9">
      <c r="A9" s="1">
        <v>121003.0</v>
      </c>
      <c r="B9" s="22" t="s">
        <v>268</v>
      </c>
      <c r="C9" s="1" t="s">
        <v>264</v>
      </c>
    </row>
    <row r="10">
      <c r="A10" s="1">
        <v>121003.0</v>
      </c>
      <c r="B10" s="22" t="s">
        <v>269</v>
      </c>
      <c r="C10" s="1" t="s">
        <v>260</v>
      </c>
    </row>
    <row r="11">
      <c r="A11" s="1">
        <v>121003.0</v>
      </c>
      <c r="B11" s="22" t="s">
        <v>270</v>
      </c>
      <c r="C11" s="1" t="s">
        <v>260</v>
      </c>
    </row>
    <row r="12">
      <c r="A12" s="1">
        <v>121003.0</v>
      </c>
      <c r="B12" s="22" t="s">
        <v>271</v>
      </c>
      <c r="C12" s="1" t="s">
        <v>264</v>
      </c>
    </row>
    <row r="13">
      <c r="A13" s="1">
        <v>121003.0</v>
      </c>
      <c r="B13" s="22" t="s">
        <v>272</v>
      </c>
      <c r="C13" s="1" t="s">
        <v>260</v>
      </c>
    </row>
    <row r="14">
      <c r="A14" s="1">
        <v>121003.0</v>
      </c>
      <c r="B14" s="22" t="s">
        <v>273</v>
      </c>
      <c r="C14" s="1" t="s">
        <v>264</v>
      </c>
    </row>
    <row r="15">
      <c r="A15" s="1">
        <v>121003.0</v>
      </c>
      <c r="B15" s="22" t="s">
        <v>274</v>
      </c>
      <c r="C15" s="1" t="s">
        <v>260</v>
      </c>
    </row>
    <row r="16">
      <c r="A16" s="1">
        <v>121003.0</v>
      </c>
      <c r="B16" s="22" t="s">
        <v>275</v>
      </c>
      <c r="C16" s="1" t="s">
        <v>260</v>
      </c>
    </row>
    <row r="17">
      <c r="A17" s="1">
        <v>121003.0</v>
      </c>
      <c r="B17" s="22" t="s">
        <v>276</v>
      </c>
      <c r="C17" s="1" t="s">
        <v>260</v>
      </c>
    </row>
    <row r="18">
      <c r="A18" s="1">
        <v>121003.0</v>
      </c>
      <c r="B18" s="22" t="s">
        <v>268</v>
      </c>
      <c r="C18" s="1" t="s">
        <v>264</v>
      </c>
    </row>
    <row r="19">
      <c r="A19" s="1">
        <v>121003.0</v>
      </c>
      <c r="B19" s="22" t="s">
        <v>277</v>
      </c>
      <c r="C19" s="1" t="s">
        <v>260</v>
      </c>
    </row>
    <row r="20">
      <c r="A20" s="1">
        <v>121003.0</v>
      </c>
      <c r="B20" s="22" t="s">
        <v>278</v>
      </c>
      <c r="C20" s="1" t="s">
        <v>279</v>
      </c>
    </row>
    <row r="21" ht="15.75" customHeight="1">
      <c r="A21" s="1">
        <v>121003.0</v>
      </c>
      <c r="B21" s="22" t="s">
        <v>280</v>
      </c>
      <c r="C21" s="1" t="s">
        <v>264</v>
      </c>
    </row>
    <row r="22" ht="15.75" customHeight="1">
      <c r="A22" s="1">
        <v>121003.0</v>
      </c>
      <c r="B22" s="22" t="s">
        <v>281</v>
      </c>
      <c r="C22" s="1" t="s">
        <v>260</v>
      </c>
    </row>
    <row r="23" ht="15.75" customHeight="1">
      <c r="A23" s="1">
        <v>121003.0</v>
      </c>
      <c r="B23" s="22" t="s">
        <v>282</v>
      </c>
      <c r="C23" s="1" t="s">
        <v>264</v>
      </c>
    </row>
    <row r="24" ht="15.75" customHeight="1">
      <c r="A24" s="1">
        <v>121003.0</v>
      </c>
      <c r="B24" s="22" t="s">
        <v>283</v>
      </c>
      <c r="C24" s="1" t="s">
        <v>260</v>
      </c>
    </row>
    <row r="25" ht="15.75" customHeight="1">
      <c r="A25" s="1">
        <v>121003.0</v>
      </c>
      <c r="B25" s="22" t="s">
        <v>284</v>
      </c>
      <c r="C25" s="1" t="s">
        <v>264</v>
      </c>
    </row>
    <row r="26" ht="15.75" customHeight="1">
      <c r="A26" s="1">
        <v>121003.0</v>
      </c>
      <c r="B26" s="22" t="s">
        <v>285</v>
      </c>
      <c r="C26" s="1" t="s">
        <v>260</v>
      </c>
    </row>
    <row r="27" ht="15.75" customHeight="1">
      <c r="A27" s="1">
        <v>121003.0</v>
      </c>
      <c r="B27" s="22" t="s">
        <v>286</v>
      </c>
      <c r="C27" s="1" t="s">
        <v>260</v>
      </c>
    </row>
    <row r="28" ht="15.75" customHeight="1">
      <c r="A28" s="1">
        <v>121003.0</v>
      </c>
      <c r="B28" s="22" t="s">
        <v>287</v>
      </c>
      <c r="C28" s="1" t="s">
        <v>279</v>
      </c>
    </row>
    <row r="29" ht="15.75" customHeight="1">
      <c r="A29" s="1">
        <v>121003.0</v>
      </c>
      <c r="B29" s="22" t="s">
        <v>288</v>
      </c>
      <c r="C29" s="1" t="s">
        <v>260</v>
      </c>
    </row>
    <row r="30" ht="15.75" customHeight="1">
      <c r="A30" s="1">
        <v>121003.0</v>
      </c>
      <c r="B30" s="22" t="s">
        <v>289</v>
      </c>
      <c r="C30" s="1" t="s">
        <v>264</v>
      </c>
    </row>
    <row r="31" ht="15.75" customHeight="1">
      <c r="A31" s="1">
        <v>121003.0</v>
      </c>
      <c r="B31" s="22" t="s">
        <v>290</v>
      </c>
      <c r="C31" s="1" t="s">
        <v>260</v>
      </c>
    </row>
    <row r="32" ht="15.75" customHeight="1">
      <c r="A32" s="1">
        <v>121003.0</v>
      </c>
      <c r="B32" s="22" t="s">
        <v>291</v>
      </c>
      <c r="C32" s="1" t="s">
        <v>260</v>
      </c>
    </row>
    <row r="33" ht="15.75" customHeight="1">
      <c r="A33" s="1">
        <v>121003.0</v>
      </c>
      <c r="B33" s="22" t="s">
        <v>292</v>
      </c>
      <c r="C33" s="1" t="s">
        <v>260</v>
      </c>
    </row>
    <row r="34" ht="15.75" customHeight="1">
      <c r="A34" s="1">
        <v>121003.0</v>
      </c>
      <c r="B34" s="22" t="s">
        <v>293</v>
      </c>
      <c r="C34" s="1" t="s">
        <v>260</v>
      </c>
    </row>
    <row r="35" ht="15.75" customHeight="1">
      <c r="A35" s="1">
        <v>121003.0</v>
      </c>
      <c r="B35" s="22" t="s">
        <v>294</v>
      </c>
      <c r="C35" s="1" t="s">
        <v>264</v>
      </c>
    </row>
    <row r="36" ht="15.75" customHeight="1">
      <c r="A36" s="1">
        <v>121003.0</v>
      </c>
      <c r="B36" s="22" t="s">
        <v>295</v>
      </c>
      <c r="C36" s="1" t="s">
        <v>260</v>
      </c>
    </row>
    <row r="37" ht="15.75" customHeight="1">
      <c r="A37" s="1">
        <v>121003.0</v>
      </c>
      <c r="B37" s="22" t="s">
        <v>296</v>
      </c>
      <c r="C37" s="1" t="s">
        <v>260</v>
      </c>
    </row>
    <row r="38" ht="15.75" customHeight="1">
      <c r="A38" s="1">
        <v>121003.0</v>
      </c>
      <c r="B38" s="22" t="s">
        <v>297</v>
      </c>
      <c r="C38" s="1" t="s">
        <v>264</v>
      </c>
    </row>
    <row r="39" ht="15.75" customHeight="1">
      <c r="A39" s="1">
        <v>121003.0</v>
      </c>
      <c r="B39" s="22" t="s">
        <v>298</v>
      </c>
      <c r="C39" s="1" t="s">
        <v>260</v>
      </c>
    </row>
    <row r="40" ht="15.75" customHeight="1">
      <c r="A40" s="1">
        <v>121003.0</v>
      </c>
      <c r="B40" s="22" t="s">
        <v>299</v>
      </c>
      <c r="C40" s="1" t="s">
        <v>260</v>
      </c>
    </row>
    <row r="41" ht="15.75" customHeight="1">
      <c r="A41" s="1">
        <v>121003.0</v>
      </c>
      <c r="B41" s="22" t="s">
        <v>300</v>
      </c>
      <c r="C41" s="1" t="s">
        <v>260</v>
      </c>
    </row>
    <row r="42" ht="15.75" customHeight="1">
      <c r="A42" s="1">
        <v>121003.0</v>
      </c>
      <c r="B42" s="22" t="s">
        <v>301</v>
      </c>
      <c r="C42" s="1" t="s">
        <v>260</v>
      </c>
    </row>
    <row r="43" ht="15.75" customHeight="1">
      <c r="A43" s="1">
        <v>121003.0</v>
      </c>
      <c r="B43" s="22" t="s">
        <v>302</v>
      </c>
      <c r="C43" s="1" t="s">
        <v>264</v>
      </c>
    </row>
    <row r="44" ht="15.75" customHeight="1">
      <c r="A44" s="1">
        <v>121003.0</v>
      </c>
      <c r="B44" s="22" t="s">
        <v>303</v>
      </c>
      <c r="C44" s="1" t="s">
        <v>260</v>
      </c>
    </row>
    <row r="45" ht="15.75" customHeight="1">
      <c r="A45" s="1">
        <v>121003.0</v>
      </c>
      <c r="B45" s="22" t="s">
        <v>304</v>
      </c>
      <c r="C45" s="1" t="s">
        <v>264</v>
      </c>
    </row>
    <row r="46" ht="15.75" customHeight="1">
      <c r="A46" s="1">
        <v>121003.0</v>
      </c>
      <c r="B46" s="22" t="s">
        <v>305</v>
      </c>
      <c r="C46" s="1" t="s">
        <v>264</v>
      </c>
    </row>
    <row r="47" ht="15.75" customHeight="1">
      <c r="A47" s="1">
        <v>121003.0</v>
      </c>
      <c r="B47" s="22" t="s">
        <v>306</v>
      </c>
      <c r="C47" s="1" t="s">
        <v>260</v>
      </c>
    </row>
    <row r="48" ht="15.75" customHeight="1">
      <c r="A48" s="1">
        <v>121003.0</v>
      </c>
      <c r="B48" s="22" t="s">
        <v>307</v>
      </c>
      <c r="C48" s="1" t="s">
        <v>260</v>
      </c>
    </row>
    <row r="49" ht="15.75" customHeight="1">
      <c r="A49" s="1">
        <v>121003.0</v>
      </c>
      <c r="B49" s="22" t="s">
        <v>308</v>
      </c>
      <c r="C49" s="1" t="s">
        <v>260</v>
      </c>
    </row>
    <row r="50" ht="15.75" customHeight="1">
      <c r="A50" s="1">
        <v>121003.0</v>
      </c>
      <c r="B50" s="22" t="s">
        <v>309</v>
      </c>
      <c r="C50" s="1" t="s">
        <v>260</v>
      </c>
    </row>
    <row r="51" ht="15.75" customHeight="1">
      <c r="A51" s="1">
        <v>121003.0</v>
      </c>
      <c r="B51" s="22" t="s">
        <v>310</v>
      </c>
      <c r="C51" s="1" t="s">
        <v>264</v>
      </c>
    </row>
    <row r="52" ht="15.75" customHeight="1">
      <c r="A52" s="1">
        <v>121003.0</v>
      </c>
      <c r="B52" s="22" t="s">
        <v>304</v>
      </c>
      <c r="C52" s="1" t="s">
        <v>264</v>
      </c>
    </row>
    <row r="53" ht="15.75" customHeight="1">
      <c r="A53" s="1">
        <v>121003.0</v>
      </c>
      <c r="B53" s="22" t="s">
        <v>311</v>
      </c>
      <c r="C53" s="1" t="s">
        <v>260</v>
      </c>
    </row>
    <row r="54" ht="15.75" customHeight="1">
      <c r="A54" s="1">
        <v>121003.0</v>
      </c>
      <c r="B54" s="22" t="s">
        <v>312</v>
      </c>
      <c r="C54" s="1" t="s">
        <v>260</v>
      </c>
    </row>
    <row r="55" ht="15.75" customHeight="1">
      <c r="A55" s="1">
        <v>121003.0</v>
      </c>
      <c r="B55" s="22" t="s">
        <v>313</v>
      </c>
      <c r="C55" s="1" t="s">
        <v>260</v>
      </c>
    </row>
    <row r="56" ht="15.75" customHeight="1">
      <c r="A56" s="1">
        <v>121003.0</v>
      </c>
      <c r="B56" s="22" t="s">
        <v>314</v>
      </c>
      <c r="C56" s="1" t="s">
        <v>260</v>
      </c>
    </row>
    <row r="57" ht="15.75" customHeight="1">
      <c r="A57" s="1">
        <v>121003.0</v>
      </c>
      <c r="B57" s="22" t="s">
        <v>315</v>
      </c>
      <c r="C57" s="1" t="s">
        <v>264</v>
      </c>
    </row>
    <row r="58" ht="15.75" customHeight="1">
      <c r="A58" s="1">
        <v>121003.0</v>
      </c>
      <c r="B58" s="22" t="s">
        <v>316</v>
      </c>
      <c r="C58" s="1" t="s">
        <v>264</v>
      </c>
    </row>
    <row r="59" ht="15.75" customHeight="1">
      <c r="A59" s="1">
        <v>121003.0</v>
      </c>
      <c r="B59" s="22" t="s">
        <v>317</v>
      </c>
      <c r="C59" s="1" t="s">
        <v>260</v>
      </c>
    </row>
    <row r="60" ht="15.75" customHeight="1">
      <c r="A60" s="1">
        <v>121003.0</v>
      </c>
      <c r="B60" s="22" t="s">
        <v>318</v>
      </c>
      <c r="C60" s="1" t="s">
        <v>260</v>
      </c>
    </row>
    <row r="61" ht="15.75" customHeight="1">
      <c r="A61" s="1">
        <v>121003.0</v>
      </c>
      <c r="B61" s="22" t="s">
        <v>319</v>
      </c>
      <c r="C61" s="1" t="s">
        <v>264</v>
      </c>
    </row>
    <row r="62" ht="15.75" customHeight="1">
      <c r="A62" s="1">
        <v>121003.0</v>
      </c>
      <c r="B62" s="22" t="s">
        <v>320</v>
      </c>
      <c r="C62" s="1" t="s">
        <v>264</v>
      </c>
    </row>
    <row r="63" ht="15.75" customHeight="1">
      <c r="A63" s="1">
        <v>121003.0</v>
      </c>
      <c r="B63" s="22" t="s">
        <v>321</v>
      </c>
      <c r="C63" s="1" t="s">
        <v>264</v>
      </c>
    </row>
    <row r="64" ht="15.75" customHeight="1">
      <c r="A64" s="1">
        <v>121003.0</v>
      </c>
      <c r="B64" s="22" t="s">
        <v>322</v>
      </c>
      <c r="C64" s="1" t="s">
        <v>264</v>
      </c>
    </row>
    <row r="65" ht="15.75" customHeight="1">
      <c r="A65" s="1">
        <v>121003.0</v>
      </c>
      <c r="B65" s="22" t="s">
        <v>323</v>
      </c>
      <c r="C65" s="1" t="s">
        <v>264</v>
      </c>
    </row>
    <row r="66" ht="15.75" customHeight="1">
      <c r="A66" s="1">
        <v>121003.0</v>
      </c>
      <c r="B66" s="22" t="s">
        <v>324</v>
      </c>
      <c r="C66" s="1" t="s">
        <v>264</v>
      </c>
    </row>
    <row r="67" ht="15.75" customHeight="1">
      <c r="A67" s="1">
        <v>121003.0</v>
      </c>
      <c r="B67" s="22" t="s">
        <v>325</v>
      </c>
      <c r="C67" s="1" t="s">
        <v>264</v>
      </c>
    </row>
    <row r="68" ht="15.75" customHeight="1">
      <c r="A68" s="1">
        <v>121003.0</v>
      </c>
      <c r="B68" s="22" t="s">
        <v>326</v>
      </c>
      <c r="C68" s="1" t="s">
        <v>264</v>
      </c>
    </row>
    <row r="69" ht="15.75" customHeight="1">
      <c r="A69" s="1">
        <v>121003.0</v>
      </c>
      <c r="B69" s="22" t="s">
        <v>327</v>
      </c>
      <c r="C69" s="1" t="s">
        <v>264</v>
      </c>
    </row>
    <row r="70" ht="15.75" customHeight="1">
      <c r="A70" s="1">
        <v>121003.0</v>
      </c>
      <c r="B70" s="22" t="s">
        <v>328</v>
      </c>
      <c r="C70" s="1" t="s">
        <v>264</v>
      </c>
    </row>
    <row r="71" ht="15.75" customHeight="1">
      <c r="A71" s="1">
        <v>121003.0</v>
      </c>
      <c r="B71" s="22" t="s">
        <v>329</v>
      </c>
      <c r="C71" s="1" t="s">
        <v>264</v>
      </c>
    </row>
    <row r="72" ht="15.75" customHeight="1">
      <c r="A72" s="1">
        <v>121003.0</v>
      </c>
      <c r="B72" s="22" t="s">
        <v>330</v>
      </c>
      <c r="C72" s="1" t="s">
        <v>264</v>
      </c>
    </row>
    <row r="73" ht="15.75" customHeight="1">
      <c r="A73" s="1">
        <v>121003.0</v>
      </c>
      <c r="B73" s="22" t="s">
        <v>331</v>
      </c>
      <c r="C73" s="1" t="s">
        <v>264</v>
      </c>
    </row>
    <row r="74" ht="15.75" customHeight="1">
      <c r="A74" s="1">
        <v>121003.0</v>
      </c>
      <c r="B74" s="22" t="s">
        <v>328</v>
      </c>
      <c r="C74" s="1" t="s">
        <v>264</v>
      </c>
    </row>
    <row r="75" ht="15.75" customHeight="1">
      <c r="A75" s="1">
        <v>121003.0</v>
      </c>
      <c r="B75" s="22" t="s">
        <v>332</v>
      </c>
      <c r="C75" s="1" t="s">
        <v>264</v>
      </c>
    </row>
    <row r="76" ht="15.75" customHeight="1">
      <c r="A76" s="1">
        <v>121003.0</v>
      </c>
      <c r="B76" s="22" t="s">
        <v>333</v>
      </c>
      <c r="C76" s="1" t="s">
        <v>264</v>
      </c>
    </row>
    <row r="77" ht="15.75" customHeight="1">
      <c r="A77" s="1">
        <v>121003.0</v>
      </c>
      <c r="B77" s="22" t="s">
        <v>333</v>
      </c>
      <c r="C77" s="1" t="s">
        <v>264</v>
      </c>
    </row>
    <row r="78" ht="15.75" customHeight="1">
      <c r="A78" s="1">
        <v>121003.0</v>
      </c>
      <c r="B78" s="22" t="s">
        <v>334</v>
      </c>
      <c r="C78" s="1" t="s">
        <v>264</v>
      </c>
    </row>
    <row r="79" ht="15.75" customHeight="1">
      <c r="A79" s="1">
        <v>121003.0</v>
      </c>
      <c r="B79" s="22" t="s">
        <v>331</v>
      </c>
      <c r="C79" s="1" t="s">
        <v>264</v>
      </c>
    </row>
    <row r="80" ht="15.75" customHeight="1">
      <c r="A80" s="1">
        <v>121003.0</v>
      </c>
      <c r="B80" s="22" t="s">
        <v>331</v>
      </c>
      <c r="C80" s="1" t="s">
        <v>264</v>
      </c>
    </row>
    <row r="81" ht="15.75" customHeight="1">
      <c r="A81" s="1">
        <v>121003.0</v>
      </c>
      <c r="B81" s="22" t="s">
        <v>335</v>
      </c>
      <c r="C81" s="1" t="s">
        <v>264</v>
      </c>
    </row>
    <row r="82" ht="15.75" customHeight="1">
      <c r="A82" s="1">
        <v>121003.0</v>
      </c>
      <c r="B82" s="22" t="s">
        <v>336</v>
      </c>
      <c r="C82" s="1" t="s">
        <v>264</v>
      </c>
    </row>
    <row r="83" ht="15.75" customHeight="1">
      <c r="A83" s="1">
        <v>121003.0</v>
      </c>
      <c r="B83" s="22" t="s">
        <v>337</v>
      </c>
      <c r="C83" s="1" t="s">
        <v>264</v>
      </c>
    </row>
    <row r="84" ht="15.75" customHeight="1">
      <c r="A84" s="1">
        <v>121003.0</v>
      </c>
      <c r="B84" s="22" t="s">
        <v>331</v>
      </c>
      <c r="C84" s="1" t="s">
        <v>264</v>
      </c>
    </row>
    <row r="85" ht="15.75" customHeight="1">
      <c r="A85" s="1">
        <v>121003.0</v>
      </c>
      <c r="B85" s="22" t="s">
        <v>338</v>
      </c>
      <c r="C85" s="1" t="s">
        <v>264</v>
      </c>
    </row>
    <row r="86" ht="15.75" customHeight="1">
      <c r="A86" s="1">
        <v>121003.0</v>
      </c>
      <c r="B86" s="22" t="s">
        <v>339</v>
      </c>
      <c r="C86" s="1" t="s">
        <v>264</v>
      </c>
    </row>
    <row r="87" ht="15.75" customHeight="1">
      <c r="A87" s="1">
        <v>121003.0</v>
      </c>
      <c r="B87" s="22" t="s">
        <v>340</v>
      </c>
      <c r="C87" s="1" t="s">
        <v>264</v>
      </c>
    </row>
    <row r="88" ht="15.75" customHeight="1">
      <c r="A88" s="1">
        <v>121003.0</v>
      </c>
      <c r="B88" s="22" t="s">
        <v>341</v>
      </c>
      <c r="C88" s="1" t="s">
        <v>264</v>
      </c>
    </row>
    <row r="89" ht="15.75" customHeight="1">
      <c r="A89" s="1">
        <v>121003.0</v>
      </c>
      <c r="B89" s="22" t="s">
        <v>342</v>
      </c>
      <c r="C89" s="1" t="s">
        <v>279</v>
      </c>
    </row>
    <row r="90" ht="15.75" customHeight="1">
      <c r="A90" s="1">
        <v>121003.0</v>
      </c>
      <c r="B90" s="22" t="s">
        <v>343</v>
      </c>
      <c r="C90" s="1" t="s">
        <v>279</v>
      </c>
    </row>
    <row r="91" ht="15.75" customHeight="1">
      <c r="A91" s="1">
        <v>121003.0</v>
      </c>
      <c r="B91" s="22" t="s">
        <v>344</v>
      </c>
      <c r="C91" s="1" t="s">
        <v>279</v>
      </c>
    </row>
    <row r="92" ht="15.75" customHeight="1">
      <c r="A92" s="1">
        <v>121003.0</v>
      </c>
      <c r="B92" s="22" t="s">
        <v>333</v>
      </c>
      <c r="C92" s="1" t="s">
        <v>264</v>
      </c>
    </row>
    <row r="93" ht="15.75" customHeight="1">
      <c r="A93" s="1">
        <v>121003.0</v>
      </c>
      <c r="B93" s="22" t="s">
        <v>345</v>
      </c>
      <c r="C93" s="1" t="s">
        <v>264</v>
      </c>
    </row>
    <row r="94" ht="15.75" customHeight="1">
      <c r="A94" s="1">
        <v>121003.0</v>
      </c>
      <c r="B94" s="22" t="s">
        <v>346</v>
      </c>
      <c r="C94" s="1" t="s">
        <v>264</v>
      </c>
    </row>
    <row r="95" ht="15.75" customHeight="1">
      <c r="A95" s="1">
        <v>121003.0</v>
      </c>
      <c r="B95" s="22" t="s">
        <v>347</v>
      </c>
      <c r="C95" s="1" t="s">
        <v>264</v>
      </c>
    </row>
    <row r="96" ht="15.75" customHeight="1">
      <c r="A96" s="1">
        <v>121003.0</v>
      </c>
      <c r="B96" s="22" t="s">
        <v>348</v>
      </c>
      <c r="C96" s="1" t="s">
        <v>264</v>
      </c>
    </row>
    <row r="97" ht="15.75" customHeight="1">
      <c r="A97" s="1">
        <v>121003.0</v>
      </c>
      <c r="B97" s="22" t="s">
        <v>349</v>
      </c>
      <c r="C97" s="1" t="s">
        <v>264</v>
      </c>
    </row>
    <row r="98" ht="15.75" customHeight="1">
      <c r="A98" s="1">
        <v>121003.0</v>
      </c>
      <c r="B98" s="22" t="s">
        <v>350</v>
      </c>
      <c r="C98" s="1" t="s">
        <v>264</v>
      </c>
    </row>
    <row r="99" ht="15.75" customHeight="1">
      <c r="A99" s="1">
        <v>121003.0</v>
      </c>
      <c r="B99" s="22" t="s">
        <v>351</v>
      </c>
      <c r="C99" s="1" t="s">
        <v>264</v>
      </c>
    </row>
    <row r="100" ht="15.75" customHeight="1">
      <c r="A100" s="1">
        <v>121003.0</v>
      </c>
      <c r="B100" s="22" t="s">
        <v>352</v>
      </c>
      <c r="C100" s="1" t="s">
        <v>264</v>
      </c>
    </row>
    <row r="101" ht="15.75" customHeight="1">
      <c r="A101" s="1">
        <v>121003.0</v>
      </c>
      <c r="B101" s="22" t="s">
        <v>353</v>
      </c>
      <c r="C101" s="1" t="s">
        <v>264</v>
      </c>
    </row>
    <row r="102" ht="15.75" customHeight="1">
      <c r="A102" s="1">
        <v>121003.0</v>
      </c>
      <c r="B102" s="22" t="s">
        <v>354</v>
      </c>
      <c r="C102" s="1" t="s">
        <v>264</v>
      </c>
    </row>
    <row r="103" ht="15.75" customHeight="1">
      <c r="A103" s="1">
        <v>121003.0</v>
      </c>
      <c r="B103" s="22" t="s">
        <v>323</v>
      </c>
      <c r="C103" s="1" t="s">
        <v>264</v>
      </c>
    </row>
    <row r="104" ht="15.75" customHeight="1">
      <c r="A104" s="1">
        <v>121003.0</v>
      </c>
      <c r="B104" s="22" t="s">
        <v>355</v>
      </c>
      <c r="C104" s="1" t="s">
        <v>279</v>
      </c>
    </row>
    <row r="105" ht="15.75" customHeight="1">
      <c r="A105" s="1">
        <v>121003.0</v>
      </c>
      <c r="B105" s="22" t="s">
        <v>356</v>
      </c>
      <c r="C105" s="1" t="s">
        <v>264</v>
      </c>
    </row>
    <row r="106" ht="15.75" customHeight="1">
      <c r="A106" s="1">
        <v>121003.0</v>
      </c>
      <c r="B106" s="22" t="s">
        <v>357</v>
      </c>
      <c r="C106" s="1" t="s">
        <v>264</v>
      </c>
    </row>
    <row r="107" ht="15.75" customHeight="1">
      <c r="A107" s="1">
        <v>121003.0</v>
      </c>
      <c r="B107" s="22" t="s">
        <v>358</v>
      </c>
      <c r="C107" s="1" t="s">
        <v>264</v>
      </c>
    </row>
    <row r="108" ht="15.75" customHeight="1">
      <c r="A108" s="1">
        <v>121003.0</v>
      </c>
      <c r="B108" s="22" t="s">
        <v>322</v>
      </c>
      <c r="C108" s="1" t="s">
        <v>264</v>
      </c>
    </row>
    <row r="109" ht="15.75" customHeight="1">
      <c r="A109" s="1">
        <v>121003.0</v>
      </c>
      <c r="B109" s="22" t="s">
        <v>359</v>
      </c>
      <c r="C109" s="1" t="s">
        <v>264</v>
      </c>
    </row>
    <row r="110" ht="15.75" customHeight="1">
      <c r="A110" s="1">
        <v>121003.0</v>
      </c>
      <c r="B110" s="22" t="s">
        <v>360</v>
      </c>
      <c r="C110" s="1" t="s">
        <v>264</v>
      </c>
    </row>
    <row r="111" ht="15.75" customHeight="1">
      <c r="A111" s="1">
        <v>121003.0</v>
      </c>
      <c r="B111" s="22" t="s">
        <v>361</v>
      </c>
      <c r="C111" s="1" t="s">
        <v>264</v>
      </c>
    </row>
    <row r="112" ht="15.75" customHeight="1">
      <c r="A112" s="1">
        <v>121003.0</v>
      </c>
      <c r="B112" s="22" t="s">
        <v>362</v>
      </c>
      <c r="C112" s="1" t="s">
        <v>264</v>
      </c>
    </row>
    <row r="113" ht="15.75" customHeight="1">
      <c r="A113" s="1">
        <v>121003.0</v>
      </c>
      <c r="B113" s="22" t="s">
        <v>363</v>
      </c>
      <c r="C113" s="1" t="s">
        <v>264</v>
      </c>
    </row>
    <row r="114" ht="15.75" customHeight="1">
      <c r="A114" s="1">
        <v>121003.0</v>
      </c>
      <c r="B114" s="22" t="s">
        <v>364</v>
      </c>
      <c r="C114" s="1" t="s">
        <v>264</v>
      </c>
    </row>
    <row r="115" ht="15.75" customHeight="1">
      <c r="A115" s="1">
        <v>121003.0</v>
      </c>
      <c r="B115" s="22" t="s">
        <v>333</v>
      </c>
      <c r="C115" s="1" t="s">
        <v>264</v>
      </c>
    </row>
    <row r="116" ht="15.75" customHeight="1">
      <c r="A116" s="1">
        <v>121003.0</v>
      </c>
      <c r="B116" s="22" t="s">
        <v>365</v>
      </c>
      <c r="C116" s="1" t="s">
        <v>264</v>
      </c>
    </row>
    <row r="117" ht="15.75" customHeight="1">
      <c r="A117" s="1">
        <v>121003.0</v>
      </c>
      <c r="B117" s="22" t="s">
        <v>366</v>
      </c>
      <c r="C117" s="1" t="s">
        <v>264</v>
      </c>
    </row>
    <row r="118" ht="15.75" customHeight="1">
      <c r="A118" s="1">
        <v>121003.0</v>
      </c>
      <c r="B118" s="22" t="s">
        <v>364</v>
      </c>
      <c r="C118" s="1" t="s">
        <v>264</v>
      </c>
    </row>
    <row r="119" ht="15.75" customHeight="1">
      <c r="A119" s="1">
        <v>121003.0</v>
      </c>
      <c r="B119" s="22" t="s">
        <v>333</v>
      </c>
      <c r="C119" s="1" t="s">
        <v>264</v>
      </c>
    </row>
    <row r="120" ht="15.75" customHeight="1">
      <c r="A120" s="1">
        <v>121003.0</v>
      </c>
      <c r="B120" s="22" t="s">
        <v>359</v>
      </c>
      <c r="C120" s="1" t="s">
        <v>264</v>
      </c>
    </row>
    <row r="121" ht="15.75" customHeight="1">
      <c r="A121" s="1">
        <v>121003.0</v>
      </c>
      <c r="B121" s="22" t="s">
        <v>367</v>
      </c>
      <c r="C121" s="1" t="s">
        <v>264</v>
      </c>
    </row>
    <row r="122" ht="15.75" customHeight="1">
      <c r="A122" s="1">
        <v>121003.0</v>
      </c>
      <c r="B122" s="22" t="s">
        <v>368</v>
      </c>
      <c r="C122" s="1" t="s">
        <v>264</v>
      </c>
    </row>
    <row r="123" ht="15.75" customHeight="1">
      <c r="A123" s="1">
        <v>121003.0</v>
      </c>
      <c r="B123" s="22" t="s">
        <v>369</v>
      </c>
      <c r="C123" s="1" t="s">
        <v>264</v>
      </c>
    </row>
    <row r="124" ht="15.75" customHeight="1">
      <c r="A124" s="1">
        <v>121003.0</v>
      </c>
      <c r="B124" s="22" t="s">
        <v>342</v>
      </c>
      <c r="C124" s="1" t="s">
        <v>279</v>
      </c>
    </row>
    <row r="125" ht="15.75" customHeight="1">
      <c r="A125" s="1">
        <v>121003.0</v>
      </c>
      <c r="B125" s="22" t="s">
        <v>366</v>
      </c>
      <c r="C125" s="1" t="s">
        <v>264</v>
      </c>
    </row>
    <row r="126" ht="15.75" customHeight="1">
      <c r="B126" s="17"/>
    </row>
    <row r="127" ht="15.75" customHeight="1">
      <c r="B127" s="17"/>
    </row>
    <row r="128" ht="15.75" customHeight="1">
      <c r="B128" s="17"/>
    </row>
    <row r="129" ht="15.75" customHeight="1">
      <c r="B129" s="17"/>
    </row>
    <row r="130" ht="15.75" customHeight="1">
      <c r="B130" s="17"/>
    </row>
    <row r="131" ht="15.75" customHeight="1">
      <c r="B131" s="17"/>
    </row>
    <row r="132" ht="15.75" customHeight="1">
      <c r="B132" s="17"/>
    </row>
    <row r="133" ht="15.75" customHeight="1">
      <c r="B133" s="17"/>
    </row>
    <row r="134" ht="15.75" customHeight="1">
      <c r="B134" s="17"/>
    </row>
    <row r="135" ht="15.75" customHeight="1">
      <c r="B135" s="17"/>
    </row>
    <row r="136" ht="15.75" customHeight="1">
      <c r="B136" s="17"/>
    </row>
    <row r="137" ht="15.75" customHeight="1">
      <c r="B137" s="17"/>
    </row>
    <row r="138" ht="15.75" customHeight="1">
      <c r="B138" s="17"/>
    </row>
    <row r="139" ht="15.75" customHeight="1">
      <c r="B139" s="17"/>
    </row>
    <row r="140" ht="15.75" customHeight="1">
      <c r="B140" s="17"/>
    </row>
    <row r="141" ht="15.75" customHeight="1">
      <c r="B141" s="17"/>
    </row>
    <row r="142" ht="15.75" customHeight="1">
      <c r="B142" s="17"/>
    </row>
    <row r="143" ht="15.75" customHeight="1">
      <c r="B143" s="17"/>
    </row>
    <row r="144" ht="15.75" customHeight="1">
      <c r="B144" s="17"/>
    </row>
    <row r="145" ht="15.75" customHeight="1">
      <c r="B145" s="17"/>
    </row>
    <row r="146" ht="15.75" customHeight="1">
      <c r="B146" s="17"/>
    </row>
    <row r="147" ht="15.75" customHeight="1">
      <c r="B147" s="17"/>
    </row>
    <row r="148" ht="15.75" customHeight="1">
      <c r="B148" s="17"/>
    </row>
    <row r="149" ht="15.75" customHeight="1">
      <c r="B149" s="17"/>
    </row>
    <row r="150" ht="15.75" customHeight="1">
      <c r="B150" s="17"/>
    </row>
    <row r="151" ht="15.75" customHeight="1">
      <c r="B151" s="17"/>
    </row>
    <row r="152" ht="15.75" customHeight="1">
      <c r="B152" s="17"/>
    </row>
    <row r="153" ht="15.75" customHeight="1">
      <c r="B153" s="17"/>
    </row>
    <row r="154" ht="15.75" customHeight="1">
      <c r="B154" s="17"/>
    </row>
    <row r="155" ht="15.75" customHeight="1">
      <c r="B155" s="17"/>
    </row>
    <row r="156" ht="15.75" customHeight="1">
      <c r="B156" s="17"/>
    </row>
    <row r="157" ht="15.75" customHeight="1">
      <c r="B157" s="17"/>
    </row>
    <row r="158" ht="15.75" customHeight="1">
      <c r="B158" s="17"/>
    </row>
    <row r="159" ht="15.75" customHeight="1">
      <c r="B159" s="17"/>
    </row>
    <row r="160" ht="15.75" customHeight="1">
      <c r="B160" s="17"/>
    </row>
    <row r="161" ht="15.75" customHeight="1">
      <c r="B161" s="17"/>
    </row>
    <row r="162" ht="15.75" customHeight="1">
      <c r="B162" s="17"/>
    </row>
    <row r="163" ht="15.75" customHeight="1">
      <c r="B163" s="17"/>
    </row>
    <row r="164" ht="15.75" customHeight="1">
      <c r="B164" s="17"/>
    </row>
    <row r="165" ht="15.75" customHeight="1">
      <c r="B165" s="17"/>
    </row>
    <row r="166" ht="15.75" customHeight="1">
      <c r="B166" s="17"/>
    </row>
    <row r="167" ht="15.75" customHeight="1">
      <c r="B167" s="17"/>
    </row>
    <row r="168" ht="15.75" customHeight="1">
      <c r="B168" s="17"/>
    </row>
    <row r="169" ht="15.75" customHeight="1">
      <c r="B169" s="17"/>
    </row>
    <row r="170" ht="15.75" customHeight="1">
      <c r="B170" s="17"/>
    </row>
    <row r="171" ht="15.75" customHeight="1">
      <c r="B171" s="17"/>
    </row>
    <row r="172" ht="15.75" customHeight="1">
      <c r="B172" s="17"/>
    </row>
    <row r="173" ht="15.75" customHeight="1">
      <c r="B173" s="17"/>
    </row>
    <row r="174" ht="15.75" customHeight="1">
      <c r="B174" s="17"/>
    </row>
    <row r="175" ht="15.75" customHeight="1">
      <c r="B175" s="17"/>
    </row>
    <row r="176" ht="15.75" customHeight="1">
      <c r="B176" s="17"/>
    </row>
    <row r="177" ht="15.75" customHeight="1">
      <c r="B177" s="17"/>
    </row>
    <row r="178" ht="15.75" customHeight="1">
      <c r="B178" s="17"/>
    </row>
    <row r="179" ht="15.75" customHeight="1">
      <c r="B179" s="17"/>
    </row>
    <row r="180" ht="15.75" customHeight="1">
      <c r="B180" s="17"/>
    </row>
    <row r="181" ht="15.75" customHeight="1">
      <c r="B181" s="17"/>
    </row>
    <row r="182" ht="15.75" customHeight="1">
      <c r="B182" s="17"/>
    </row>
    <row r="183" ht="15.75" customHeight="1">
      <c r="B183" s="17"/>
    </row>
    <row r="184" ht="15.75" customHeight="1">
      <c r="B184" s="17"/>
    </row>
    <row r="185" ht="15.75" customHeight="1">
      <c r="B185" s="17"/>
    </row>
    <row r="186" ht="15.75" customHeight="1">
      <c r="B186" s="17"/>
    </row>
    <row r="187" ht="15.75" customHeight="1">
      <c r="B187" s="17"/>
    </row>
    <row r="188" ht="15.75" customHeight="1">
      <c r="B188" s="17"/>
    </row>
    <row r="189" ht="15.75" customHeight="1">
      <c r="B189" s="17"/>
    </row>
    <row r="190" ht="15.75" customHeight="1">
      <c r="B190" s="17"/>
    </row>
    <row r="191" ht="15.75" customHeight="1">
      <c r="B191" s="17"/>
    </row>
    <row r="192" ht="15.75" customHeight="1">
      <c r="B192" s="17"/>
    </row>
    <row r="193" ht="15.75" customHeight="1">
      <c r="B193" s="17"/>
    </row>
    <row r="194" ht="15.75" customHeight="1">
      <c r="B194" s="17"/>
    </row>
    <row r="195" ht="15.75" customHeight="1">
      <c r="B195" s="17"/>
    </row>
    <row r="196" ht="15.75" customHeight="1">
      <c r="B196" s="17"/>
    </row>
    <row r="197" ht="15.75" customHeight="1">
      <c r="B197" s="17"/>
    </row>
    <row r="198" ht="15.75" customHeight="1">
      <c r="B198" s="17"/>
    </row>
    <row r="199" ht="15.75" customHeight="1">
      <c r="B199" s="17"/>
    </row>
    <row r="200" ht="15.75" customHeight="1">
      <c r="B200" s="17"/>
    </row>
    <row r="201" ht="15.75" customHeight="1">
      <c r="B201" s="17"/>
    </row>
    <row r="202" ht="15.75" customHeight="1">
      <c r="B202" s="17"/>
    </row>
    <row r="203" ht="15.75" customHeight="1">
      <c r="B203" s="17"/>
    </row>
    <row r="204" ht="15.75" customHeight="1">
      <c r="B204" s="17"/>
    </row>
    <row r="205" ht="15.75" customHeight="1">
      <c r="B205" s="17"/>
    </row>
    <row r="206" ht="15.75" customHeight="1">
      <c r="B206" s="17"/>
    </row>
    <row r="207" ht="15.75" customHeight="1">
      <c r="B207" s="17"/>
    </row>
    <row r="208" ht="15.75" customHeight="1">
      <c r="B208" s="17"/>
    </row>
    <row r="209" ht="15.75" customHeight="1">
      <c r="B209" s="17"/>
    </row>
    <row r="210" ht="15.75" customHeight="1">
      <c r="B210" s="17"/>
    </row>
    <row r="211" ht="15.75" customHeight="1">
      <c r="B211" s="17"/>
    </row>
    <row r="212" ht="15.75" customHeight="1">
      <c r="B212" s="17"/>
    </row>
    <row r="213" ht="15.75" customHeight="1">
      <c r="B213" s="17"/>
    </row>
    <row r="214" ht="15.75" customHeight="1">
      <c r="B214" s="17"/>
    </row>
    <row r="215" ht="15.75" customHeight="1">
      <c r="B215" s="17"/>
    </row>
    <row r="216" ht="15.75" customHeight="1">
      <c r="B216" s="17"/>
    </row>
    <row r="217" ht="15.75" customHeight="1">
      <c r="B217" s="17"/>
    </row>
    <row r="218" ht="15.75" customHeight="1">
      <c r="B218" s="17"/>
    </row>
    <row r="219" ht="15.75" customHeight="1">
      <c r="B219" s="17"/>
    </row>
    <row r="220" ht="15.75" customHeight="1">
      <c r="B220" s="17"/>
    </row>
    <row r="221" ht="15.75" customHeight="1">
      <c r="B221" s="17"/>
    </row>
    <row r="222" ht="15.75" customHeight="1">
      <c r="B222" s="17"/>
    </row>
    <row r="223" ht="15.75" customHeight="1">
      <c r="B223" s="17"/>
    </row>
    <row r="224" ht="15.75" customHeight="1">
      <c r="B224" s="17"/>
    </row>
    <row r="225" ht="15.75" customHeight="1">
      <c r="B225" s="17"/>
    </row>
    <row r="226" ht="15.75" customHeight="1">
      <c r="B226" s="17"/>
    </row>
    <row r="227" ht="15.75" customHeight="1">
      <c r="B227" s="17"/>
    </row>
    <row r="228" ht="15.75" customHeight="1">
      <c r="B228" s="17"/>
    </row>
    <row r="229" ht="15.75" customHeight="1">
      <c r="B229" s="17"/>
    </row>
    <row r="230" ht="15.75" customHeight="1">
      <c r="B230" s="17"/>
    </row>
    <row r="231" ht="15.75" customHeight="1">
      <c r="B231" s="17"/>
    </row>
    <row r="232" ht="15.75" customHeight="1">
      <c r="B232" s="17"/>
    </row>
    <row r="233" ht="15.75" customHeight="1">
      <c r="B233" s="17"/>
    </row>
    <row r="234" ht="15.75" customHeight="1">
      <c r="B234" s="17"/>
    </row>
    <row r="235" ht="15.75" customHeight="1">
      <c r="B235" s="17"/>
    </row>
    <row r="236" ht="15.75" customHeight="1">
      <c r="B236" s="17"/>
    </row>
    <row r="237" ht="15.75" customHeight="1">
      <c r="B237" s="17"/>
    </row>
    <row r="238" ht="15.75" customHeight="1">
      <c r="B238" s="17"/>
    </row>
    <row r="239" ht="15.75" customHeight="1">
      <c r="B239" s="17"/>
    </row>
    <row r="240" ht="15.75" customHeight="1">
      <c r="B240" s="17"/>
    </row>
    <row r="241" ht="15.75" customHeight="1">
      <c r="B241" s="17"/>
    </row>
    <row r="242" ht="15.75" customHeight="1">
      <c r="B242" s="17"/>
    </row>
    <row r="243" ht="15.75" customHeight="1">
      <c r="B243" s="17"/>
    </row>
    <row r="244" ht="15.75" customHeight="1">
      <c r="B244" s="17"/>
    </row>
    <row r="245" ht="15.75" customHeight="1">
      <c r="B245" s="17"/>
    </row>
    <row r="246" ht="15.75" customHeight="1">
      <c r="B246" s="17"/>
    </row>
    <row r="247" ht="15.75" customHeight="1">
      <c r="B247" s="17"/>
    </row>
    <row r="248" ht="15.75" customHeight="1">
      <c r="B248" s="17"/>
    </row>
    <row r="249" ht="15.75" customHeight="1">
      <c r="B249" s="17"/>
    </row>
    <row r="250" ht="15.75" customHeight="1">
      <c r="B250" s="17"/>
    </row>
    <row r="251" ht="15.75" customHeight="1">
      <c r="B251" s="17"/>
    </row>
    <row r="252" ht="15.75" customHeight="1">
      <c r="B252" s="17"/>
    </row>
    <row r="253" ht="15.75" customHeight="1">
      <c r="B253" s="17"/>
    </row>
    <row r="254" ht="15.75" customHeight="1">
      <c r="B254" s="17"/>
    </row>
    <row r="255" ht="15.75" customHeight="1">
      <c r="B255" s="17"/>
    </row>
    <row r="256" ht="15.75" customHeight="1">
      <c r="B256" s="17"/>
    </row>
    <row r="257" ht="15.75" customHeight="1">
      <c r="B257" s="17"/>
    </row>
    <row r="258" ht="15.75" customHeight="1">
      <c r="B258" s="17"/>
    </row>
    <row r="259" ht="15.75" customHeight="1">
      <c r="B259" s="17"/>
    </row>
    <row r="260" ht="15.75" customHeight="1">
      <c r="B260" s="17"/>
    </row>
    <row r="261" ht="15.75" customHeight="1">
      <c r="B261" s="17"/>
    </row>
    <row r="262" ht="15.75" customHeight="1">
      <c r="B262" s="17"/>
    </row>
    <row r="263" ht="15.75" customHeight="1">
      <c r="B263" s="17"/>
    </row>
    <row r="264" ht="15.75" customHeight="1">
      <c r="B264" s="17"/>
    </row>
    <row r="265" ht="15.75" customHeight="1">
      <c r="B265" s="17"/>
    </row>
    <row r="266" ht="15.75" customHeight="1">
      <c r="B266" s="17"/>
    </row>
    <row r="267" ht="15.75" customHeight="1">
      <c r="B267" s="17"/>
    </row>
    <row r="268" ht="15.75" customHeight="1">
      <c r="B268" s="17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0"/>
    <col customWidth="1" min="3" max="3" width="15.29"/>
    <col customWidth="1" min="4" max="4" width="19.0"/>
    <col customWidth="1" min="5" max="5" width="17.43"/>
    <col customWidth="1" min="6" max="6" width="5.43"/>
    <col customWidth="1" min="7" max="7" width="23.57"/>
    <col customWidth="1" min="8" max="8" width="18.86"/>
    <col customWidth="1" min="9" max="20" width="8.71"/>
  </cols>
  <sheetData>
    <row r="1" ht="23.25" customHeight="1">
      <c r="A1" s="2" t="s">
        <v>6</v>
      </c>
      <c r="B1" s="2" t="s">
        <v>370</v>
      </c>
      <c r="C1" s="2" t="s">
        <v>371</v>
      </c>
      <c r="D1" s="2" t="s">
        <v>7</v>
      </c>
      <c r="E1" s="23" t="s">
        <v>8</v>
      </c>
      <c r="F1" s="2" t="s">
        <v>258</v>
      </c>
      <c r="G1" s="2" t="s">
        <v>9</v>
      </c>
      <c r="H1" s="2" t="s">
        <v>372</v>
      </c>
    </row>
    <row r="2">
      <c r="A2" s="24" t="s">
        <v>373</v>
      </c>
      <c r="B2" s="25" t="s">
        <v>253</v>
      </c>
      <c r="C2" s="25" t="s">
        <v>374</v>
      </c>
      <c r="D2" s="26">
        <v>121003.0</v>
      </c>
      <c r="E2" s="27" t="s">
        <v>259</v>
      </c>
      <c r="F2" s="25" t="s">
        <v>260</v>
      </c>
      <c r="G2" s="25" t="s">
        <v>375</v>
      </c>
      <c r="H2" s="28">
        <v>135.0</v>
      </c>
    </row>
    <row r="3">
      <c r="A3" s="29" t="s">
        <v>376</v>
      </c>
      <c r="B3" s="30" t="s">
        <v>250</v>
      </c>
      <c r="C3" s="30" t="s">
        <v>377</v>
      </c>
      <c r="D3" s="31">
        <v>121003.0</v>
      </c>
      <c r="E3" s="32" t="s">
        <v>261</v>
      </c>
      <c r="F3" s="30" t="s">
        <v>260</v>
      </c>
      <c r="G3" s="30" t="s">
        <v>375</v>
      </c>
      <c r="H3" s="33">
        <v>90.2</v>
      </c>
    </row>
    <row r="4">
      <c r="A4" s="29" t="s">
        <v>378</v>
      </c>
      <c r="B4" s="30" t="s">
        <v>246</v>
      </c>
      <c r="C4" s="30" t="s">
        <v>379</v>
      </c>
      <c r="D4" s="31">
        <v>121003.0</v>
      </c>
      <c r="E4" s="32" t="s">
        <v>262</v>
      </c>
      <c r="F4" s="30" t="s">
        <v>260</v>
      </c>
      <c r="G4" s="30" t="s">
        <v>375</v>
      </c>
      <c r="H4" s="33">
        <v>224.6</v>
      </c>
    </row>
    <row r="5">
      <c r="A5" s="29" t="s">
        <v>380</v>
      </c>
      <c r="B5" s="30" t="s">
        <v>244</v>
      </c>
      <c r="C5" s="30" t="s">
        <v>377</v>
      </c>
      <c r="D5" s="31">
        <v>121003.0</v>
      </c>
      <c r="E5" s="32" t="s">
        <v>263</v>
      </c>
      <c r="F5" s="30" t="s">
        <v>264</v>
      </c>
      <c r="G5" s="30" t="s">
        <v>375</v>
      </c>
      <c r="H5" s="33">
        <v>61.3</v>
      </c>
    </row>
    <row r="6">
      <c r="A6" s="29" t="s">
        <v>381</v>
      </c>
      <c r="B6" s="30" t="s">
        <v>221</v>
      </c>
      <c r="C6" s="30" t="s">
        <v>382</v>
      </c>
      <c r="D6" s="31">
        <v>121003.0</v>
      </c>
      <c r="E6" s="32" t="s">
        <v>265</v>
      </c>
      <c r="F6" s="30" t="s">
        <v>260</v>
      </c>
      <c r="G6" s="30" t="s">
        <v>375</v>
      </c>
      <c r="H6" s="33">
        <v>45.4</v>
      </c>
    </row>
    <row r="7">
      <c r="A7" s="29" t="s">
        <v>383</v>
      </c>
      <c r="B7" s="30" t="s">
        <v>233</v>
      </c>
      <c r="C7" s="30" t="s">
        <v>382</v>
      </c>
      <c r="D7" s="31">
        <v>121003.0</v>
      </c>
      <c r="E7" s="32" t="s">
        <v>266</v>
      </c>
      <c r="F7" s="30" t="s">
        <v>260</v>
      </c>
      <c r="G7" s="30" t="s">
        <v>375</v>
      </c>
      <c r="H7" s="33">
        <v>45.4</v>
      </c>
    </row>
    <row r="8">
      <c r="A8" s="29" t="s">
        <v>384</v>
      </c>
      <c r="B8" s="30" t="s">
        <v>224</v>
      </c>
      <c r="C8" s="30" t="s">
        <v>377</v>
      </c>
      <c r="D8" s="31">
        <v>121003.0</v>
      </c>
      <c r="E8" s="32" t="s">
        <v>267</v>
      </c>
      <c r="F8" s="30" t="s">
        <v>264</v>
      </c>
      <c r="G8" s="30" t="s">
        <v>375</v>
      </c>
      <c r="H8" s="33">
        <v>61.3</v>
      </c>
    </row>
    <row r="9">
      <c r="A9" s="29" t="s">
        <v>385</v>
      </c>
      <c r="B9" s="30" t="s">
        <v>219</v>
      </c>
      <c r="C9" s="30" t="s">
        <v>386</v>
      </c>
      <c r="D9" s="31">
        <v>121003.0</v>
      </c>
      <c r="E9" s="32" t="s">
        <v>268</v>
      </c>
      <c r="F9" s="30" t="s">
        <v>264</v>
      </c>
      <c r="G9" s="30" t="s">
        <v>375</v>
      </c>
      <c r="H9" s="33">
        <v>89.6</v>
      </c>
    </row>
    <row r="10">
      <c r="A10" s="29" t="s">
        <v>387</v>
      </c>
      <c r="B10" s="30" t="s">
        <v>217</v>
      </c>
      <c r="C10" s="30" t="s">
        <v>388</v>
      </c>
      <c r="D10" s="31">
        <v>121003.0</v>
      </c>
      <c r="E10" s="32" t="s">
        <v>269</v>
      </c>
      <c r="F10" s="30" t="s">
        <v>260</v>
      </c>
      <c r="G10" s="30" t="s">
        <v>375</v>
      </c>
      <c r="H10" s="33">
        <v>45.4</v>
      </c>
    </row>
    <row r="11">
      <c r="A11" s="29" t="s">
        <v>389</v>
      </c>
      <c r="B11" s="30" t="s">
        <v>215</v>
      </c>
      <c r="C11" s="30" t="s">
        <v>388</v>
      </c>
      <c r="D11" s="31">
        <v>121003.0</v>
      </c>
      <c r="E11" s="32" t="s">
        <v>270</v>
      </c>
      <c r="F11" s="30" t="s">
        <v>260</v>
      </c>
      <c r="G11" s="30" t="s">
        <v>375</v>
      </c>
      <c r="H11" s="33">
        <v>45.4</v>
      </c>
    </row>
    <row r="12">
      <c r="A12" s="29" t="s">
        <v>390</v>
      </c>
      <c r="B12" s="30" t="s">
        <v>206</v>
      </c>
      <c r="C12" s="30" t="s">
        <v>391</v>
      </c>
      <c r="D12" s="31">
        <v>121003.0</v>
      </c>
      <c r="E12" s="32" t="s">
        <v>271</v>
      </c>
      <c r="F12" s="30" t="s">
        <v>264</v>
      </c>
      <c r="G12" s="30" t="s">
        <v>375</v>
      </c>
      <c r="H12" s="33">
        <v>61.3</v>
      </c>
    </row>
    <row r="13">
      <c r="A13" s="29" t="s">
        <v>392</v>
      </c>
      <c r="B13" s="30" t="s">
        <v>203</v>
      </c>
      <c r="C13" s="30" t="s">
        <v>393</v>
      </c>
      <c r="D13" s="31">
        <v>121003.0</v>
      </c>
      <c r="E13" s="32" t="s">
        <v>272</v>
      </c>
      <c r="F13" s="30" t="s">
        <v>260</v>
      </c>
      <c r="G13" s="30" t="s">
        <v>375</v>
      </c>
      <c r="H13" s="33">
        <v>90.2</v>
      </c>
    </row>
    <row r="14">
      <c r="A14" s="29" t="s">
        <v>394</v>
      </c>
      <c r="B14" s="30" t="s">
        <v>202</v>
      </c>
      <c r="C14" s="30" t="s">
        <v>395</v>
      </c>
      <c r="D14" s="31">
        <v>121003.0</v>
      </c>
      <c r="E14" s="32" t="s">
        <v>273</v>
      </c>
      <c r="F14" s="30" t="s">
        <v>264</v>
      </c>
      <c r="G14" s="30" t="s">
        <v>375</v>
      </c>
      <c r="H14" s="33">
        <v>89.6</v>
      </c>
    </row>
    <row r="15">
      <c r="A15" s="29" t="s">
        <v>396</v>
      </c>
      <c r="B15" s="30" t="s">
        <v>201</v>
      </c>
      <c r="C15" s="30" t="s">
        <v>377</v>
      </c>
      <c r="D15" s="31">
        <v>121003.0</v>
      </c>
      <c r="E15" s="32" t="s">
        <v>274</v>
      </c>
      <c r="F15" s="30" t="s">
        <v>260</v>
      </c>
      <c r="G15" s="30" t="s">
        <v>375</v>
      </c>
      <c r="H15" s="33">
        <v>90.2</v>
      </c>
    </row>
    <row r="16">
      <c r="A16" s="29" t="s">
        <v>397</v>
      </c>
      <c r="B16" s="30" t="s">
        <v>204</v>
      </c>
      <c r="C16" s="30" t="s">
        <v>382</v>
      </c>
      <c r="D16" s="31">
        <v>121003.0</v>
      </c>
      <c r="E16" s="32" t="s">
        <v>275</v>
      </c>
      <c r="F16" s="30" t="s">
        <v>260</v>
      </c>
      <c r="G16" s="30" t="s">
        <v>375</v>
      </c>
      <c r="H16" s="33">
        <v>45.4</v>
      </c>
    </row>
    <row r="17">
      <c r="A17" s="29" t="s">
        <v>398</v>
      </c>
      <c r="B17" s="30" t="s">
        <v>196</v>
      </c>
      <c r="C17" s="30" t="s">
        <v>399</v>
      </c>
      <c r="D17" s="31">
        <v>121003.0</v>
      </c>
      <c r="E17" s="32" t="s">
        <v>276</v>
      </c>
      <c r="F17" s="30" t="s">
        <v>260</v>
      </c>
      <c r="G17" s="30" t="s">
        <v>375</v>
      </c>
      <c r="H17" s="33">
        <v>135.0</v>
      </c>
    </row>
    <row r="18">
      <c r="A18" s="29" t="s">
        <v>400</v>
      </c>
      <c r="B18" s="30" t="s">
        <v>195</v>
      </c>
      <c r="C18" s="30" t="s">
        <v>388</v>
      </c>
      <c r="D18" s="31">
        <v>121003.0</v>
      </c>
      <c r="E18" s="32" t="s">
        <v>268</v>
      </c>
      <c r="F18" s="30" t="s">
        <v>264</v>
      </c>
      <c r="G18" s="30" t="s">
        <v>375</v>
      </c>
      <c r="H18" s="33">
        <v>33.0</v>
      </c>
    </row>
    <row r="19">
      <c r="A19" s="29" t="s">
        <v>401</v>
      </c>
      <c r="B19" s="30" t="s">
        <v>194</v>
      </c>
      <c r="C19" s="30" t="s">
        <v>391</v>
      </c>
      <c r="D19" s="31">
        <v>121003.0</v>
      </c>
      <c r="E19" s="32" t="s">
        <v>277</v>
      </c>
      <c r="F19" s="30" t="s">
        <v>260</v>
      </c>
      <c r="G19" s="30" t="s">
        <v>375</v>
      </c>
      <c r="H19" s="33">
        <v>90.2</v>
      </c>
    </row>
    <row r="20">
      <c r="A20" s="29" t="s">
        <v>402</v>
      </c>
      <c r="B20" s="30" t="s">
        <v>190</v>
      </c>
      <c r="C20" s="30" t="s">
        <v>403</v>
      </c>
      <c r="D20" s="31">
        <v>121003.0</v>
      </c>
      <c r="E20" s="32" t="s">
        <v>278</v>
      </c>
      <c r="F20" s="30" t="s">
        <v>279</v>
      </c>
      <c r="G20" s="30" t="s">
        <v>404</v>
      </c>
      <c r="H20" s="33">
        <v>107.3</v>
      </c>
    </row>
    <row r="21" ht="15.75" customHeight="1">
      <c r="A21" s="29" t="s">
        <v>405</v>
      </c>
      <c r="B21" s="30" t="s">
        <v>188</v>
      </c>
      <c r="C21" s="30" t="s">
        <v>391</v>
      </c>
      <c r="D21" s="31">
        <v>121003.0</v>
      </c>
      <c r="E21" s="32" t="s">
        <v>280</v>
      </c>
      <c r="F21" s="30" t="s">
        <v>264</v>
      </c>
      <c r="G21" s="30" t="s">
        <v>375</v>
      </c>
      <c r="H21" s="33">
        <v>61.3</v>
      </c>
    </row>
    <row r="22" ht="15.75" customHeight="1">
      <c r="A22" s="29" t="s">
        <v>406</v>
      </c>
      <c r="B22" s="30" t="s">
        <v>187</v>
      </c>
      <c r="C22" s="30" t="s">
        <v>407</v>
      </c>
      <c r="D22" s="31">
        <v>121003.0</v>
      </c>
      <c r="E22" s="32" t="s">
        <v>281</v>
      </c>
      <c r="F22" s="30" t="s">
        <v>260</v>
      </c>
      <c r="G22" s="30" t="s">
        <v>375</v>
      </c>
      <c r="H22" s="33">
        <v>90.2</v>
      </c>
    </row>
    <row r="23" ht="15.75" customHeight="1">
      <c r="A23" s="29" t="s">
        <v>408</v>
      </c>
      <c r="B23" s="30" t="s">
        <v>182</v>
      </c>
      <c r="C23" s="30" t="s">
        <v>409</v>
      </c>
      <c r="D23" s="31">
        <v>121003.0</v>
      </c>
      <c r="E23" s="32" t="s">
        <v>282</v>
      </c>
      <c r="F23" s="30" t="s">
        <v>264</v>
      </c>
      <c r="G23" s="30" t="s">
        <v>375</v>
      </c>
      <c r="H23" s="33">
        <v>89.6</v>
      </c>
    </row>
    <row r="24" ht="15.75" customHeight="1">
      <c r="A24" s="29" t="s">
        <v>410</v>
      </c>
      <c r="B24" s="30" t="s">
        <v>198</v>
      </c>
      <c r="C24" s="30" t="s">
        <v>411</v>
      </c>
      <c r="D24" s="31">
        <v>121003.0</v>
      </c>
      <c r="E24" s="32" t="s">
        <v>283</v>
      </c>
      <c r="F24" s="30" t="s">
        <v>260</v>
      </c>
      <c r="G24" s="30" t="s">
        <v>404</v>
      </c>
      <c r="H24" s="33">
        <v>172.8</v>
      </c>
    </row>
    <row r="25" ht="15.75" customHeight="1">
      <c r="A25" s="29" t="s">
        <v>412</v>
      </c>
      <c r="B25" s="30" t="s">
        <v>134</v>
      </c>
      <c r="C25" s="30" t="s">
        <v>413</v>
      </c>
      <c r="D25" s="31">
        <v>121003.0</v>
      </c>
      <c r="E25" s="32" t="s">
        <v>284</v>
      </c>
      <c r="F25" s="30" t="s">
        <v>264</v>
      </c>
      <c r="G25" s="30" t="s">
        <v>404</v>
      </c>
      <c r="H25" s="33">
        <v>102.3</v>
      </c>
    </row>
    <row r="26" ht="15.75" customHeight="1">
      <c r="A26" s="29" t="s">
        <v>414</v>
      </c>
      <c r="B26" s="30" t="s">
        <v>125</v>
      </c>
      <c r="C26" s="30" t="s">
        <v>415</v>
      </c>
      <c r="D26" s="31">
        <v>121003.0</v>
      </c>
      <c r="E26" s="32" t="s">
        <v>285</v>
      </c>
      <c r="F26" s="30" t="s">
        <v>260</v>
      </c>
      <c r="G26" s="30" t="s">
        <v>404</v>
      </c>
      <c r="H26" s="33">
        <v>172.8</v>
      </c>
    </row>
    <row r="27" ht="15.75" customHeight="1">
      <c r="A27" s="29" t="s">
        <v>416</v>
      </c>
      <c r="B27" s="30" t="s">
        <v>115</v>
      </c>
      <c r="C27" s="30" t="s">
        <v>411</v>
      </c>
      <c r="D27" s="31">
        <v>121003.0</v>
      </c>
      <c r="E27" s="32" t="s">
        <v>286</v>
      </c>
      <c r="F27" s="30" t="s">
        <v>260</v>
      </c>
      <c r="G27" s="30" t="s">
        <v>404</v>
      </c>
      <c r="H27" s="33">
        <v>172.8</v>
      </c>
    </row>
    <row r="28" ht="15.75" customHeight="1">
      <c r="A28" s="29" t="s">
        <v>417</v>
      </c>
      <c r="B28" s="30" t="s">
        <v>113</v>
      </c>
      <c r="C28" s="30" t="s">
        <v>418</v>
      </c>
      <c r="D28" s="31">
        <v>121003.0</v>
      </c>
      <c r="E28" s="32" t="s">
        <v>287</v>
      </c>
      <c r="F28" s="30" t="s">
        <v>279</v>
      </c>
      <c r="G28" s="30" t="s">
        <v>404</v>
      </c>
      <c r="H28" s="33">
        <v>213.5</v>
      </c>
    </row>
    <row r="29" ht="15.75" customHeight="1">
      <c r="A29" s="29" t="s">
        <v>419</v>
      </c>
      <c r="B29" s="30" t="s">
        <v>97</v>
      </c>
      <c r="C29" s="30" t="s">
        <v>409</v>
      </c>
      <c r="D29" s="31">
        <v>121003.0</v>
      </c>
      <c r="E29" s="32" t="s">
        <v>288</v>
      </c>
      <c r="F29" s="30" t="s">
        <v>260</v>
      </c>
      <c r="G29" s="30" t="s">
        <v>404</v>
      </c>
      <c r="H29" s="33">
        <v>258.9</v>
      </c>
    </row>
    <row r="30" ht="15.75" customHeight="1">
      <c r="A30" s="29" t="s">
        <v>420</v>
      </c>
      <c r="B30" s="30" t="s">
        <v>118</v>
      </c>
      <c r="C30" s="30" t="s">
        <v>374</v>
      </c>
      <c r="D30" s="31">
        <v>121003.0</v>
      </c>
      <c r="E30" s="32" t="s">
        <v>289</v>
      </c>
      <c r="F30" s="30" t="s">
        <v>264</v>
      </c>
      <c r="G30" s="30" t="s">
        <v>404</v>
      </c>
      <c r="H30" s="33">
        <v>151.1</v>
      </c>
    </row>
    <row r="31" ht="15.75" customHeight="1">
      <c r="A31" s="29" t="s">
        <v>421</v>
      </c>
      <c r="B31" s="30" t="s">
        <v>80</v>
      </c>
      <c r="C31" s="30" t="s">
        <v>411</v>
      </c>
      <c r="D31" s="31">
        <v>121003.0</v>
      </c>
      <c r="E31" s="32" t="s">
        <v>290</v>
      </c>
      <c r="F31" s="30" t="s">
        <v>260</v>
      </c>
      <c r="G31" s="30" t="s">
        <v>404</v>
      </c>
      <c r="H31" s="33">
        <v>172.8</v>
      </c>
    </row>
    <row r="32" ht="15.75" customHeight="1">
      <c r="A32" s="29" t="s">
        <v>422</v>
      </c>
      <c r="B32" s="30" t="s">
        <v>74</v>
      </c>
      <c r="C32" s="30" t="s">
        <v>423</v>
      </c>
      <c r="D32" s="31">
        <v>121003.0</v>
      </c>
      <c r="E32" s="32" t="s">
        <v>291</v>
      </c>
      <c r="F32" s="30" t="s">
        <v>260</v>
      </c>
      <c r="G32" s="30" t="s">
        <v>404</v>
      </c>
      <c r="H32" s="33">
        <v>345.0</v>
      </c>
    </row>
    <row r="33" ht="15.75" customHeight="1">
      <c r="A33" s="29" t="s">
        <v>424</v>
      </c>
      <c r="B33" s="30" t="s">
        <v>153</v>
      </c>
      <c r="C33" s="30" t="s">
        <v>425</v>
      </c>
      <c r="D33" s="31">
        <v>121003.0</v>
      </c>
      <c r="E33" s="32" t="s">
        <v>292</v>
      </c>
      <c r="F33" s="30" t="s">
        <v>260</v>
      </c>
      <c r="G33" s="30" t="s">
        <v>404</v>
      </c>
      <c r="H33" s="33">
        <v>258.9</v>
      </c>
    </row>
    <row r="34" ht="15.75" customHeight="1">
      <c r="A34" s="29" t="s">
        <v>426</v>
      </c>
      <c r="B34" s="30" t="s">
        <v>164</v>
      </c>
      <c r="C34" s="30" t="s">
        <v>413</v>
      </c>
      <c r="D34" s="31">
        <v>121003.0</v>
      </c>
      <c r="E34" s="32" t="s">
        <v>293</v>
      </c>
      <c r="F34" s="30" t="s">
        <v>260</v>
      </c>
      <c r="G34" s="30" t="s">
        <v>404</v>
      </c>
      <c r="H34" s="33">
        <v>172.8</v>
      </c>
    </row>
    <row r="35" ht="15.75" customHeight="1">
      <c r="A35" s="29" t="s">
        <v>427</v>
      </c>
      <c r="B35" s="30" t="s">
        <v>257</v>
      </c>
      <c r="C35" s="30" t="s">
        <v>428</v>
      </c>
      <c r="D35" s="31">
        <v>121003.0</v>
      </c>
      <c r="E35" s="32" t="s">
        <v>294</v>
      </c>
      <c r="F35" s="30" t="s">
        <v>264</v>
      </c>
      <c r="G35" s="30" t="s">
        <v>375</v>
      </c>
      <c r="H35" s="33">
        <v>174.5</v>
      </c>
    </row>
    <row r="36" ht="15.75" customHeight="1">
      <c r="A36" s="29" t="s">
        <v>429</v>
      </c>
      <c r="B36" s="30" t="s">
        <v>256</v>
      </c>
      <c r="C36" s="30" t="s">
        <v>430</v>
      </c>
      <c r="D36" s="31">
        <v>121003.0</v>
      </c>
      <c r="E36" s="32" t="s">
        <v>295</v>
      </c>
      <c r="F36" s="30" t="s">
        <v>260</v>
      </c>
      <c r="G36" s="30" t="s">
        <v>375</v>
      </c>
      <c r="H36" s="33">
        <v>90.2</v>
      </c>
    </row>
    <row r="37" ht="15.75" customHeight="1">
      <c r="A37" s="29" t="s">
        <v>431</v>
      </c>
      <c r="B37" s="30" t="s">
        <v>255</v>
      </c>
      <c r="C37" s="30" t="s">
        <v>432</v>
      </c>
      <c r="D37" s="31">
        <v>121003.0</v>
      </c>
      <c r="E37" s="32" t="s">
        <v>296</v>
      </c>
      <c r="F37" s="30" t="s">
        <v>260</v>
      </c>
      <c r="G37" s="30" t="s">
        <v>375</v>
      </c>
      <c r="H37" s="33">
        <v>90.2</v>
      </c>
    </row>
    <row r="38" ht="15.75" customHeight="1">
      <c r="A38" s="29" t="s">
        <v>433</v>
      </c>
      <c r="B38" s="30" t="s">
        <v>252</v>
      </c>
      <c r="C38" s="30" t="s">
        <v>434</v>
      </c>
      <c r="D38" s="31">
        <v>121003.0</v>
      </c>
      <c r="E38" s="32" t="s">
        <v>297</v>
      </c>
      <c r="F38" s="30" t="s">
        <v>264</v>
      </c>
      <c r="G38" s="30" t="s">
        <v>375</v>
      </c>
      <c r="H38" s="33">
        <v>61.3</v>
      </c>
    </row>
    <row r="39" ht="15.75" customHeight="1">
      <c r="A39" s="29" t="s">
        <v>435</v>
      </c>
      <c r="B39" s="30" t="s">
        <v>251</v>
      </c>
      <c r="C39" s="30" t="s">
        <v>436</v>
      </c>
      <c r="D39" s="31">
        <v>121003.0</v>
      </c>
      <c r="E39" s="32" t="s">
        <v>298</v>
      </c>
      <c r="F39" s="30" t="s">
        <v>260</v>
      </c>
      <c r="G39" s="30" t="s">
        <v>375</v>
      </c>
      <c r="H39" s="33">
        <v>135.0</v>
      </c>
    </row>
    <row r="40" ht="15.75" customHeight="1">
      <c r="A40" s="29" t="s">
        <v>437</v>
      </c>
      <c r="B40" s="30" t="s">
        <v>248</v>
      </c>
      <c r="C40" s="30" t="s">
        <v>411</v>
      </c>
      <c r="D40" s="31">
        <v>121003.0</v>
      </c>
      <c r="E40" s="32" t="s">
        <v>299</v>
      </c>
      <c r="F40" s="30" t="s">
        <v>260</v>
      </c>
      <c r="G40" s="30" t="s">
        <v>375</v>
      </c>
      <c r="H40" s="33">
        <v>90.2</v>
      </c>
    </row>
    <row r="41" ht="15.75" customHeight="1">
      <c r="A41" s="29" t="s">
        <v>438</v>
      </c>
      <c r="B41" s="30" t="s">
        <v>245</v>
      </c>
      <c r="C41" s="30" t="s">
        <v>439</v>
      </c>
      <c r="D41" s="31">
        <v>121003.0</v>
      </c>
      <c r="E41" s="32" t="s">
        <v>300</v>
      </c>
      <c r="F41" s="30" t="s">
        <v>260</v>
      </c>
      <c r="G41" s="30" t="s">
        <v>375</v>
      </c>
      <c r="H41" s="33">
        <v>90.2</v>
      </c>
    </row>
    <row r="42" ht="15.75" customHeight="1">
      <c r="A42" s="29" t="s">
        <v>440</v>
      </c>
      <c r="B42" s="30" t="s">
        <v>242</v>
      </c>
      <c r="C42" s="30" t="s">
        <v>430</v>
      </c>
      <c r="D42" s="31">
        <v>121003.0</v>
      </c>
      <c r="E42" s="32" t="s">
        <v>301</v>
      </c>
      <c r="F42" s="30" t="s">
        <v>260</v>
      </c>
      <c r="G42" s="30" t="s">
        <v>375</v>
      </c>
      <c r="H42" s="33">
        <v>90.2</v>
      </c>
    </row>
    <row r="43" ht="15.75" customHeight="1">
      <c r="A43" s="29" t="s">
        <v>441</v>
      </c>
      <c r="B43" s="30" t="s">
        <v>241</v>
      </c>
      <c r="C43" s="30" t="s">
        <v>377</v>
      </c>
      <c r="D43" s="31">
        <v>121003.0</v>
      </c>
      <c r="E43" s="32" t="s">
        <v>302</v>
      </c>
      <c r="F43" s="30" t="s">
        <v>264</v>
      </c>
      <c r="G43" s="30" t="s">
        <v>375</v>
      </c>
      <c r="H43" s="33">
        <v>61.3</v>
      </c>
    </row>
    <row r="44" ht="15.75" customHeight="1">
      <c r="A44" s="29" t="s">
        <v>442</v>
      </c>
      <c r="B44" s="30" t="s">
        <v>238</v>
      </c>
      <c r="C44" s="30" t="s">
        <v>443</v>
      </c>
      <c r="D44" s="31">
        <v>121003.0</v>
      </c>
      <c r="E44" s="32" t="s">
        <v>303</v>
      </c>
      <c r="F44" s="30" t="s">
        <v>260</v>
      </c>
      <c r="G44" s="30" t="s">
        <v>375</v>
      </c>
      <c r="H44" s="33">
        <v>135.0</v>
      </c>
    </row>
    <row r="45" ht="15.75" customHeight="1">
      <c r="A45" s="29" t="s">
        <v>444</v>
      </c>
      <c r="B45" s="30" t="s">
        <v>237</v>
      </c>
      <c r="C45" s="30" t="s">
        <v>430</v>
      </c>
      <c r="D45" s="31">
        <v>121003.0</v>
      </c>
      <c r="E45" s="32" t="s">
        <v>304</v>
      </c>
      <c r="F45" s="30" t="s">
        <v>264</v>
      </c>
      <c r="G45" s="30" t="s">
        <v>375</v>
      </c>
      <c r="H45" s="33">
        <v>61.3</v>
      </c>
    </row>
    <row r="46" ht="15.75" customHeight="1">
      <c r="A46" s="29" t="s">
        <v>445</v>
      </c>
      <c r="B46" s="30" t="s">
        <v>235</v>
      </c>
      <c r="C46" s="30" t="s">
        <v>395</v>
      </c>
      <c r="D46" s="31">
        <v>121003.0</v>
      </c>
      <c r="E46" s="32" t="s">
        <v>305</v>
      </c>
      <c r="F46" s="30" t="s">
        <v>264</v>
      </c>
      <c r="G46" s="30" t="s">
        <v>375</v>
      </c>
      <c r="H46" s="33">
        <v>89.6</v>
      </c>
    </row>
    <row r="47" ht="15.75" customHeight="1">
      <c r="A47" s="29" t="s">
        <v>446</v>
      </c>
      <c r="B47" s="30" t="s">
        <v>234</v>
      </c>
      <c r="C47" s="30" t="s">
        <v>439</v>
      </c>
      <c r="D47" s="31">
        <v>121003.0</v>
      </c>
      <c r="E47" s="32" t="s">
        <v>306</v>
      </c>
      <c r="F47" s="30" t="s">
        <v>260</v>
      </c>
      <c r="G47" s="30" t="s">
        <v>375</v>
      </c>
      <c r="H47" s="33">
        <v>90.2</v>
      </c>
    </row>
    <row r="48" ht="15.75" customHeight="1">
      <c r="A48" s="29" t="s">
        <v>447</v>
      </c>
      <c r="B48" s="30" t="s">
        <v>231</v>
      </c>
      <c r="C48" s="30" t="s">
        <v>425</v>
      </c>
      <c r="D48" s="31">
        <v>121003.0</v>
      </c>
      <c r="E48" s="32" t="s">
        <v>307</v>
      </c>
      <c r="F48" s="30" t="s">
        <v>260</v>
      </c>
      <c r="G48" s="30" t="s">
        <v>375</v>
      </c>
      <c r="H48" s="33">
        <v>135.0</v>
      </c>
    </row>
    <row r="49" ht="15.75" customHeight="1">
      <c r="A49" s="29" t="s">
        <v>448</v>
      </c>
      <c r="B49" s="30" t="s">
        <v>230</v>
      </c>
      <c r="C49" s="30" t="s">
        <v>439</v>
      </c>
      <c r="D49" s="31">
        <v>121003.0</v>
      </c>
      <c r="E49" s="32" t="s">
        <v>308</v>
      </c>
      <c r="F49" s="30" t="s">
        <v>260</v>
      </c>
      <c r="G49" s="30" t="s">
        <v>375</v>
      </c>
      <c r="H49" s="33">
        <v>90.2</v>
      </c>
    </row>
    <row r="50" ht="15.75" customHeight="1">
      <c r="A50" s="29" t="s">
        <v>449</v>
      </c>
      <c r="B50" s="30" t="s">
        <v>232</v>
      </c>
      <c r="C50" s="30" t="s">
        <v>430</v>
      </c>
      <c r="D50" s="31">
        <v>121003.0</v>
      </c>
      <c r="E50" s="32" t="s">
        <v>309</v>
      </c>
      <c r="F50" s="30" t="s">
        <v>260</v>
      </c>
      <c r="G50" s="30" t="s">
        <v>375</v>
      </c>
      <c r="H50" s="33">
        <v>90.2</v>
      </c>
    </row>
    <row r="51" ht="15.75" customHeight="1">
      <c r="A51" s="29" t="s">
        <v>450</v>
      </c>
      <c r="B51" s="30" t="s">
        <v>228</v>
      </c>
      <c r="C51" s="30" t="s">
        <v>451</v>
      </c>
      <c r="D51" s="31">
        <v>121003.0</v>
      </c>
      <c r="E51" s="32" t="s">
        <v>310</v>
      </c>
      <c r="F51" s="30" t="s">
        <v>264</v>
      </c>
      <c r="G51" s="30" t="s">
        <v>375</v>
      </c>
      <c r="H51" s="33">
        <v>174.5</v>
      </c>
    </row>
    <row r="52" ht="15.75" customHeight="1">
      <c r="A52" s="29" t="s">
        <v>452</v>
      </c>
      <c r="B52" s="30" t="s">
        <v>227</v>
      </c>
      <c r="C52" s="30" t="s">
        <v>453</v>
      </c>
      <c r="D52" s="31">
        <v>121003.0</v>
      </c>
      <c r="E52" s="32" t="s">
        <v>304</v>
      </c>
      <c r="F52" s="30" t="s">
        <v>264</v>
      </c>
      <c r="G52" s="30" t="s">
        <v>375</v>
      </c>
      <c r="H52" s="33">
        <v>89.6</v>
      </c>
    </row>
    <row r="53" ht="15.75" customHeight="1">
      <c r="A53" s="29" t="s">
        <v>454</v>
      </c>
      <c r="B53" s="30" t="s">
        <v>222</v>
      </c>
      <c r="C53" s="30" t="s">
        <v>430</v>
      </c>
      <c r="D53" s="31">
        <v>121003.0</v>
      </c>
      <c r="E53" s="32" t="s">
        <v>311</v>
      </c>
      <c r="F53" s="30" t="s">
        <v>260</v>
      </c>
      <c r="G53" s="30" t="s">
        <v>375</v>
      </c>
      <c r="H53" s="33">
        <v>90.2</v>
      </c>
    </row>
    <row r="54" ht="15.75" customHeight="1">
      <c r="A54" s="29" t="s">
        <v>455</v>
      </c>
      <c r="B54" s="30" t="s">
        <v>220</v>
      </c>
      <c r="C54" s="30" t="s">
        <v>456</v>
      </c>
      <c r="D54" s="31">
        <v>121003.0</v>
      </c>
      <c r="E54" s="32" t="s">
        <v>312</v>
      </c>
      <c r="F54" s="30" t="s">
        <v>260</v>
      </c>
      <c r="G54" s="30" t="s">
        <v>375</v>
      </c>
      <c r="H54" s="33">
        <v>179.8</v>
      </c>
    </row>
    <row r="55" ht="15.75" customHeight="1">
      <c r="A55" s="29" t="s">
        <v>457</v>
      </c>
      <c r="B55" s="30" t="s">
        <v>218</v>
      </c>
      <c r="C55" s="30" t="s">
        <v>458</v>
      </c>
      <c r="D55" s="31">
        <v>121003.0</v>
      </c>
      <c r="E55" s="32" t="s">
        <v>313</v>
      </c>
      <c r="F55" s="30" t="s">
        <v>260</v>
      </c>
      <c r="G55" s="30" t="s">
        <v>375</v>
      </c>
      <c r="H55" s="33">
        <v>90.2</v>
      </c>
    </row>
    <row r="56" ht="15.75" customHeight="1">
      <c r="A56" s="29" t="s">
        <v>459</v>
      </c>
      <c r="B56" s="30" t="s">
        <v>210</v>
      </c>
      <c r="C56" s="30" t="s">
        <v>460</v>
      </c>
      <c r="D56" s="31">
        <v>121003.0</v>
      </c>
      <c r="E56" s="32" t="s">
        <v>314</v>
      </c>
      <c r="F56" s="30" t="s">
        <v>260</v>
      </c>
      <c r="G56" s="30" t="s">
        <v>375</v>
      </c>
      <c r="H56" s="33">
        <v>179.8</v>
      </c>
    </row>
    <row r="57" ht="15.75" customHeight="1">
      <c r="A57" s="29" t="s">
        <v>461</v>
      </c>
      <c r="B57" s="30" t="s">
        <v>209</v>
      </c>
      <c r="C57" s="30" t="s">
        <v>377</v>
      </c>
      <c r="D57" s="31">
        <v>121003.0</v>
      </c>
      <c r="E57" s="32" t="s">
        <v>315</v>
      </c>
      <c r="F57" s="30" t="s">
        <v>264</v>
      </c>
      <c r="G57" s="30" t="s">
        <v>375</v>
      </c>
      <c r="H57" s="33">
        <v>61.3</v>
      </c>
    </row>
    <row r="58" ht="15.75" customHeight="1">
      <c r="A58" s="29" t="s">
        <v>462</v>
      </c>
      <c r="B58" s="30" t="s">
        <v>170</v>
      </c>
      <c r="C58" s="30" t="s">
        <v>463</v>
      </c>
      <c r="D58" s="31">
        <v>121003.0</v>
      </c>
      <c r="E58" s="32" t="s">
        <v>316</v>
      </c>
      <c r="F58" s="30" t="s">
        <v>264</v>
      </c>
      <c r="G58" s="30" t="s">
        <v>375</v>
      </c>
      <c r="H58" s="33">
        <v>89.6</v>
      </c>
    </row>
    <row r="59" ht="15.75" customHeight="1">
      <c r="A59" s="29" t="s">
        <v>464</v>
      </c>
      <c r="B59" s="30" t="s">
        <v>167</v>
      </c>
      <c r="C59" s="30" t="s">
        <v>463</v>
      </c>
      <c r="D59" s="31">
        <v>121003.0</v>
      </c>
      <c r="E59" s="32" t="s">
        <v>317</v>
      </c>
      <c r="F59" s="30" t="s">
        <v>260</v>
      </c>
      <c r="G59" s="30" t="s">
        <v>375</v>
      </c>
      <c r="H59" s="33">
        <v>135.0</v>
      </c>
    </row>
    <row r="60" ht="15.75" customHeight="1">
      <c r="A60" s="29" t="s">
        <v>465</v>
      </c>
      <c r="B60" s="30" t="s">
        <v>165</v>
      </c>
      <c r="C60" s="30" t="s">
        <v>466</v>
      </c>
      <c r="D60" s="31">
        <v>121003.0</v>
      </c>
      <c r="E60" s="32" t="s">
        <v>318</v>
      </c>
      <c r="F60" s="30" t="s">
        <v>260</v>
      </c>
      <c r="G60" s="30" t="s">
        <v>375</v>
      </c>
      <c r="H60" s="33">
        <v>269.4</v>
      </c>
    </row>
    <row r="61" ht="15.75" customHeight="1">
      <c r="A61" s="29" t="s">
        <v>467</v>
      </c>
      <c r="B61" s="30" t="s">
        <v>243</v>
      </c>
      <c r="C61" s="30" t="s">
        <v>468</v>
      </c>
      <c r="D61" s="31">
        <v>121003.0</v>
      </c>
      <c r="E61" s="32" t="s">
        <v>319</v>
      </c>
      <c r="F61" s="30" t="s">
        <v>260</v>
      </c>
      <c r="G61" s="30" t="s">
        <v>375</v>
      </c>
      <c r="H61" s="33">
        <v>179.8</v>
      </c>
    </row>
    <row r="62" ht="15.75" customHeight="1">
      <c r="A62" s="29" t="s">
        <v>469</v>
      </c>
      <c r="B62" s="30" t="s">
        <v>216</v>
      </c>
      <c r="C62" s="30" t="s">
        <v>391</v>
      </c>
      <c r="D62" s="31">
        <v>121003.0</v>
      </c>
      <c r="E62" s="32" t="s">
        <v>320</v>
      </c>
      <c r="F62" s="30" t="s">
        <v>260</v>
      </c>
      <c r="G62" s="30" t="s">
        <v>375</v>
      </c>
      <c r="H62" s="33">
        <v>90.2</v>
      </c>
    </row>
    <row r="63" ht="15.75" customHeight="1">
      <c r="A63" s="29" t="s">
        <v>470</v>
      </c>
      <c r="B63" s="30" t="s">
        <v>197</v>
      </c>
      <c r="C63" s="30" t="s">
        <v>388</v>
      </c>
      <c r="D63" s="31">
        <v>121003.0</v>
      </c>
      <c r="E63" s="32" t="s">
        <v>321</v>
      </c>
      <c r="F63" s="30" t="s">
        <v>260</v>
      </c>
      <c r="G63" s="30" t="s">
        <v>375</v>
      </c>
      <c r="H63" s="33">
        <v>45.4</v>
      </c>
    </row>
    <row r="64" ht="15.75" customHeight="1">
      <c r="A64" s="29" t="s">
        <v>471</v>
      </c>
      <c r="B64" s="30" t="s">
        <v>193</v>
      </c>
      <c r="C64" s="30" t="s">
        <v>472</v>
      </c>
      <c r="D64" s="31">
        <v>121003.0</v>
      </c>
      <c r="E64" s="32" t="s">
        <v>322</v>
      </c>
      <c r="F64" s="30" t="s">
        <v>260</v>
      </c>
      <c r="G64" s="30" t="s">
        <v>375</v>
      </c>
      <c r="H64" s="33">
        <v>90.2</v>
      </c>
    </row>
    <row r="65" ht="15.75" customHeight="1">
      <c r="A65" s="29" t="s">
        <v>473</v>
      </c>
      <c r="B65" s="30" t="s">
        <v>177</v>
      </c>
      <c r="C65" s="30" t="s">
        <v>418</v>
      </c>
      <c r="D65" s="31">
        <v>121003.0</v>
      </c>
      <c r="E65" s="32" t="s">
        <v>323</v>
      </c>
      <c r="F65" s="30" t="s">
        <v>260</v>
      </c>
      <c r="G65" s="30" t="s">
        <v>375</v>
      </c>
      <c r="H65" s="33">
        <v>90.2</v>
      </c>
    </row>
    <row r="66" ht="15.75" customHeight="1">
      <c r="A66" s="29" t="s">
        <v>474</v>
      </c>
      <c r="B66" s="30" t="s">
        <v>162</v>
      </c>
      <c r="C66" s="30" t="s">
        <v>475</v>
      </c>
      <c r="D66" s="31">
        <v>121003.0</v>
      </c>
      <c r="E66" s="32" t="s">
        <v>324</v>
      </c>
      <c r="F66" s="30" t="s">
        <v>260</v>
      </c>
      <c r="G66" s="30" t="s">
        <v>375</v>
      </c>
      <c r="H66" s="33">
        <v>90.2</v>
      </c>
    </row>
    <row r="67" ht="15.75" customHeight="1">
      <c r="A67" s="29" t="s">
        <v>476</v>
      </c>
      <c r="B67" s="30" t="s">
        <v>154</v>
      </c>
      <c r="C67" s="30" t="s">
        <v>475</v>
      </c>
      <c r="D67" s="31">
        <v>121003.0</v>
      </c>
      <c r="E67" s="32" t="s">
        <v>325</v>
      </c>
      <c r="F67" s="30" t="s">
        <v>260</v>
      </c>
      <c r="G67" s="30" t="s">
        <v>375</v>
      </c>
      <c r="H67" s="33">
        <v>90.2</v>
      </c>
    </row>
    <row r="68" ht="15.75" customHeight="1">
      <c r="A68" s="29" t="s">
        <v>477</v>
      </c>
      <c r="B68" s="30" t="s">
        <v>151</v>
      </c>
      <c r="C68" s="30" t="s">
        <v>413</v>
      </c>
      <c r="D68" s="31">
        <v>121003.0</v>
      </c>
      <c r="E68" s="32" t="s">
        <v>326</v>
      </c>
      <c r="F68" s="30" t="s">
        <v>260</v>
      </c>
      <c r="G68" s="30" t="s">
        <v>375</v>
      </c>
      <c r="H68" s="33">
        <v>90.2</v>
      </c>
    </row>
    <row r="69" ht="15.75" customHeight="1">
      <c r="A69" s="29" t="s">
        <v>478</v>
      </c>
      <c r="B69" s="30" t="s">
        <v>143</v>
      </c>
      <c r="C69" s="30" t="s">
        <v>479</v>
      </c>
      <c r="D69" s="31">
        <v>121003.0</v>
      </c>
      <c r="E69" s="32" t="s">
        <v>327</v>
      </c>
      <c r="F69" s="30" t="s">
        <v>260</v>
      </c>
      <c r="G69" s="30" t="s">
        <v>375</v>
      </c>
      <c r="H69" s="33">
        <v>90.2</v>
      </c>
    </row>
    <row r="70" ht="15.75" customHeight="1">
      <c r="A70" s="29" t="s">
        <v>480</v>
      </c>
      <c r="B70" s="30" t="s">
        <v>142</v>
      </c>
      <c r="C70" s="30" t="s">
        <v>418</v>
      </c>
      <c r="D70" s="31">
        <v>121003.0</v>
      </c>
      <c r="E70" s="32" t="s">
        <v>328</v>
      </c>
      <c r="F70" s="30" t="s">
        <v>260</v>
      </c>
      <c r="G70" s="30" t="s">
        <v>375</v>
      </c>
      <c r="H70" s="33">
        <v>90.2</v>
      </c>
    </row>
    <row r="71" ht="15.75" customHeight="1">
      <c r="A71" s="29" t="s">
        <v>481</v>
      </c>
      <c r="B71" s="30" t="s">
        <v>138</v>
      </c>
      <c r="C71" s="30" t="s">
        <v>388</v>
      </c>
      <c r="D71" s="31">
        <v>121003.0</v>
      </c>
      <c r="E71" s="32" t="s">
        <v>329</v>
      </c>
      <c r="F71" s="30" t="s">
        <v>260</v>
      </c>
      <c r="G71" s="30" t="s">
        <v>404</v>
      </c>
      <c r="H71" s="33">
        <v>86.7</v>
      </c>
    </row>
    <row r="72" ht="15.75" customHeight="1">
      <c r="A72" s="29" t="s">
        <v>482</v>
      </c>
      <c r="B72" s="30" t="s">
        <v>132</v>
      </c>
      <c r="C72" s="30" t="s">
        <v>483</v>
      </c>
      <c r="D72" s="31">
        <v>121003.0</v>
      </c>
      <c r="E72" s="32" t="s">
        <v>330</v>
      </c>
      <c r="F72" s="30" t="s">
        <v>260</v>
      </c>
      <c r="G72" s="30" t="s">
        <v>375</v>
      </c>
      <c r="H72" s="33">
        <v>269.4</v>
      </c>
    </row>
    <row r="73" ht="15.75" customHeight="1">
      <c r="A73" s="29" t="s">
        <v>484</v>
      </c>
      <c r="B73" s="30" t="s">
        <v>130</v>
      </c>
      <c r="C73" s="30" t="s">
        <v>377</v>
      </c>
      <c r="D73" s="31">
        <v>121003.0</v>
      </c>
      <c r="E73" s="32" t="s">
        <v>331</v>
      </c>
      <c r="F73" s="30" t="s">
        <v>260</v>
      </c>
      <c r="G73" s="30" t="s">
        <v>375</v>
      </c>
      <c r="H73" s="33">
        <v>90.2</v>
      </c>
    </row>
    <row r="74" ht="15.75" customHeight="1">
      <c r="A74" s="29" t="s">
        <v>485</v>
      </c>
      <c r="B74" s="30" t="s">
        <v>135</v>
      </c>
      <c r="C74" s="30" t="s">
        <v>486</v>
      </c>
      <c r="D74" s="31">
        <v>121003.0</v>
      </c>
      <c r="E74" s="32" t="s">
        <v>328</v>
      </c>
      <c r="F74" s="30" t="s">
        <v>260</v>
      </c>
      <c r="G74" s="30" t="s">
        <v>375</v>
      </c>
      <c r="H74" s="33">
        <v>90.2</v>
      </c>
    </row>
    <row r="75" ht="15.75" customHeight="1">
      <c r="A75" s="29" t="s">
        <v>487</v>
      </c>
      <c r="B75" s="30" t="s">
        <v>129</v>
      </c>
      <c r="C75" s="30" t="s">
        <v>382</v>
      </c>
      <c r="D75" s="31">
        <v>121003.0</v>
      </c>
      <c r="E75" s="32" t="s">
        <v>332</v>
      </c>
      <c r="F75" s="30" t="s">
        <v>260</v>
      </c>
      <c r="G75" s="30" t="s">
        <v>404</v>
      </c>
      <c r="H75" s="33">
        <v>86.7</v>
      </c>
    </row>
    <row r="76" ht="15.75" customHeight="1">
      <c r="A76" s="29" t="s">
        <v>488</v>
      </c>
      <c r="B76" s="30" t="s">
        <v>128</v>
      </c>
      <c r="C76" s="30" t="s">
        <v>403</v>
      </c>
      <c r="D76" s="31">
        <v>121003.0</v>
      </c>
      <c r="E76" s="32" t="s">
        <v>333</v>
      </c>
      <c r="F76" s="30" t="s">
        <v>260</v>
      </c>
      <c r="G76" s="30" t="s">
        <v>375</v>
      </c>
      <c r="H76" s="33">
        <v>45.4</v>
      </c>
    </row>
    <row r="77" ht="15.75" customHeight="1">
      <c r="A77" s="29" t="s">
        <v>489</v>
      </c>
      <c r="B77" s="30" t="s">
        <v>126</v>
      </c>
      <c r="C77" s="30" t="s">
        <v>411</v>
      </c>
      <c r="D77" s="31">
        <v>121003.0</v>
      </c>
      <c r="E77" s="32" t="s">
        <v>333</v>
      </c>
      <c r="F77" s="30" t="s">
        <v>260</v>
      </c>
      <c r="G77" s="30" t="s">
        <v>375</v>
      </c>
      <c r="H77" s="33">
        <v>90.2</v>
      </c>
    </row>
    <row r="78" ht="15.75" customHeight="1">
      <c r="A78" s="29" t="s">
        <v>490</v>
      </c>
      <c r="B78" s="30" t="s">
        <v>124</v>
      </c>
      <c r="C78" s="30" t="s">
        <v>388</v>
      </c>
      <c r="D78" s="31">
        <v>121003.0</v>
      </c>
      <c r="E78" s="32" t="s">
        <v>334</v>
      </c>
      <c r="F78" s="30" t="s">
        <v>260</v>
      </c>
      <c r="G78" s="30" t="s">
        <v>375</v>
      </c>
      <c r="H78" s="33">
        <v>45.4</v>
      </c>
    </row>
    <row r="79" ht="15.75" customHeight="1">
      <c r="A79" s="29" t="s">
        <v>491</v>
      </c>
      <c r="B79" s="30" t="s">
        <v>100</v>
      </c>
      <c r="C79" s="30" t="s">
        <v>492</v>
      </c>
      <c r="D79" s="31">
        <v>121003.0</v>
      </c>
      <c r="E79" s="32" t="s">
        <v>331</v>
      </c>
      <c r="F79" s="30" t="s">
        <v>260</v>
      </c>
      <c r="G79" s="30" t="s">
        <v>375</v>
      </c>
      <c r="H79" s="33">
        <v>224.6</v>
      </c>
    </row>
    <row r="80" ht="15.75" customHeight="1">
      <c r="A80" s="29" t="s">
        <v>493</v>
      </c>
      <c r="B80" s="30" t="s">
        <v>95</v>
      </c>
      <c r="C80" s="30" t="s">
        <v>403</v>
      </c>
      <c r="D80" s="31">
        <v>121003.0</v>
      </c>
      <c r="E80" s="32" t="s">
        <v>331</v>
      </c>
      <c r="F80" s="30" t="s">
        <v>260</v>
      </c>
      <c r="G80" s="30" t="s">
        <v>375</v>
      </c>
      <c r="H80" s="33">
        <v>45.4</v>
      </c>
    </row>
    <row r="81" ht="15.75" customHeight="1">
      <c r="A81" s="29" t="s">
        <v>494</v>
      </c>
      <c r="B81" s="30" t="s">
        <v>92</v>
      </c>
      <c r="C81" s="30" t="s">
        <v>403</v>
      </c>
      <c r="D81" s="31">
        <v>121003.0</v>
      </c>
      <c r="E81" s="32" t="s">
        <v>335</v>
      </c>
      <c r="F81" s="30" t="s">
        <v>260</v>
      </c>
      <c r="G81" s="30" t="s">
        <v>375</v>
      </c>
      <c r="H81" s="33">
        <v>45.4</v>
      </c>
    </row>
    <row r="82" ht="15.75" customHeight="1">
      <c r="A82" s="29" t="s">
        <v>495</v>
      </c>
      <c r="B82" s="30" t="s">
        <v>91</v>
      </c>
      <c r="C82" s="30" t="s">
        <v>382</v>
      </c>
      <c r="D82" s="31">
        <v>121003.0</v>
      </c>
      <c r="E82" s="32" t="s">
        <v>336</v>
      </c>
      <c r="F82" s="30" t="s">
        <v>260</v>
      </c>
      <c r="G82" s="30" t="s">
        <v>375</v>
      </c>
      <c r="H82" s="33">
        <v>45.4</v>
      </c>
    </row>
    <row r="83" ht="15.75" customHeight="1">
      <c r="A83" s="29" t="s">
        <v>496</v>
      </c>
      <c r="B83" s="30" t="s">
        <v>89</v>
      </c>
      <c r="C83" s="30" t="s">
        <v>418</v>
      </c>
      <c r="D83" s="31">
        <v>121003.0</v>
      </c>
      <c r="E83" s="32" t="s">
        <v>337</v>
      </c>
      <c r="F83" s="30" t="s">
        <v>260</v>
      </c>
      <c r="G83" s="30" t="s">
        <v>375</v>
      </c>
      <c r="H83" s="33">
        <v>90.2</v>
      </c>
    </row>
    <row r="84" ht="15.75" customHeight="1">
      <c r="A84" s="29" t="s">
        <v>497</v>
      </c>
      <c r="B84" s="30" t="s">
        <v>87</v>
      </c>
      <c r="C84" s="30" t="s">
        <v>403</v>
      </c>
      <c r="D84" s="31">
        <v>121003.0</v>
      </c>
      <c r="E84" s="32" t="s">
        <v>331</v>
      </c>
      <c r="F84" s="30" t="s">
        <v>260</v>
      </c>
      <c r="G84" s="30" t="s">
        <v>375</v>
      </c>
      <c r="H84" s="33">
        <v>45.4</v>
      </c>
    </row>
    <row r="85" ht="15.75" customHeight="1">
      <c r="A85" s="29" t="s">
        <v>498</v>
      </c>
      <c r="B85" s="30" t="s">
        <v>85</v>
      </c>
      <c r="C85" s="30" t="s">
        <v>388</v>
      </c>
      <c r="D85" s="31">
        <v>121003.0</v>
      </c>
      <c r="E85" s="32" t="s">
        <v>338</v>
      </c>
      <c r="F85" s="30" t="s">
        <v>260</v>
      </c>
      <c r="G85" s="30" t="s">
        <v>375</v>
      </c>
      <c r="H85" s="33">
        <v>45.4</v>
      </c>
    </row>
    <row r="86" ht="15.75" customHeight="1">
      <c r="A86" s="29" t="s">
        <v>499</v>
      </c>
      <c r="B86" s="30" t="s">
        <v>93</v>
      </c>
      <c r="C86" s="30" t="s">
        <v>413</v>
      </c>
      <c r="D86" s="31">
        <v>121003.0</v>
      </c>
      <c r="E86" s="32" t="s">
        <v>339</v>
      </c>
      <c r="F86" s="30" t="s">
        <v>260</v>
      </c>
      <c r="G86" s="30" t="s">
        <v>375</v>
      </c>
      <c r="H86" s="33">
        <v>90.2</v>
      </c>
    </row>
    <row r="87" ht="15.75" customHeight="1">
      <c r="A87" s="29" t="s">
        <v>500</v>
      </c>
      <c r="B87" s="30" t="s">
        <v>82</v>
      </c>
      <c r="C87" s="30" t="s">
        <v>501</v>
      </c>
      <c r="D87" s="31">
        <v>121003.0</v>
      </c>
      <c r="E87" s="32" t="s">
        <v>340</v>
      </c>
      <c r="F87" s="30" t="s">
        <v>260</v>
      </c>
      <c r="G87" s="30" t="s">
        <v>375</v>
      </c>
      <c r="H87" s="33">
        <v>135.0</v>
      </c>
    </row>
    <row r="88" ht="15.75" customHeight="1">
      <c r="A88" s="29" t="s">
        <v>502</v>
      </c>
      <c r="B88" s="30" t="s">
        <v>110</v>
      </c>
      <c r="C88" s="30" t="s">
        <v>382</v>
      </c>
      <c r="D88" s="31">
        <v>121003.0</v>
      </c>
      <c r="E88" s="32" t="s">
        <v>341</v>
      </c>
      <c r="F88" s="30" t="s">
        <v>260</v>
      </c>
      <c r="G88" s="30" t="s">
        <v>375</v>
      </c>
      <c r="H88" s="33">
        <v>45.4</v>
      </c>
    </row>
    <row r="89" ht="15.75" customHeight="1">
      <c r="A89" s="29" t="s">
        <v>503</v>
      </c>
      <c r="B89" s="30" t="s">
        <v>139</v>
      </c>
      <c r="C89" s="30" t="s">
        <v>418</v>
      </c>
      <c r="D89" s="31">
        <v>121003.0</v>
      </c>
      <c r="E89" s="32" t="s">
        <v>342</v>
      </c>
      <c r="F89" s="30" t="s">
        <v>264</v>
      </c>
      <c r="G89" s="30" t="s">
        <v>375</v>
      </c>
      <c r="H89" s="33">
        <v>61.3</v>
      </c>
    </row>
    <row r="90" ht="15.75" customHeight="1">
      <c r="A90" s="29" t="s">
        <v>504</v>
      </c>
      <c r="B90" s="30" t="s">
        <v>112</v>
      </c>
      <c r="C90" s="30" t="s">
        <v>505</v>
      </c>
      <c r="D90" s="31">
        <v>121003.0</v>
      </c>
      <c r="E90" s="32" t="s">
        <v>343</v>
      </c>
      <c r="F90" s="30" t="s">
        <v>264</v>
      </c>
      <c r="G90" s="30" t="s">
        <v>375</v>
      </c>
      <c r="H90" s="33">
        <v>33.0</v>
      </c>
    </row>
    <row r="91" ht="15.75" customHeight="1">
      <c r="A91" s="29" t="s">
        <v>506</v>
      </c>
      <c r="B91" s="30" t="s">
        <v>63</v>
      </c>
      <c r="C91" s="30" t="s">
        <v>423</v>
      </c>
      <c r="D91" s="31">
        <v>121003.0</v>
      </c>
      <c r="E91" s="32" t="s">
        <v>344</v>
      </c>
      <c r="F91" s="30" t="s">
        <v>264</v>
      </c>
      <c r="G91" s="30" t="s">
        <v>375</v>
      </c>
      <c r="H91" s="33">
        <v>117.9</v>
      </c>
    </row>
    <row r="92" ht="15.75" customHeight="1">
      <c r="A92" s="29" t="s">
        <v>507</v>
      </c>
      <c r="B92" s="30" t="s">
        <v>249</v>
      </c>
      <c r="C92" s="30" t="s">
        <v>432</v>
      </c>
      <c r="D92" s="31">
        <v>121003.0</v>
      </c>
      <c r="E92" s="32" t="s">
        <v>333</v>
      </c>
      <c r="F92" s="30" t="s">
        <v>260</v>
      </c>
      <c r="G92" s="30" t="s">
        <v>375</v>
      </c>
      <c r="H92" s="33">
        <v>90.2</v>
      </c>
    </row>
    <row r="93" ht="15.75" customHeight="1">
      <c r="A93" s="29" t="s">
        <v>508</v>
      </c>
      <c r="B93" s="30" t="s">
        <v>229</v>
      </c>
      <c r="C93" s="30" t="s">
        <v>509</v>
      </c>
      <c r="D93" s="31">
        <v>121003.0</v>
      </c>
      <c r="E93" s="32" t="s">
        <v>345</v>
      </c>
      <c r="F93" s="30" t="s">
        <v>260</v>
      </c>
      <c r="G93" s="30" t="s">
        <v>375</v>
      </c>
      <c r="H93" s="33">
        <v>135.0</v>
      </c>
    </row>
    <row r="94" ht="15.75" customHeight="1">
      <c r="A94" s="29" t="s">
        <v>510</v>
      </c>
      <c r="B94" s="30" t="s">
        <v>226</v>
      </c>
      <c r="C94" s="30" t="s">
        <v>479</v>
      </c>
      <c r="D94" s="31">
        <v>121003.0</v>
      </c>
      <c r="E94" s="32" t="s">
        <v>346</v>
      </c>
      <c r="F94" s="30" t="s">
        <v>260</v>
      </c>
      <c r="G94" s="30" t="s">
        <v>375</v>
      </c>
      <c r="H94" s="33">
        <v>90.2</v>
      </c>
    </row>
    <row r="95" ht="15.75" customHeight="1">
      <c r="A95" s="29" t="s">
        <v>511</v>
      </c>
      <c r="B95" s="30" t="s">
        <v>225</v>
      </c>
      <c r="C95" s="30" t="s">
        <v>439</v>
      </c>
      <c r="D95" s="31">
        <v>121003.0</v>
      </c>
      <c r="E95" s="32" t="s">
        <v>347</v>
      </c>
      <c r="F95" s="30" t="s">
        <v>260</v>
      </c>
      <c r="G95" s="30" t="s">
        <v>375</v>
      </c>
      <c r="H95" s="33">
        <v>90.2</v>
      </c>
    </row>
    <row r="96" ht="15.75" customHeight="1">
      <c r="A96" s="29" t="s">
        <v>512</v>
      </c>
      <c r="B96" s="30" t="s">
        <v>223</v>
      </c>
      <c r="C96" s="30" t="s">
        <v>430</v>
      </c>
      <c r="D96" s="31">
        <v>121003.0</v>
      </c>
      <c r="E96" s="32" t="s">
        <v>348</v>
      </c>
      <c r="F96" s="30" t="s">
        <v>260</v>
      </c>
      <c r="G96" s="30" t="s">
        <v>375</v>
      </c>
      <c r="H96" s="33">
        <v>90.2</v>
      </c>
    </row>
    <row r="97" ht="15.75" customHeight="1">
      <c r="A97" s="29" t="s">
        <v>513</v>
      </c>
      <c r="B97" s="30" t="s">
        <v>213</v>
      </c>
      <c r="C97" s="30" t="s">
        <v>514</v>
      </c>
      <c r="D97" s="31">
        <v>121003.0</v>
      </c>
      <c r="E97" s="32" t="s">
        <v>349</v>
      </c>
      <c r="F97" s="30" t="s">
        <v>260</v>
      </c>
      <c r="G97" s="30" t="s">
        <v>375</v>
      </c>
      <c r="H97" s="33">
        <v>224.6</v>
      </c>
    </row>
    <row r="98" ht="15.75" customHeight="1">
      <c r="A98" s="29" t="s">
        <v>515</v>
      </c>
      <c r="B98" s="30" t="s">
        <v>207</v>
      </c>
      <c r="C98" s="30" t="s">
        <v>430</v>
      </c>
      <c r="D98" s="31">
        <v>121003.0</v>
      </c>
      <c r="E98" s="32" t="s">
        <v>350</v>
      </c>
      <c r="F98" s="30" t="s">
        <v>260</v>
      </c>
      <c r="G98" s="30" t="s">
        <v>375</v>
      </c>
      <c r="H98" s="33">
        <v>90.2</v>
      </c>
    </row>
    <row r="99" ht="15.75" customHeight="1">
      <c r="A99" s="29" t="s">
        <v>516</v>
      </c>
      <c r="B99" s="30" t="s">
        <v>205</v>
      </c>
      <c r="C99" s="30" t="s">
        <v>517</v>
      </c>
      <c r="D99" s="31">
        <v>121003.0</v>
      </c>
      <c r="E99" s="32" t="s">
        <v>351</v>
      </c>
      <c r="F99" s="30" t="s">
        <v>260</v>
      </c>
      <c r="G99" s="30" t="s">
        <v>375</v>
      </c>
      <c r="H99" s="33">
        <v>90.2</v>
      </c>
    </row>
    <row r="100" ht="15.75" customHeight="1">
      <c r="A100" s="29" t="s">
        <v>518</v>
      </c>
      <c r="B100" s="30" t="s">
        <v>200</v>
      </c>
      <c r="C100" s="30" t="s">
        <v>519</v>
      </c>
      <c r="D100" s="31">
        <v>121003.0</v>
      </c>
      <c r="E100" s="32" t="s">
        <v>352</v>
      </c>
      <c r="F100" s="30" t="s">
        <v>260</v>
      </c>
      <c r="G100" s="30" t="s">
        <v>375</v>
      </c>
      <c r="H100" s="33">
        <v>403.8</v>
      </c>
    </row>
    <row r="101" ht="15.75" customHeight="1">
      <c r="A101" s="29" t="s">
        <v>520</v>
      </c>
      <c r="B101" s="30" t="s">
        <v>212</v>
      </c>
      <c r="C101" s="30" t="s">
        <v>521</v>
      </c>
      <c r="D101" s="31">
        <v>121003.0</v>
      </c>
      <c r="E101" s="32" t="s">
        <v>353</v>
      </c>
      <c r="F101" s="30" t="s">
        <v>260</v>
      </c>
      <c r="G101" s="30" t="s">
        <v>375</v>
      </c>
      <c r="H101" s="33">
        <v>90.2</v>
      </c>
    </row>
    <row r="102" ht="15.75" customHeight="1">
      <c r="A102" s="29" t="s">
        <v>522</v>
      </c>
      <c r="B102" s="30" t="s">
        <v>208</v>
      </c>
      <c r="C102" s="30" t="s">
        <v>523</v>
      </c>
      <c r="D102" s="31">
        <v>121003.0</v>
      </c>
      <c r="E102" s="32" t="s">
        <v>354</v>
      </c>
      <c r="F102" s="30" t="s">
        <v>260</v>
      </c>
      <c r="G102" s="30" t="s">
        <v>375</v>
      </c>
      <c r="H102" s="33">
        <v>135.0</v>
      </c>
    </row>
    <row r="103" ht="15.75" customHeight="1">
      <c r="A103" s="29" t="s">
        <v>524</v>
      </c>
      <c r="B103" s="30" t="s">
        <v>189</v>
      </c>
      <c r="C103" s="30" t="s">
        <v>411</v>
      </c>
      <c r="D103" s="31">
        <v>121003.0</v>
      </c>
      <c r="E103" s="32" t="s">
        <v>323</v>
      </c>
      <c r="F103" s="30" t="s">
        <v>260</v>
      </c>
      <c r="G103" s="30" t="s">
        <v>375</v>
      </c>
      <c r="H103" s="33">
        <v>90.2</v>
      </c>
    </row>
    <row r="104" ht="15.75" customHeight="1">
      <c r="A104" s="29" t="s">
        <v>525</v>
      </c>
      <c r="B104" s="30" t="s">
        <v>186</v>
      </c>
      <c r="C104" s="30" t="s">
        <v>393</v>
      </c>
      <c r="D104" s="31">
        <v>121003.0</v>
      </c>
      <c r="E104" s="32" t="s">
        <v>355</v>
      </c>
      <c r="F104" s="30" t="s">
        <v>264</v>
      </c>
      <c r="G104" s="30" t="s">
        <v>375</v>
      </c>
      <c r="H104" s="33">
        <v>61.3</v>
      </c>
    </row>
    <row r="105" ht="15.75" customHeight="1">
      <c r="A105" s="29" t="s">
        <v>526</v>
      </c>
      <c r="B105" s="30" t="s">
        <v>181</v>
      </c>
      <c r="C105" s="30" t="s">
        <v>393</v>
      </c>
      <c r="D105" s="31">
        <v>121003.0</v>
      </c>
      <c r="E105" s="32" t="s">
        <v>356</v>
      </c>
      <c r="F105" s="30" t="s">
        <v>260</v>
      </c>
      <c r="G105" s="30" t="s">
        <v>375</v>
      </c>
      <c r="H105" s="33">
        <v>90.2</v>
      </c>
    </row>
    <row r="106" ht="15.75" customHeight="1">
      <c r="A106" s="29" t="s">
        <v>527</v>
      </c>
      <c r="B106" s="30" t="s">
        <v>180</v>
      </c>
      <c r="C106" s="30" t="s">
        <v>528</v>
      </c>
      <c r="D106" s="31">
        <v>121003.0</v>
      </c>
      <c r="E106" s="32" t="s">
        <v>357</v>
      </c>
      <c r="F106" s="30" t="s">
        <v>260</v>
      </c>
      <c r="G106" s="30" t="s">
        <v>375</v>
      </c>
      <c r="H106" s="33">
        <v>179.8</v>
      </c>
    </row>
    <row r="107" ht="15.75" customHeight="1">
      <c r="A107" s="29" t="s">
        <v>529</v>
      </c>
      <c r="B107" s="30" t="s">
        <v>176</v>
      </c>
      <c r="C107" s="30" t="s">
        <v>530</v>
      </c>
      <c r="D107" s="31">
        <v>121003.0</v>
      </c>
      <c r="E107" s="32" t="s">
        <v>358</v>
      </c>
      <c r="F107" s="30" t="s">
        <v>260</v>
      </c>
      <c r="G107" s="30" t="s">
        <v>375</v>
      </c>
      <c r="H107" s="33">
        <v>224.6</v>
      </c>
    </row>
    <row r="108" ht="15.75" customHeight="1">
      <c r="A108" s="29" t="s">
        <v>531</v>
      </c>
      <c r="B108" s="30" t="s">
        <v>175</v>
      </c>
      <c r="C108" s="30" t="s">
        <v>458</v>
      </c>
      <c r="D108" s="31">
        <v>121003.0</v>
      </c>
      <c r="E108" s="32" t="s">
        <v>322</v>
      </c>
      <c r="F108" s="30" t="s">
        <v>260</v>
      </c>
      <c r="G108" s="30" t="s">
        <v>375</v>
      </c>
      <c r="H108" s="33">
        <v>90.2</v>
      </c>
    </row>
    <row r="109" ht="15.75" customHeight="1">
      <c r="A109" s="29" t="s">
        <v>532</v>
      </c>
      <c r="B109" s="30" t="s">
        <v>174</v>
      </c>
      <c r="C109" s="30" t="s">
        <v>393</v>
      </c>
      <c r="D109" s="31">
        <v>121003.0</v>
      </c>
      <c r="E109" s="32" t="s">
        <v>359</v>
      </c>
      <c r="F109" s="30" t="s">
        <v>260</v>
      </c>
      <c r="G109" s="30" t="s">
        <v>375</v>
      </c>
      <c r="H109" s="33">
        <v>90.2</v>
      </c>
    </row>
    <row r="110" ht="15.75" customHeight="1">
      <c r="A110" s="29" t="s">
        <v>533</v>
      </c>
      <c r="B110" s="30" t="s">
        <v>173</v>
      </c>
      <c r="C110" s="30" t="s">
        <v>393</v>
      </c>
      <c r="D110" s="31">
        <v>121003.0</v>
      </c>
      <c r="E110" s="32" t="s">
        <v>360</v>
      </c>
      <c r="F110" s="30" t="s">
        <v>260</v>
      </c>
      <c r="G110" s="30" t="s">
        <v>375</v>
      </c>
      <c r="H110" s="33">
        <v>90.2</v>
      </c>
    </row>
    <row r="111" ht="15.75" customHeight="1">
      <c r="A111" s="29" t="s">
        <v>534</v>
      </c>
      <c r="B111" s="30" t="s">
        <v>172</v>
      </c>
      <c r="C111" s="30" t="s">
        <v>430</v>
      </c>
      <c r="D111" s="31">
        <v>121003.0</v>
      </c>
      <c r="E111" s="32" t="s">
        <v>361</v>
      </c>
      <c r="F111" s="30" t="s">
        <v>260</v>
      </c>
      <c r="G111" s="30" t="s">
        <v>375</v>
      </c>
      <c r="H111" s="33">
        <v>90.2</v>
      </c>
    </row>
    <row r="112" ht="15.75" customHeight="1">
      <c r="A112" s="29" t="s">
        <v>535</v>
      </c>
      <c r="B112" s="30" t="s">
        <v>163</v>
      </c>
      <c r="C112" s="30" t="s">
        <v>536</v>
      </c>
      <c r="D112" s="31">
        <v>121003.0</v>
      </c>
      <c r="E112" s="32" t="s">
        <v>362</v>
      </c>
      <c r="F112" s="30" t="s">
        <v>260</v>
      </c>
      <c r="G112" s="30" t="s">
        <v>375</v>
      </c>
      <c r="H112" s="33">
        <v>90.2</v>
      </c>
    </row>
    <row r="113" ht="15.75" customHeight="1">
      <c r="A113" s="29" t="s">
        <v>537</v>
      </c>
      <c r="B113" s="30" t="s">
        <v>161</v>
      </c>
      <c r="C113" s="30" t="s">
        <v>538</v>
      </c>
      <c r="D113" s="31">
        <v>121003.0</v>
      </c>
      <c r="E113" s="32" t="s">
        <v>363</v>
      </c>
      <c r="F113" s="30" t="s">
        <v>260</v>
      </c>
      <c r="G113" s="30" t="s">
        <v>375</v>
      </c>
      <c r="H113" s="33">
        <v>90.2</v>
      </c>
    </row>
    <row r="114" ht="15.75" customHeight="1">
      <c r="A114" s="29" t="s">
        <v>539</v>
      </c>
      <c r="B114" s="30" t="s">
        <v>160</v>
      </c>
      <c r="C114" s="30" t="s">
        <v>430</v>
      </c>
      <c r="D114" s="31">
        <v>121003.0</v>
      </c>
      <c r="E114" s="32" t="s">
        <v>364</v>
      </c>
      <c r="F114" s="30" t="s">
        <v>260</v>
      </c>
      <c r="G114" s="30" t="s">
        <v>375</v>
      </c>
      <c r="H114" s="33">
        <v>90.2</v>
      </c>
    </row>
    <row r="115" ht="15.75" customHeight="1">
      <c r="A115" s="29" t="s">
        <v>540</v>
      </c>
      <c r="B115" s="30" t="s">
        <v>158</v>
      </c>
      <c r="C115" s="30" t="s">
        <v>541</v>
      </c>
      <c r="D115" s="31">
        <v>121003.0</v>
      </c>
      <c r="E115" s="32" t="s">
        <v>333</v>
      </c>
      <c r="F115" s="30" t="s">
        <v>260</v>
      </c>
      <c r="G115" s="30" t="s">
        <v>375</v>
      </c>
      <c r="H115" s="33">
        <v>179.8</v>
      </c>
    </row>
    <row r="116" ht="15.75" customHeight="1">
      <c r="A116" s="29" t="s">
        <v>542</v>
      </c>
      <c r="B116" s="30" t="s">
        <v>157</v>
      </c>
      <c r="C116" s="30" t="s">
        <v>543</v>
      </c>
      <c r="D116" s="31">
        <v>121003.0</v>
      </c>
      <c r="E116" s="32" t="s">
        <v>365</v>
      </c>
      <c r="F116" s="30" t="s">
        <v>260</v>
      </c>
      <c r="G116" s="30" t="s">
        <v>375</v>
      </c>
      <c r="H116" s="33">
        <v>224.6</v>
      </c>
    </row>
    <row r="117" ht="15.75" customHeight="1">
      <c r="A117" s="29" t="s">
        <v>544</v>
      </c>
      <c r="B117" s="30" t="s">
        <v>156</v>
      </c>
      <c r="C117" s="30" t="s">
        <v>430</v>
      </c>
      <c r="D117" s="31">
        <v>121003.0</v>
      </c>
      <c r="E117" s="32" t="s">
        <v>366</v>
      </c>
      <c r="F117" s="30" t="s">
        <v>260</v>
      </c>
      <c r="G117" s="30" t="s">
        <v>375</v>
      </c>
      <c r="H117" s="33">
        <v>90.2</v>
      </c>
    </row>
    <row r="118" ht="15.75" customHeight="1">
      <c r="A118" s="29" t="s">
        <v>545</v>
      </c>
      <c r="B118" s="30" t="s">
        <v>155</v>
      </c>
      <c r="C118" s="30" t="s">
        <v>393</v>
      </c>
      <c r="D118" s="31">
        <v>121003.0</v>
      </c>
      <c r="E118" s="32" t="s">
        <v>364</v>
      </c>
      <c r="F118" s="30" t="s">
        <v>260</v>
      </c>
      <c r="G118" s="30" t="s">
        <v>375</v>
      </c>
      <c r="H118" s="33">
        <v>90.2</v>
      </c>
    </row>
    <row r="119" ht="15.75" customHeight="1">
      <c r="A119" s="29" t="s">
        <v>546</v>
      </c>
      <c r="B119" s="30" t="s">
        <v>146</v>
      </c>
      <c r="C119" s="30" t="s">
        <v>501</v>
      </c>
      <c r="D119" s="31">
        <v>121003.0</v>
      </c>
      <c r="E119" s="32" t="s">
        <v>333</v>
      </c>
      <c r="F119" s="30" t="s">
        <v>260</v>
      </c>
      <c r="G119" s="30" t="s">
        <v>375</v>
      </c>
      <c r="H119" s="33">
        <v>135.0</v>
      </c>
    </row>
    <row r="120" ht="15.75" customHeight="1">
      <c r="A120" s="29" t="s">
        <v>547</v>
      </c>
      <c r="B120" s="30" t="s">
        <v>137</v>
      </c>
      <c r="C120" s="30" t="s">
        <v>458</v>
      </c>
      <c r="D120" s="31">
        <v>121003.0</v>
      </c>
      <c r="E120" s="32" t="s">
        <v>359</v>
      </c>
      <c r="F120" s="30" t="s">
        <v>260</v>
      </c>
      <c r="G120" s="30" t="s">
        <v>375</v>
      </c>
      <c r="H120" s="33">
        <v>90.2</v>
      </c>
    </row>
    <row r="121" ht="15.75" customHeight="1">
      <c r="A121" s="29" t="s">
        <v>548</v>
      </c>
      <c r="B121" s="30" t="s">
        <v>131</v>
      </c>
      <c r="C121" s="30" t="s">
        <v>521</v>
      </c>
      <c r="D121" s="31">
        <v>121003.0</v>
      </c>
      <c r="E121" s="32" t="s">
        <v>367</v>
      </c>
      <c r="F121" s="30" t="s">
        <v>260</v>
      </c>
      <c r="G121" s="30" t="s">
        <v>375</v>
      </c>
      <c r="H121" s="33">
        <v>90.2</v>
      </c>
    </row>
    <row r="122" ht="15.75" customHeight="1">
      <c r="A122" s="29" t="s">
        <v>549</v>
      </c>
      <c r="B122" s="30" t="s">
        <v>171</v>
      </c>
      <c r="C122" s="30" t="s">
        <v>388</v>
      </c>
      <c r="D122" s="31">
        <v>121003.0</v>
      </c>
      <c r="E122" s="32" t="s">
        <v>368</v>
      </c>
      <c r="F122" s="30" t="s">
        <v>260</v>
      </c>
      <c r="G122" s="30" t="s">
        <v>404</v>
      </c>
      <c r="H122" s="33">
        <v>86.7</v>
      </c>
    </row>
    <row r="123" ht="15.75" customHeight="1">
      <c r="A123" s="29" t="s">
        <v>550</v>
      </c>
      <c r="B123" s="30" t="s">
        <v>107</v>
      </c>
      <c r="C123" s="30" t="s">
        <v>388</v>
      </c>
      <c r="D123" s="31">
        <v>121003.0</v>
      </c>
      <c r="E123" s="32" t="s">
        <v>369</v>
      </c>
      <c r="F123" s="30" t="s">
        <v>260</v>
      </c>
      <c r="G123" s="30" t="s">
        <v>375</v>
      </c>
      <c r="H123" s="33">
        <v>45.4</v>
      </c>
    </row>
    <row r="124" ht="15.75" customHeight="1">
      <c r="A124" s="29" t="s">
        <v>551</v>
      </c>
      <c r="B124" s="30" t="s">
        <v>140</v>
      </c>
      <c r="C124" s="30" t="s">
        <v>388</v>
      </c>
      <c r="D124" s="31">
        <v>121003.0</v>
      </c>
      <c r="E124" s="32" t="s">
        <v>342</v>
      </c>
      <c r="F124" s="30" t="s">
        <v>264</v>
      </c>
      <c r="G124" s="30" t="s">
        <v>375</v>
      </c>
      <c r="H124" s="33">
        <v>33.0</v>
      </c>
    </row>
    <row r="125" ht="15.75" customHeight="1">
      <c r="A125" s="29" t="s">
        <v>552</v>
      </c>
      <c r="B125" s="30" t="s">
        <v>149</v>
      </c>
      <c r="C125" s="30" t="s">
        <v>388</v>
      </c>
      <c r="D125" s="31">
        <v>121003.0</v>
      </c>
      <c r="E125" s="32" t="s">
        <v>366</v>
      </c>
      <c r="F125" s="30" t="s">
        <v>260</v>
      </c>
      <c r="G125" s="30" t="s">
        <v>375</v>
      </c>
      <c r="H125" s="33">
        <v>45.4</v>
      </c>
    </row>
    <row r="126" ht="15.75" customHeight="1">
      <c r="E126" s="17"/>
    </row>
    <row r="127" ht="15.75" customHeight="1">
      <c r="E127" s="17"/>
    </row>
    <row r="128" ht="15.75" customHeight="1">
      <c r="E128" s="17"/>
    </row>
    <row r="129" ht="15.75" customHeight="1">
      <c r="E129" s="17"/>
    </row>
    <row r="130" ht="15.75" customHeight="1">
      <c r="E130" s="17"/>
    </row>
    <row r="131" ht="15.75" customHeight="1">
      <c r="E131" s="17"/>
    </row>
    <row r="132" ht="15.75" customHeight="1">
      <c r="E132" s="17"/>
    </row>
    <row r="133" ht="15.75" customHeight="1">
      <c r="E133" s="17"/>
    </row>
    <row r="134" ht="15.75" customHeight="1">
      <c r="E134" s="17"/>
    </row>
    <row r="135" ht="15.75" customHeight="1">
      <c r="E135" s="17"/>
    </row>
    <row r="136" ht="15.75" customHeight="1">
      <c r="E136" s="17"/>
    </row>
    <row r="137" ht="15.75" customHeight="1">
      <c r="E137" s="17"/>
    </row>
    <row r="138" ht="15.75" customHeight="1">
      <c r="E138" s="17"/>
    </row>
    <row r="139" ht="15.75" customHeight="1">
      <c r="E139" s="17"/>
    </row>
    <row r="140" ht="15.75" customHeight="1">
      <c r="E140" s="17"/>
    </row>
    <row r="141" ht="15.75" customHeight="1">
      <c r="E141" s="17"/>
    </row>
    <row r="142" ht="15.75" customHeight="1">
      <c r="E142" s="17"/>
    </row>
    <row r="143" ht="15.75" customHeight="1">
      <c r="E143" s="17"/>
    </row>
    <row r="144" ht="15.75" customHeight="1">
      <c r="E144" s="17"/>
    </row>
    <row r="145" ht="15.75" customHeight="1">
      <c r="E145" s="17"/>
    </row>
    <row r="146" ht="15.75" customHeight="1">
      <c r="E146" s="17"/>
    </row>
    <row r="147" ht="15.75" customHeight="1">
      <c r="E147" s="17"/>
    </row>
    <row r="148" ht="15.75" customHeight="1">
      <c r="E148" s="17"/>
    </row>
    <row r="149" ht="15.75" customHeight="1">
      <c r="E149" s="17"/>
    </row>
    <row r="150" ht="15.75" customHeight="1">
      <c r="E150" s="17"/>
    </row>
    <row r="151" ht="15.75" customHeight="1">
      <c r="E151" s="17"/>
    </row>
    <row r="152" ht="15.75" customHeight="1">
      <c r="E152" s="17"/>
    </row>
    <row r="153" ht="15.75" customHeight="1">
      <c r="E153" s="17"/>
    </row>
    <row r="154" ht="15.75" customHeight="1">
      <c r="E154" s="17"/>
    </row>
    <row r="155" ht="15.75" customHeight="1">
      <c r="E155" s="17"/>
    </row>
    <row r="156" ht="15.75" customHeight="1">
      <c r="E156" s="17"/>
    </row>
    <row r="157" ht="15.75" customHeight="1">
      <c r="E157" s="17"/>
    </row>
    <row r="158" ht="15.75" customHeight="1">
      <c r="E158" s="17"/>
    </row>
    <row r="159" ht="15.75" customHeight="1">
      <c r="E159" s="17"/>
    </row>
    <row r="160" ht="15.75" customHeight="1">
      <c r="E160" s="17"/>
    </row>
    <row r="161" ht="15.75" customHeight="1">
      <c r="E161" s="17"/>
    </row>
    <row r="162" ht="15.75" customHeight="1">
      <c r="E162" s="17"/>
    </row>
    <row r="163" ht="15.75" customHeight="1">
      <c r="E163" s="17"/>
    </row>
    <row r="164" ht="15.75" customHeight="1">
      <c r="E164" s="17"/>
    </row>
    <row r="165" ht="15.75" customHeight="1">
      <c r="E165" s="17"/>
    </row>
    <row r="166" ht="15.75" customHeight="1">
      <c r="E166" s="17"/>
    </row>
    <row r="167" ht="15.75" customHeight="1">
      <c r="E167" s="17"/>
    </row>
    <row r="168" ht="15.75" customHeight="1">
      <c r="E168" s="17"/>
    </row>
    <row r="169" ht="15.75" customHeight="1">
      <c r="E169" s="17"/>
    </row>
    <row r="170" ht="15.75" customHeight="1">
      <c r="E170" s="17"/>
    </row>
    <row r="171" ht="15.75" customHeight="1">
      <c r="E171" s="17"/>
    </row>
    <row r="172" ht="15.75" customHeight="1">
      <c r="E172" s="17"/>
    </row>
    <row r="173" ht="15.75" customHeight="1">
      <c r="E173" s="17"/>
    </row>
    <row r="174" ht="15.75" customHeight="1">
      <c r="E174" s="17"/>
    </row>
    <row r="175" ht="15.75" customHeight="1">
      <c r="E175" s="17"/>
    </row>
    <row r="176" ht="15.75" customHeight="1">
      <c r="E176" s="17"/>
    </row>
    <row r="177" ht="15.75" customHeight="1">
      <c r="E177" s="17"/>
    </row>
    <row r="178" ht="15.75" customHeight="1">
      <c r="E178" s="17"/>
    </row>
    <row r="179" ht="15.75" customHeight="1">
      <c r="E179" s="17"/>
    </row>
    <row r="180" ht="15.75" customHeight="1">
      <c r="E180" s="17"/>
    </row>
    <row r="181" ht="15.75" customHeight="1">
      <c r="E181" s="17"/>
    </row>
    <row r="182" ht="15.75" customHeight="1">
      <c r="E182" s="17"/>
    </row>
    <row r="183" ht="15.75" customHeight="1">
      <c r="E183" s="17"/>
    </row>
    <row r="184" ht="15.75" customHeight="1">
      <c r="E184" s="17"/>
    </row>
    <row r="185" ht="15.75" customHeight="1">
      <c r="E185" s="17"/>
    </row>
    <row r="186" ht="15.75" customHeight="1">
      <c r="E186" s="17"/>
    </row>
    <row r="187" ht="15.75" customHeight="1">
      <c r="E187" s="17"/>
    </row>
    <row r="188" ht="15.75" customHeight="1">
      <c r="E188" s="17"/>
    </row>
    <row r="189" ht="15.75" customHeight="1">
      <c r="E189" s="17"/>
    </row>
    <row r="190" ht="15.75" customHeight="1">
      <c r="E190" s="17"/>
    </row>
    <row r="191" ht="15.75" customHeight="1">
      <c r="E191" s="17"/>
    </row>
    <row r="192" ht="15.75" customHeight="1">
      <c r="E192" s="17"/>
    </row>
    <row r="193" ht="15.75" customHeight="1">
      <c r="E193" s="17"/>
    </row>
    <row r="194" ht="15.75" customHeight="1">
      <c r="E194" s="17"/>
    </row>
    <row r="195" ht="15.75" customHeight="1">
      <c r="E195" s="17"/>
    </row>
    <row r="196" ht="15.75" customHeight="1">
      <c r="E196" s="17"/>
    </row>
    <row r="197" ht="15.75" customHeight="1">
      <c r="E197" s="17"/>
    </row>
    <row r="198" ht="15.75" customHeight="1">
      <c r="E198" s="17"/>
    </row>
    <row r="199" ht="15.75" customHeight="1">
      <c r="E199" s="17"/>
    </row>
    <row r="200" ht="15.75" customHeight="1">
      <c r="E200" s="17"/>
    </row>
    <row r="201" ht="15.75" customHeight="1">
      <c r="E201" s="17"/>
    </row>
    <row r="202" ht="15.75" customHeight="1">
      <c r="E202" s="17"/>
    </row>
    <row r="203" ht="15.75" customHeight="1">
      <c r="E203" s="17"/>
    </row>
    <row r="204" ht="15.75" customHeight="1">
      <c r="E204" s="17"/>
    </row>
    <row r="205" ht="15.75" customHeight="1">
      <c r="E205" s="17"/>
    </row>
    <row r="206" ht="15.75" customHeight="1">
      <c r="E206" s="17"/>
    </row>
    <row r="207" ht="15.75" customHeight="1">
      <c r="E207" s="17"/>
    </row>
    <row r="208" ht="15.75" customHeight="1">
      <c r="E208" s="17"/>
    </row>
    <row r="209" ht="15.75" customHeight="1">
      <c r="E209" s="17"/>
    </row>
    <row r="210" ht="15.75" customHeight="1">
      <c r="E210" s="17"/>
    </row>
    <row r="211" ht="15.75" customHeight="1">
      <c r="E211" s="17"/>
    </row>
    <row r="212" ht="15.75" customHeight="1">
      <c r="E212" s="17"/>
    </row>
    <row r="213" ht="15.75" customHeight="1">
      <c r="E213" s="17"/>
    </row>
    <row r="214" ht="15.75" customHeight="1">
      <c r="E214" s="17"/>
    </row>
    <row r="215" ht="15.75" customHeight="1">
      <c r="E215" s="17"/>
    </row>
    <row r="216" ht="15.75" customHeight="1">
      <c r="E216" s="17"/>
    </row>
    <row r="217" ht="15.75" customHeight="1">
      <c r="E217" s="17"/>
    </row>
    <row r="218" ht="15.75" customHeight="1">
      <c r="E218" s="17"/>
    </row>
    <row r="219" ht="15.75" customHeight="1">
      <c r="E219" s="17"/>
    </row>
    <row r="220" ht="15.75" customHeight="1">
      <c r="E220" s="17"/>
    </row>
    <row r="221" ht="15.75" customHeight="1">
      <c r="E221" s="17"/>
    </row>
    <row r="222" ht="15.75" customHeight="1">
      <c r="E222" s="17"/>
    </row>
    <row r="223" ht="15.75" customHeight="1">
      <c r="E223" s="17"/>
    </row>
    <row r="224" ht="15.75" customHeight="1">
      <c r="E224" s="17"/>
    </row>
    <row r="225" ht="15.75" customHeight="1">
      <c r="E225" s="17"/>
    </row>
    <row r="226" ht="15.75" customHeight="1">
      <c r="E226" s="17"/>
    </row>
    <row r="227" ht="15.75" customHeight="1">
      <c r="E227" s="17"/>
    </row>
    <row r="228" ht="15.75" customHeight="1">
      <c r="E228" s="17"/>
    </row>
    <row r="229" ht="15.75" customHeight="1">
      <c r="E229" s="17"/>
    </row>
    <row r="230" ht="15.75" customHeight="1">
      <c r="E230" s="17"/>
    </row>
    <row r="231" ht="15.75" customHeight="1">
      <c r="E231" s="17"/>
    </row>
    <row r="232" ht="15.75" customHeight="1">
      <c r="E232" s="17"/>
    </row>
    <row r="233" ht="15.75" customHeight="1">
      <c r="E233" s="17"/>
    </row>
    <row r="234" ht="15.75" customHeight="1">
      <c r="E234" s="17"/>
    </row>
    <row r="235" ht="15.75" customHeight="1">
      <c r="E235" s="17"/>
    </row>
    <row r="236" ht="15.75" customHeight="1">
      <c r="E236" s="17"/>
    </row>
    <row r="237" ht="15.75" customHeight="1">
      <c r="E237" s="17"/>
    </row>
    <row r="238" ht="15.75" customHeight="1">
      <c r="E238" s="17"/>
    </row>
    <row r="239" ht="15.75" customHeight="1">
      <c r="E239" s="17"/>
    </row>
    <row r="240" ht="15.75" customHeight="1">
      <c r="E240" s="17"/>
    </row>
    <row r="241" ht="15.75" customHeight="1">
      <c r="E241" s="17"/>
    </row>
    <row r="242" ht="15.75" customHeight="1">
      <c r="E242" s="17"/>
    </row>
    <row r="243" ht="15.75" customHeight="1">
      <c r="E243" s="17"/>
    </row>
    <row r="244" ht="15.75" customHeight="1">
      <c r="E244" s="17"/>
    </row>
    <row r="245" ht="15.75" customHeight="1">
      <c r="E245" s="17"/>
    </row>
    <row r="246" ht="15.75" customHeight="1">
      <c r="E246" s="17"/>
    </row>
    <row r="247" ht="15.75" customHeight="1">
      <c r="E247" s="17"/>
    </row>
    <row r="248" ht="15.75" customHeight="1">
      <c r="E248" s="17"/>
    </row>
    <row r="249" ht="15.75" customHeight="1">
      <c r="E249" s="17"/>
    </row>
    <row r="250" ht="15.75" customHeight="1">
      <c r="E250" s="17"/>
    </row>
    <row r="251" ht="15.75" customHeight="1">
      <c r="E251" s="17"/>
    </row>
    <row r="252" ht="15.75" customHeight="1">
      <c r="E252" s="17"/>
    </row>
    <row r="253" ht="15.75" customHeight="1">
      <c r="E253" s="17"/>
    </row>
    <row r="254" ht="15.75" customHeight="1">
      <c r="E254" s="17"/>
    </row>
    <row r="255" ht="15.75" customHeight="1">
      <c r="E255" s="17"/>
    </row>
    <row r="256" ht="15.75" customHeight="1">
      <c r="E256" s="17"/>
    </row>
    <row r="257" ht="15.75" customHeight="1">
      <c r="E257" s="17"/>
    </row>
    <row r="258" ht="15.75" customHeight="1">
      <c r="E258" s="17"/>
    </row>
    <row r="259" ht="15.75" customHeight="1">
      <c r="E259" s="17"/>
    </row>
    <row r="260" ht="15.75" customHeight="1">
      <c r="E260" s="17"/>
    </row>
    <row r="261" ht="15.75" customHeight="1">
      <c r="E261" s="17"/>
    </row>
    <row r="262" ht="15.75" customHeight="1">
      <c r="E262" s="17"/>
    </row>
    <row r="263" ht="15.75" customHeight="1">
      <c r="E263" s="17"/>
    </row>
    <row r="264" ht="15.75" customHeight="1">
      <c r="E264" s="17"/>
    </row>
    <row r="265" ht="15.75" customHeight="1">
      <c r="E265" s="17"/>
    </row>
    <row r="266" ht="15.75" customHeight="1">
      <c r="E266" s="17"/>
    </row>
    <row r="267" ht="15.75" customHeight="1">
      <c r="E267" s="17"/>
    </row>
    <row r="268" ht="15.75" customHeight="1">
      <c r="E268" s="17"/>
    </row>
    <row r="269" ht="15.75" customHeight="1">
      <c r="E269" s="17"/>
    </row>
    <row r="270" ht="15.75" customHeight="1">
      <c r="E270" s="17"/>
    </row>
    <row r="271" ht="15.75" customHeight="1">
      <c r="E271" s="17"/>
    </row>
    <row r="272" ht="15.75" customHeight="1">
      <c r="E272" s="17"/>
    </row>
    <row r="273" ht="15.75" customHeight="1">
      <c r="E273" s="17"/>
    </row>
    <row r="274" ht="15.75" customHeight="1">
      <c r="E274" s="17"/>
    </row>
    <row r="275" ht="15.75" customHeight="1">
      <c r="E275" s="17"/>
    </row>
    <row r="276" ht="15.75" customHeight="1">
      <c r="E276" s="17"/>
    </row>
    <row r="277" ht="15.75" customHeight="1">
      <c r="E277" s="17"/>
    </row>
    <row r="278" ht="15.75" customHeight="1">
      <c r="E278" s="17"/>
    </row>
    <row r="279" ht="15.75" customHeight="1">
      <c r="E279" s="17"/>
    </row>
    <row r="280" ht="15.75" customHeight="1">
      <c r="E280" s="17"/>
    </row>
    <row r="281" ht="15.75" customHeight="1">
      <c r="E281" s="17"/>
    </row>
    <row r="282" ht="15.75" customHeight="1">
      <c r="E282" s="17"/>
    </row>
    <row r="283" ht="15.75" customHeight="1">
      <c r="E283" s="17"/>
    </row>
    <row r="284" ht="15.75" customHeight="1">
      <c r="E284" s="17"/>
    </row>
    <row r="285" ht="15.75" customHeight="1">
      <c r="E285" s="17"/>
    </row>
    <row r="286" ht="15.75" customHeight="1">
      <c r="E286" s="17"/>
    </row>
    <row r="287" ht="15.75" customHeight="1">
      <c r="E287" s="17"/>
    </row>
    <row r="288" ht="15.75" customHeight="1">
      <c r="E288" s="17"/>
    </row>
    <row r="289" ht="15.75" customHeight="1">
      <c r="E289" s="17"/>
    </row>
    <row r="290" ht="15.75" customHeight="1">
      <c r="E290" s="17"/>
    </row>
    <row r="291" ht="15.75" customHeight="1">
      <c r="E291" s="17"/>
    </row>
    <row r="292" ht="15.75" customHeight="1">
      <c r="E292" s="17"/>
    </row>
    <row r="293" ht="15.75" customHeight="1">
      <c r="E293" s="17"/>
    </row>
    <row r="294" ht="15.75" customHeight="1">
      <c r="E294" s="17"/>
    </row>
    <row r="295" ht="15.75" customHeight="1">
      <c r="E295" s="17"/>
    </row>
    <row r="296" ht="15.75" customHeight="1">
      <c r="E296" s="17"/>
    </row>
    <row r="297" ht="15.75" customHeight="1">
      <c r="E297" s="17"/>
    </row>
    <row r="298" ht="15.75" customHeight="1">
      <c r="E298" s="17"/>
    </row>
    <row r="299" ht="15.75" customHeight="1">
      <c r="E299" s="17"/>
    </row>
    <row r="300" ht="15.75" customHeight="1">
      <c r="E300" s="17"/>
    </row>
    <row r="301" ht="15.75" customHeight="1">
      <c r="E301" s="17"/>
    </row>
    <row r="302" ht="15.75" customHeight="1">
      <c r="E302" s="17"/>
    </row>
    <row r="303" ht="15.75" customHeight="1">
      <c r="E303" s="17"/>
    </row>
    <row r="304" ht="15.75" customHeight="1">
      <c r="E304" s="17"/>
    </row>
    <row r="305" ht="15.75" customHeight="1">
      <c r="E305" s="17"/>
    </row>
    <row r="306" ht="15.75" customHeight="1">
      <c r="E306" s="17"/>
    </row>
    <row r="307" ht="15.75" customHeight="1">
      <c r="E307" s="17"/>
    </row>
    <row r="308" ht="15.75" customHeight="1">
      <c r="E308" s="17"/>
    </row>
    <row r="309" ht="15.75" customHeight="1">
      <c r="E309" s="17"/>
    </row>
    <row r="310" ht="15.75" customHeight="1">
      <c r="E310" s="17"/>
    </row>
    <row r="311" ht="15.75" customHeight="1">
      <c r="E311" s="17"/>
    </row>
    <row r="312" ht="15.75" customHeight="1">
      <c r="E312" s="17"/>
    </row>
    <row r="313" ht="15.75" customHeight="1">
      <c r="E313" s="17"/>
    </row>
    <row r="314" ht="15.75" customHeight="1">
      <c r="E314" s="17"/>
    </row>
    <row r="315" ht="15.75" customHeight="1">
      <c r="E315" s="17"/>
    </row>
    <row r="316" ht="15.75" customHeight="1">
      <c r="E316" s="17"/>
    </row>
    <row r="317" ht="15.75" customHeight="1">
      <c r="E317" s="17"/>
    </row>
    <row r="318" ht="15.75" customHeight="1">
      <c r="E318" s="17"/>
    </row>
    <row r="319" ht="15.75" customHeight="1">
      <c r="E319" s="17"/>
    </row>
    <row r="320" ht="15.75" customHeight="1">
      <c r="E320" s="17"/>
    </row>
    <row r="321" ht="15.75" customHeight="1">
      <c r="E321" s="17"/>
    </row>
    <row r="322" ht="15.75" customHeight="1">
      <c r="E322" s="17"/>
    </row>
    <row r="323" ht="15.75" customHeight="1">
      <c r="E323" s="17"/>
    </row>
    <row r="324" ht="15.75" customHeight="1">
      <c r="E324" s="17"/>
    </row>
    <row r="325" ht="15.75" customHeight="1">
      <c r="E325" s="17"/>
    </row>
    <row r="326" ht="15.75" customHeight="1">
      <c r="E326" s="17"/>
    </row>
    <row r="327" ht="15.75" customHeight="1">
      <c r="E327" s="17"/>
    </row>
    <row r="328" ht="15.75" customHeight="1">
      <c r="E328" s="17"/>
    </row>
    <row r="329" ht="15.75" customHeight="1">
      <c r="E329" s="17"/>
    </row>
    <row r="330" ht="15.75" customHeight="1">
      <c r="E330" s="17"/>
    </row>
    <row r="331" ht="15.75" customHeight="1">
      <c r="E331" s="17"/>
    </row>
    <row r="332" ht="15.75" customHeight="1">
      <c r="E332" s="17"/>
    </row>
    <row r="333" ht="15.75" customHeight="1">
      <c r="E333" s="17"/>
    </row>
    <row r="334" ht="15.75" customHeight="1">
      <c r="E334" s="17"/>
    </row>
    <row r="335" ht="15.75" customHeight="1">
      <c r="E335" s="17"/>
    </row>
    <row r="336" ht="15.75" customHeight="1">
      <c r="E336" s="17"/>
    </row>
    <row r="337" ht="15.75" customHeight="1">
      <c r="E337" s="17"/>
    </row>
    <row r="338" ht="15.75" customHeight="1">
      <c r="E338" s="17"/>
    </row>
    <row r="339" ht="15.75" customHeight="1">
      <c r="E339" s="17"/>
    </row>
    <row r="340" ht="15.75" customHeight="1">
      <c r="E340" s="17"/>
    </row>
    <row r="341" ht="15.75" customHeight="1">
      <c r="E341" s="17"/>
    </row>
    <row r="342" ht="15.75" customHeight="1">
      <c r="E342" s="17"/>
    </row>
    <row r="343" ht="15.75" customHeight="1">
      <c r="E343" s="17"/>
    </row>
    <row r="344" ht="15.75" customHeight="1">
      <c r="E344" s="17"/>
    </row>
    <row r="345" ht="15.75" customHeight="1">
      <c r="E345" s="17"/>
    </row>
    <row r="346" ht="15.75" customHeight="1">
      <c r="E346" s="17"/>
    </row>
    <row r="347" ht="15.75" customHeight="1">
      <c r="E347" s="17"/>
    </row>
    <row r="348" ht="15.75" customHeight="1">
      <c r="E348" s="17"/>
    </row>
    <row r="349" ht="15.75" customHeight="1">
      <c r="E349" s="17"/>
    </row>
    <row r="350" ht="15.75" customHeight="1">
      <c r="E350" s="17"/>
    </row>
    <row r="351" ht="15.75" customHeight="1">
      <c r="E351" s="17"/>
    </row>
    <row r="352" ht="15.75" customHeight="1">
      <c r="E352" s="17"/>
    </row>
    <row r="353" ht="15.75" customHeight="1">
      <c r="E353" s="17"/>
    </row>
    <row r="354" ht="15.75" customHeight="1">
      <c r="E354" s="17"/>
    </row>
    <row r="355" ht="15.75" customHeight="1">
      <c r="E355" s="17"/>
    </row>
    <row r="356" ht="15.75" customHeight="1">
      <c r="E356" s="17"/>
    </row>
    <row r="357" ht="15.75" customHeight="1">
      <c r="E357" s="17"/>
    </row>
    <row r="358" ht="15.75" customHeight="1">
      <c r="E358" s="17"/>
    </row>
    <row r="359" ht="15.75" customHeight="1">
      <c r="E359" s="17"/>
    </row>
    <row r="360" ht="15.75" customHeight="1">
      <c r="E360" s="17"/>
    </row>
    <row r="361" ht="15.75" customHeight="1">
      <c r="E361" s="17"/>
    </row>
    <row r="362" ht="15.75" customHeight="1">
      <c r="E362" s="17"/>
    </row>
    <row r="363" ht="15.75" customHeight="1">
      <c r="E363" s="17"/>
    </row>
    <row r="364" ht="15.75" customHeight="1">
      <c r="E364" s="17"/>
    </row>
    <row r="365" ht="15.75" customHeight="1">
      <c r="E365" s="17"/>
    </row>
    <row r="366" ht="15.75" customHeight="1">
      <c r="E366" s="17"/>
    </row>
    <row r="367" ht="15.75" customHeight="1">
      <c r="E367" s="17"/>
    </row>
    <row r="368" ht="15.75" customHeight="1">
      <c r="E368" s="17"/>
    </row>
    <row r="369" ht="15.75" customHeight="1">
      <c r="E369" s="17"/>
    </row>
    <row r="370" ht="15.75" customHeight="1">
      <c r="E370" s="17"/>
    </row>
    <row r="371" ht="15.75" customHeight="1">
      <c r="E371" s="17"/>
    </row>
    <row r="372" ht="15.75" customHeight="1">
      <c r="E372" s="17"/>
    </row>
    <row r="373" ht="15.75" customHeight="1">
      <c r="E373" s="17"/>
    </row>
    <row r="374" ht="15.75" customHeight="1">
      <c r="E374" s="17"/>
    </row>
    <row r="375" ht="15.75" customHeight="1">
      <c r="E375" s="17"/>
    </row>
    <row r="376" ht="15.75" customHeight="1">
      <c r="E376" s="17"/>
    </row>
    <row r="377" ht="15.75" customHeight="1">
      <c r="E377" s="17"/>
    </row>
    <row r="378" ht="15.75" customHeight="1">
      <c r="E378" s="17"/>
    </row>
    <row r="379" ht="15.75" customHeight="1">
      <c r="E379" s="17"/>
    </row>
    <row r="380" ht="15.75" customHeight="1">
      <c r="E380" s="17"/>
    </row>
    <row r="381" ht="15.75" customHeight="1">
      <c r="E381" s="17"/>
    </row>
    <row r="382" ht="15.75" customHeight="1">
      <c r="E382" s="17"/>
    </row>
    <row r="383" ht="15.75" customHeight="1">
      <c r="E383" s="17"/>
    </row>
    <row r="384" ht="15.75" customHeight="1">
      <c r="E384" s="17"/>
    </row>
    <row r="385" ht="15.75" customHeight="1">
      <c r="E385" s="17"/>
    </row>
    <row r="386" ht="15.75" customHeight="1">
      <c r="E386" s="17"/>
    </row>
    <row r="387" ht="15.75" customHeight="1">
      <c r="E387" s="17"/>
    </row>
    <row r="388" ht="15.75" customHeight="1">
      <c r="E388" s="17"/>
    </row>
    <row r="389" ht="15.75" customHeight="1">
      <c r="E389" s="17"/>
    </row>
    <row r="390" ht="15.75" customHeight="1">
      <c r="E390" s="17"/>
    </row>
    <row r="391" ht="15.75" customHeight="1">
      <c r="E391" s="17"/>
    </row>
    <row r="392" ht="15.75" customHeight="1">
      <c r="E392" s="17"/>
    </row>
    <row r="393" ht="15.75" customHeight="1">
      <c r="E393" s="17"/>
    </row>
    <row r="394" ht="15.75" customHeight="1">
      <c r="E394" s="17"/>
    </row>
    <row r="395" ht="15.75" customHeight="1">
      <c r="E395" s="17"/>
    </row>
    <row r="396" ht="15.75" customHeight="1">
      <c r="E396" s="17"/>
    </row>
    <row r="397" ht="15.75" customHeight="1">
      <c r="E397" s="17"/>
    </row>
    <row r="398" ht="15.75" customHeight="1">
      <c r="E398" s="17"/>
    </row>
    <row r="399" ht="15.75" customHeight="1">
      <c r="E399" s="17"/>
    </row>
    <row r="400" ht="15.75" customHeight="1">
      <c r="E400" s="17"/>
    </row>
    <row r="401" ht="15.75" customHeight="1">
      <c r="E401" s="17"/>
    </row>
    <row r="402" ht="15.75" customHeight="1">
      <c r="E402" s="17"/>
    </row>
    <row r="403" ht="15.75" customHeight="1">
      <c r="E403" s="17"/>
    </row>
    <row r="404" ht="15.75" customHeight="1">
      <c r="E404" s="17"/>
    </row>
    <row r="405" ht="15.75" customHeight="1">
      <c r="E405" s="17"/>
    </row>
    <row r="406" ht="15.75" customHeight="1">
      <c r="E406" s="17"/>
    </row>
    <row r="407" ht="15.75" customHeight="1">
      <c r="E407" s="17"/>
    </row>
    <row r="408" ht="15.75" customHeight="1">
      <c r="E408" s="17"/>
    </row>
    <row r="409" ht="15.75" customHeight="1">
      <c r="E409" s="17"/>
    </row>
    <row r="410" ht="15.75" customHeight="1">
      <c r="E410" s="17"/>
    </row>
    <row r="411" ht="15.75" customHeight="1">
      <c r="E411" s="17"/>
    </row>
    <row r="412" ht="15.75" customHeight="1">
      <c r="E412" s="17"/>
    </row>
    <row r="413" ht="15.75" customHeight="1">
      <c r="E413" s="17"/>
    </row>
    <row r="414" ht="15.75" customHeight="1">
      <c r="E414" s="17"/>
    </row>
    <row r="415" ht="15.75" customHeight="1">
      <c r="E415" s="17"/>
    </row>
    <row r="416" ht="15.75" customHeight="1">
      <c r="E416" s="17"/>
    </row>
    <row r="417" ht="15.75" customHeight="1">
      <c r="E417" s="17"/>
    </row>
    <row r="418" ht="15.75" customHeight="1">
      <c r="E418" s="17"/>
    </row>
    <row r="419" ht="15.75" customHeight="1">
      <c r="E419" s="17"/>
    </row>
    <row r="420" ht="15.75" customHeight="1">
      <c r="E420" s="17"/>
    </row>
    <row r="421" ht="15.75" customHeight="1">
      <c r="E421" s="17"/>
    </row>
    <row r="422" ht="15.75" customHeight="1">
      <c r="E422" s="17"/>
    </row>
    <row r="423" ht="15.75" customHeight="1">
      <c r="E423" s="17"/>
    </row>
    <row r="424" ht="15.75" customHeight="1">
      <c r="E424" s="17"/>
    </row>
    <row r="425" ht="15.75" customHeight="1">
      <c r="E425" s="17"/>
    </row>
    <row r="426" ht="15.75" customHeight="1">
      <c r="E426" s="17"/>
    </row>
    <row r="427" ht="15.75" customHeight="1">
      <c r="E427" s="17"/>
    </row>
    <row r="428" ht="15.75" customHeight="1">
      <c r="E428" s="17"/>
    </row>
    <row r="429" ht="15.75" customHeight="1">
      <c r="E429" s="17"/>
    </row>
    <row r="430" ht="15.75" customHeight="1">
      <c r="E430" s="17"/>
    </row>
    <row r="431" ht="15.75" customHeight="1">
      <c r="E431" s="17"/>
    </row>
    <row r="432" ht="15.75" customHeight="1">
      <c r="E432" s="17"/>
    </row>
    <row r="433" ht="15.75" customHeight="1">
      <c r="E433" s="17"/>
    </row>
    <row r="434" ht="15.75" customHeight="1">
      <c r="E434" s="17"/>
    </row>
    <row r="435" ht="15.75" customHeight="1">
      <c r="E435" s="17"/>
    </row>
    <row r="436" ht="15.75" customHeight="1">
      <c r="E436" s="17"/>
    </row>
    <row r="437" ht="15.75" customHeight="1">
      <c r="E437" s="17"/>
    </row>
    <row r="438" ht="15.75" customHeight="1">
      <c r="E438" s="17"/>
    </row>
    <row r="439" ht="15.75" customHeight="1">
      <c r="E439" s="17"/>
    </row>
    <row r="440" ht="15.75" customHeight="1">
      <c r="E440" s="17"/>
    </row>
    <row r="441" ht="15.75" customHeight="1">
      <c r="E441" s="17"/>
    </row>
    <row r="442" ht="15.75" customHeight="1">
      <c r="E442" s="17"/>
    </row>
    <row r="443" ht="15.75" customHeight="1">
      <c r="E443" s="17"/>
    </row>
    <row r="444" ht="15.75" customHeight="1">
      <c r="E444" s="17"/>
    </row>
    <row r="445" ht="15.75" customHeight="1">
      <c r="E445" s="17"/>
    </row>
    <row r="446" ht="15.75" customHeight="1">
      <c r="E446" s="17"/>
    </row>
    <row r="447" ht="15.75" customHeight="1">
      <c r="E447" s="17"/>
    </row>
    <row r="448" ht="15.75" customHeight="1">
      <c r="E448" s="17"/>
    </row>
    <row r="449" ht="15.75" customHeight="1">
      <c r="E449" s="17"/>
    </row>
    <row r="450" ht="15.75" customHeight="1">
      <c r="E450" s="17"/>
    </row>
    <row r="451" ht="15.75" customHeight="1">
      <c r="E451" s="17"/>
    </row>
    <row r="452" ht="15.75" customHeight="1">
      <c r="E452" s="17"/>
    </row>
    <row r="453" ht="15.75" customHeight="1">
      <c r="E453" s="17"/>
    </row>
    <row r="454" ht="15.75" customHeight="1">
      <c r="E454" s="17"/>
    </row>
    <row r="455" ht="15.75" customHeight="1">
      <c r="E455" s="17"/>
    </row>
    <row r="456" ht="15.75" customHeight="1">
      <c r="E456" s="17"/>
    </row>
    <row r="457" ht="15.75" customHeight="1">
      <c r="E457" s="17"/>
    </row>
    <row r="458" ht="15.75" customHeight="1">
      <c r="E458" s="17"/>
    </row>
    <row r="459" ht="15.75" customHeight="1">
      <c r="E459" s="17"/>
    </row>
    <row r="460" ht="15.75" customHeight="1">
      <c r="E460" s="17"/>
    </row>
    <row r="461" ht="15.75" customHeight="1">
      <c r="E461" s="17"/>
    </row>
    <row r="462" ht="15.75" customHeight="1">
      <c r="E462" s="17"/>
    </row>
    <row r="463" ht="15.75" customHeight="1">
      <c r="E463" s="17"/>
    </row>
    <row r="464" ht="15.75" customHeight="1">
      <c r="E464" s="17"/>
    </row>
    <row r="465" ht="15.75" customHeight="1">
      <c r="E465" s="17"/>
    </row>
    <row r="466" ht="15.75" customHeight="1">
      <c r="E466" s="17"/>
    </row>
    <row r="467" ht="15.75" customHeight="1">
      <c r="E467" s="17"/>
    </row>
    <row r="468" ht="15.75" customHeight="1">
      <c r="E468" s="17"/>
    </row>
    <row r="469" ht="15.75" customHeight="1">
      <c r="E469" s="17"/>
    </row>
    <row r="470" ht="15.75" customHeight="1">
      <c r="E470" s="17"/>
    </row>
    <row r="471" ht="15.75" customHeight="1">
      <c r="E471" s="17"/>
    </row>
    <row r="472" ht="15.75" customHeight="1">
      <c r="E472" s="17"/>
    </row>
    <row r="473" ht="15.75" customHeight="1">
      <c r="E473" s="17"/>
    </row>
    <row r="474" ht="15.75" customHeight="1">
      <c r="E474" s="17"/>
    </row>
    <row r="475" ht="15.75" customHeight="1">
      <c r="E475" s="17"/>
    </row>
    <row r="476" ht="15.75" customHeight="1">
      <c r="E476" s="17"/>
    </row>
    <row r="477" ht="15.75" customHeight="1">
      <c r="E477" s="17"/>
    </row>
    <row r="478" ht="15.75" customHeight="1">
      <c r="E478" s="17"/>
    </row>
    <row r="479" ht="15.75" customHeight="1">
      <c r="E479" s="17"/>
    </row>
    <row r="480" ht="15.75" customHeight="1">
      <c r="E480" s="17"/>
    </row>
    <row r="481" ht="15.75" customHeight="1">
      <c r="E481" s="17"/>
    </row>
    <row r="482" ht="15.75" customHeight="1">
      <c r="E482" s="17"/>
    </row>
    <row r="483" ht="15.75" customHeight="1">
      <c r="E483" s="17"/>
    </row>
    <row r="484" ht="15.75" customHeight="1">
      <c r="E484" s="17"/>
    </row>
    <row r="485" ht="15.75" customHeight="1">
      <c r="E485" s="17"/>
    </row>
    <row r="486" ht="15.75" customHeight="1">
      <c r="E486" s="17"/>
    </row>
    <row r="487" ht="15.75" customHeight="1">
      <c r="E487" s="17"/>
    </row>
    <row r="488" ht="15.75" customHeight="1">
      <c r="E488" s="17"/>
    </row>
    <row r="489" ht="15.75" customHeight="1">
      <c r="E489" s="17"/>
    </row>
    <row r="490" ht="15.75" customHeight="1">
      <c r="E490" s="17"/>
    </row>
    <row r="491" ht="15.75" customHeight="1">
      <c r="E491" s="17"/>
    </row>
    <row r="492" ht="15.75" customHeight="1">
      <c r="E492" s="17"/>
    </row>
    <row r="493" ht="15.75" customHeight="1">
      <c r="E493" s="17"/>
    </row>
    <row r="494" ht="15.75" customHeight="1">
      <c r="E494" s="17"/>
    </row>
    <row r="495" ht="15.75" customHeight="1">
      <c r="E495" s="17"/>
    </row>
    <row r="496" ht="15.75" customHeight="1">
      <c r="E496" s="17"/>
    </row>
    <row r="497" ht="15.75" customHeight="1">
      <c r="E497" s="17"/>
    </row>
    <row r="498" ht="15.75" customHeight="1">
      <c r="E498" s="17"/>
    </row>
    <row r="499" ht="15.75" customHeight="1">
      <c r="E499" s="17"/>
    </row>
    <row r="500" ht="15.75" customHeight="1">
      <c r="E500" s="17"/>
    </row>
    <row r="501" ht="15.75" customHeight="1">
      <c r="E501" s="17"/>
    </row>
    <row r="502" ht="15.75" customHeight="1">
      <c r="E502" s="17"/>
    </row>
    <row r="503" ht="15.75" customHeight="1">
      <c r="E503" s="17"/>
    </row>
    <row r="504" ht="15.75" customHeight="1">
      <c r="E504" s="17"/>
    </row>
    <row r="505" ht="15.75" customHeight="1">
      <c r="E505" s="17"/>
    </row>
    <row r="506" ht="15.75" customHeight="1">
      <c r="E506" s="17"/>
    </row>
    <row r="507" ht="15.75" customHeight="1">
      <c r="E507" s="17"/>
    </row>
    <row r="508" ht="15.75" customHeight="1">
      <c r="E508" s="17"/>
    </row>
    <row r="509" ht="15.75" customHeight="1">
      <c r="E509" s="17"/>
    </row>
    <row r="510" ht="15.75" customHeight="1">
      <c r="E510" s="17"/>
    </row>
    <row r="511" ht="15.75" customHeight="1">
      <c r="E511" s="17"/>
    </row>
    <row r="512" ht="15.75" customHeight="1">
      <c r="E512" s="17"/>
    </row>
    <row r="513" ht="15.75" customHeight="1">
      <c r="E513" s="17"/>
    </row>
    <row r="514" ht="15.75" customHeight="1">
      <c r="E514" s="17"/>
    </row>
    <row r="515" ht="15.75" customHeight="1">
      <c r="E515" s="17"/>
    </row>
    <row r="516" ht="15.75" customHeight="1">
      <c r="E516" s="17"/>
    </row>
    <row r="517" ht="15.75" customHeight="1">
      <c r="E517" s="17"/>
    </row>
    <row r="518" ht="15.75" customHeight="1">
      <c r="E518" s="17"/>
    </row>
    <row r="519" ht="15.75" customHeight="1">
      <c r="E519" s="17"/>
    </row>
    <row r="520" ht="15.75" customHeight="1">
      <c r="E520" s="17"/>
    </row>
    <row r="521" ht="15.75" customHeight="1">
      <c r="E521" s="17"/>
    </row>
    <row r="522" ht="15.75" customHeight="1">
      <c r="E522" s="17"/>
    </row>
    <row r="523" ht="15.75" customHeight="1">
      <c r="E523" s="17"/>
    </row>
    <row r="524" ht="15.75" customHeight="1">
      <c r="E524" s="17"/>
    </row>
    <row r="525" ht="15.75" customHeight="1">
      <c r="E525" s="17"/>
    </row>
    <row r="526" ht="15.75" customHeight="1">
      <c r="E526" s="17"/>
    </row>
    <row r="527" ht="15.75" customHeight="1">
      <c r="E527" s="17"/>
    </row>
    <row r="528" ht="15.75" customHeight="1">
      <c r="E528" s="17"/>
    </row>
    <row r="529" ht="15.75" customHeight="1">
      <c r="E529" s="17"/>
    </row>
    <row r="530" ht="15.75" customHeight="1">
      <c r="E530" s="17"/>
    </row>
    <row r="531" ht="15.75" customHeight="1">
      <c r="E531" s="17"/>
    </row>
    <row r="532" ht="15.75" customHeight="1">
      <c r="E532" s="17"/>
    </row>
    <row r="533" ht="15.75" customHeight="1">
      <c r="E533" s="17"/>
    </row>
    <row r="534" ht="15.75" customHeight="1">
      <c r="E534" s="17"/>
    </row>
    <row r="535" ht="15.75" customHeight="1">
      <c r="E535" s="17"/>
    </row>
    <row r="536" ht="15.75" customHeight="1">
      <c r="E536" s="17"/>
    </row>
    <row r="537" ht="15.75" customHeight="1">
      <c r="E537" s="17"/>
    </row>
    <row r="538" ht="15.75" customHeight="1">
      <c r="E538" s="17"/>
    </row>
    <row r="539" ht="15.75" customHeight="1">
      <c r="E539" s="17"/>
    </row>
    <row r="540" ht="15.75" customHeight="1">
      <c r="E540" s="17"/>
    </row>
    <row r="541" ht="15.75" customHeight="1">
      <c r="E541" s="17"/>
    </row>
    <row r="542" ht="15.75" customHeight="1">
      <c r="E542" s="17"/>
    </row>
    <row r="543" ht="15.75" customHeight="1">
      <c r="E543" s="17"/>
    </row>
    <row r="544" ht="15.75" customHeight="1">
      <c r="E544" s="17"/>
    </row>
    <row r="545" ht="15.75" customHeight="1">
      <c r="E545" s="17"/>
    </row>
    <row r="546" ht="15.75" customHeight="1">
      <c r="E546" s="17"/>
    </row>
    <row r="547" ht="15.75" customHeight="1">
      <c r="E547" s="17"/>
    </row>
    <row r="548" ht="15.75" customHeight="1">
      <c r="E548" s="17"/>
    </row>
    <row r="549" ht="15.75" customHeight="1">
      <c r="E549" s="17"/>
    </row>
    <row r="550" ht="15.75" customHeight="1">
      <c r="E550" s="17"/>
    </row>
    <row r="551" ht="15.75" customHeight="1">
      <c r="E551" s="17"/>
    </row>
    <row r="552" ht="15.75" customHeight="1">
      <c r="E552" s="17"/>
    </row>
    <row r="553" ht="15.75" customHeight="1">
      <c r="E553" s="17"/>
    </row>
    <row r="554" ht="15.75" customHeight="1">
      <c r="E554" s="17"/>
    </row>
    <row r="555" ht="15.75" customHeight="1">
      <c r="E555" s="17"/>
    </row>
    <row r="556" ht="15.75" customHeight="1">
      <c r="E556" s="17"/>
    </row>
    <row r="557" ht="15.75" customHeight="1">
      <c r="E557" s="17"/>
    </row>
    <row r="558" ht="15.75" customHeight="1">
      <c r="E558" s="17"/>
    </row>
    <row r="559" ht="15.75" customHeight="1">
      <c r="E559" s="17"/>
    </row>
    <row r="560" ht="15.75" customHeight="1">
      <c r="E560" s="17"/>
    </row>
    <row r="561" ht="15.75" customHeight="1">
      <c r="E561" s="17"/>
    </row>
    <row r="562" ht="15.75" customHeight="1">
      <c r="E562" s="17"/>
    </row>
    <row r="563" ht="15.75" customHeight="1">
      <c r="E563" s="17"/>
    </row>
    <row r="564" ht="15.75" customHeight="1">
      <c r="E564" s="17"/>
    </row>
    <row r="565" ht="15.75" customHeight="1">
      <c r="E565" s="17"/>
    </row>
    <row r="566" ht="15.75" customHeight="1">
      <c r="E566" s="17"/>
    </row>
    <row r="567" ht="15.75" customHeight="1">
      <c r="E567" s="17"/>
    </row>
    <row r="568" ht="15.75" customHeight="1">
      <c r="E568" s="17"/>
    </row>
    <row r="569" ht="15.75" customHeight="1">
      <c r="E569" s="17"/>
    </row>
    <row r="570" ht="15.75" customHeight="1">
      <c r="E570" s="17"/>
    </row>
    <row r="571" ht="15.75" customHeight="1">
      <c r="E571" s="17"/>
    </row>
    <row r="572" ht="15.75" customHeight="1">
      <c r="E572" s="17"/>
    </row>
    <row r="573" ht="15.75" customHeight="1">
      <c r="E573" s="17"/>
    </row>
    <row r="574" ht="15.75" customHeight="1">
      <c r="E574" s="17"/>
    </row>
    <row r="575" ht="15.75" customHeight="1">
      <c r="E575" s="17"/>
    </row>
    <row r="576" ht="15.75" customHeight="1">
      <c r="E576" s="17"/>
    </row>
    <row r="577" ht="15.75" customHeight="1">
      <c r="E577" s="17"/>
    </row>
    <row r="578" ht="15.75" customHeight="1">
      <c r="E578" s="17"/>
    </row>
    <row r="579" ht="15.75" customHeight="1">
      <c r="E579" s="17"/>
    </row>
    <row r="580" ht="15.75" customHeight="1">
      <c r="E580" s="17"/>
    </row>
    <row r="581" ht="15.75" customHeight="1">
      <c r="E581" s="17"/>
    </row>
    <row r="582" ht="15.75" customHeight="1">
      <c r="E582" s="17"/>
    </row>
    <row r="583" ht="15.75" customHeight="1">
      <c r="E583" s="17"/>
    </row>
    <row r="584" ht="15.75" customHeight="1">
      <c r="E584" s="17"/>
    </row>
    <row r="585" ht="15.75" customHeight="1">
      <c r="E585" s="17"/>
    </row>
    <row r="586" ht="15.75" customHeight="1">
      <c r="E586" s="17"/>
    </row>
    <row r="587" ht="15.75" customHeight="1">
      <c r="E587" s="17"/>
    </row>
    <row r="588" ht="15.75" customHeight="1">
      <c r="E588" s="17"/>
    </row>
    <row r="589" ht="15.75" customHeight="1">
      <c r="E589" s="17"/>
    </row>
    <row r="590" ht="15.75" customHeight="1">
      <c r="E590" s="17"/>
    </row>
    <row r="591" ht="15.75" customHeight="1">
      <c r="E591" s="17"/>
    </row>
    <row r="592" ht="15.75" customHeight="1">
      <c r="E592" s="17"/>
    </row>
    <row r="593" ht="15.75" customHeight="1">
      <c r="E593" s="17"/>
    </row>
    <row r="594" ht="15.75" customHeight="1">
      <c r="E594" s="17"/>
    </row>
    <row r="595" ht="15.75" customHeight="1">
      <c r="E595" s="17"/>
    </row>
    <row r="596" ht="15.75" customHeight="1">
      <c r="E596" s="17"/>
    </row>
    <row r="597" ht="15.75" customHeight="1">
      <c r="E597" s="17"/>
    </row>
    <row r="598" ht="15.75" customHeight="1">
      <c r="E598" s="17"/>
    </row>
    <row r="599" ht="15.75" customHeight="1">
      <c r="E599" s="17"/>
    </row>
    <row r="600" ht="15.75" customHeight="1">
      <c r="E600" s="17"/>
    </row>
    <row r="601" ht="15.75" customHeight="1">
      <c r="E601" s="17"/>
    </row>
    <row r="602" ht="15.75" customHeight="1">
      <c r="E602" s="17"/>
    </row>
    <row r="603" ht="15.75" customHeight="1">
      <c r="E603" s="17"/>
    </row>
    <row r="604" ht="15.75" customHeight="1">
      <c r="E604" s="17"/>
    </row>
    <row r="605" ht="15.75" customHeight="1">
      <c r="E605" s="17"/>
    </row>
    <row r="606" ht="15.75" customHeight="1">
      <c r="E606" s="17"/>
    </row>
    <row r="607" ht="15.75" customHeight="1">
      <c r="E607" s="17"/>
    </row>
    <row r="608" ht="15.75" customHeight="1">
      <c r="E608" s="17"/>
    </row>
    <row r="609" ht="15.75" customHeight="1">
      <c r="E609" s="17"/>
    </row>
    <row r="610" ht="15.75" customHeight="1">
      <c r="E610" s="17"/>
    </row>
    <row r="611" ht="15.75" customHeight="1">
      <c r="E611" s="17"/>
    </row>
    <row r="612" ht="15.75" customHeight="1">
      <c r="E612" s="17"/>
    </row>
    <row r="613" ht="15.75" customHeight="1">
      <c r="E613" s="17"/>
    </row>
    <row r="614" ht="15.75" customHeight="1">
      <c r="E614" s="17"/>
    </row>
    <row r="615" ht="15.75" customHeight="1">
      <c r="E615" s="17"/>
    </row>
    <row r="616" ht="15.75" customHeight="1">
      <c r="E616" s="17"/>
    </row>
    <row r="617" ht="15.75" customHeight="1">
      <c r="E617" s="17"/>
    </row>
    <row r="618" ht="15.75" customHeight="1">
      <c r="E618" s="17"/>
    </row>
    <row r="619" ht="15.75" customHeight="1">
      <c r="E619" s="17"/>
    </row>
    <row r="620" ht="15.75" customHeight="1">
      <c r="E620" s="17"/>
    </row>
    <row r="621" ht="15.75" customHeight="1">
      <c r="E621" s="17"/>
    </row>
    <row r="622" ht="15.75" customHeight="1">
      <c r="E622" s="17"/>
    </row>
    <row r="623" ht="15.75" customHeight="1">
      <c r="E623" s="17"/>
    </row>
    <row r="624" ht="15.75" customHeight="1">
      <c r="E624" s="17"/>
    </row>
    <row r="625" ht="15.75" customHeight="1">
      <c r="E625" s="17"/>
    </row>
    <row r="626" ht="15.75" customHeight="1">
      <c r="E626" s="17"/>
    </row>
    <row r="627" ht="15.75" customHeight="1">
      <c r="E627" s="17"/>
    </row>
    <row r="628" ht="15.75" customHeight="1">
      <c r="E628" s="17"/>
    </row>
    <row r="629" ht="15.75" customHeight="1">
      <c r="E629" s="17"/>
    </row>
    <row r="630" ht="15.75" customHeight="1">
      <c r="E630" s="17"/>
    </row>
    <row r="631" ht="15.75" customHeight="1">
      <c r="E631" s="17"/>
    </row>
    <row r="632" ht="15.75" customHeight="1">
      <c r="E632" s="17"/>
    </row>
    <row r="633" ht="15.75" customHeight="1">
      <c r="E633" s="17"/>
    </row>
    <row r="634" ht="15.75" customHeight="1">
      <c r="E634" s="17"/>
    </row>
    <row r="635" ht="15.75" customHeight="1">
      <c r="E635" s="17"/>
    </row>
    <row r="636" ht="15.75" customHeight="1">
      <c r="E636" s="17"/>
    </row>
    <row r="637" ht="15.75" customHeight="1">
      <c r="E637" s="17"/>
    </row>
    <row r="638" ht="15.75" customHeight="1">
      <c r="E638" s="17"/>
    </row>
    <row r="639" ht="15.75" customHeight="1">
      <c r="E639" s="17"/>
    </row>
    <row r="640" ht="15.75" customHeight="1">
      <c r="E640" s="17"/>
    </row>
    <row r="641" ht="15.75" customHeight="1">
      <c r="E641" s="17"/>
    </row>
    <row r="642" ht="15.75" customHeight="1">
      <c r="E642" s="17"/>
    </row>
    <row r="643" ht="15.75" customHeight="1">
      <c r="E643" s="17"/>
    </row>
    <row r="644" ht="15.75" customHeight="1">
      <c r="E644" s="17"/>
    </row>
    <row r="645" ht="15.75" customHeight="1">
      <c r="E645" s="17"/>
    </row>
    <row r="646" ht="15.75" customHeight="1">
      <c r="E646" s="17"/>
    </row>
    <row r="647" ht="15.75" customHeight="1">
      <c r="E647" s="17"/>
    </row>
    <row r="648" ht="15.75" customHeight="1">
      <c r="E648" s="17"/>
    </row>
    <row r="649" ht="15.75" customHeight="1">
      <c r="E649" s="17"/>
    </row>
    <row r="650" ht="15.75" customHeight="1">
      <c r="E650" s="17"/>
    </row>
    <row r="651" ht="15.75" customHeight="1">
      <c r="E651" s="17"/>
    </row>
    <row r="652" ht="15.75" customHeight="1">
      <c r="E652" s="17"/>
    </row>
    <row r="653" ht="15.75" customHeight="1">
      <c r="E653" s="17"/>
    </row>
    <row r="654" ht="15.75" customHeight="1">
      <c r="E654" s="17"/>
    </row>
    <row r="655" ht="15.75" customHeight="1">
      <c r="E655" s="17"/>
    </row>
    <row r="656" ht="15.75" customHeight="1">
      <c r="E656" s="17"/>
    </row>
    <row r="657" ht="15.75" customHeight="1">
      <c r="E657" s="17"/>
    </row>
    <row r="658" ht="15.75" customHeight="1">
      <c r="E658" s="17"/>
    </row>
    <row r="659" ht="15.75" customHeight="1">
      <c r="E659" s="17"/>
    </row>
    <row r="660" ht="15.75" customHeight="1">
      <c r="E660" s="17"/>
    </row>
    <row r="661" ht="15.75" customHeight="1">
      <c r="E661" s="17"/>
    </row>
    <row r="662" ht="15.75" customHeight="1">
      <c r="E662" s="17"/>
    </row>
    <row r="663" ht="15.75" customHeight="1">
      <c r="E663" s="17"/>
    </row>
    <row r="664" ht="15.75" customHeight="1">
      <c r="E664" s="17"/>
    </row>
    <row r="665" ht="15.75" customHeight="1">
      <c r="E665" s="17"/>
    </row>
    <row r="666" ht="15.75" customHeight="1">
      <c r="E666" s="17"/>
    </row>
    <row r="667" ht="15.75" customHeight="1">
      <c r="E667" s="17"/>
    </row>
    <row r="668" ht="15.75" customHeight="1">
      <c r="E668" s="17"/>
    </row>
    <row r="669" ht="15.75" customHeight="1">
      <c r="E669" s="17"/>
    </row>
    <row r="670" ht="15.75" customHeight="1">
      <c r="E670" s="17"/>
    </row>
    <row r="671" ht="15.75" customHeight="1">
      <c r="E671" s="17"/>
    </row>
    <row r="672" ht="15.75" customHeight="1">
      <c r="E672" s="17"/>
    </row>
    <row r="673" ht="15.75" customHeight="1">
      <c r="E673" s="17"/>
    </row>
    <row r="674" ht="15.75" customHeight="1">
      <c r="E674" s="17"/>
    </row>
    <row r="675" ht="15.75" customHeight="1">
      <c r="E675" s="17"/>
    </row>
    <row r="676" ht="15.75" customHeight="1">
      <c r="E676" s="17"/>
    </row>
    <row r="677" ht="15.75" customHeight="1">
      <c r="E677" s="17"/>
    </row>
    <row r="678" ht="15.75" customHeight="1">
      <c r="E678" s="17"/>
    </row>
    <row r="679" ht="15.75" customHeight="1">
      <c r="E679" s="17"/>
    </row>
    <row r="680" ht="15.75" customHeight="1">
      <c r="E680" s="17"/>
    </row>
    <row r="681" ht="15.75" customHeight="1">
      <c r="E681" s="17"/>
    </row>
    <row r="682" ht="15.75" customHeight="1">
      <c r="E682" s="17"/>
    </row>
    <row r="683" ht="15.75" customHeight="1">
      <c r="E683" s="17"/>
    </row>
    <row r="684" ht="15.75" customHeight="1">
      <c r="E684" s="17"/>
    </row>
    <row r="685" ht="15.75" customHeight="1">
      <c r="E685" s="17"/>
    </row>
    <row r="686" ht="15.75" customHeight="1">
      <c r="E686" s="17"/>
    </row>
    <row r="687" ht="15.75" customHeight="1">
      <c r="E687" s="17"/>
    </row>
    <row r="688" ht="15.75" customHeight="1">
      <c r="E688" s="17"/>
    </row>
    <row r="689" ht="15.75" customHeight="1">
      <c r="E689" s="17"/>
    </row>
    <row r="690" ht="15.75" customHeight="1">
      <c r="E690" s="17"/>
    </row>
    <row r="691" ht="15.75" customHeight="1">
      <c r="E691" s="17"/>
    </row>
    <row r="692" ht="15.75" customHeight="1">
      <c r="E692" s="17"/>
    </row>
    <row r="693" ht="15.75" customHeight="1">
      <c r="E693" s="17"/>
    </row>
    <row r="694" ht="15.75" customHeight="1">
      <c r="E694" s="17"/>
    </row>
    <row r="695" ht="15.75" customHeight="1">
      <c r="E695" s="17"/>
    </row>
    <row r="696" ht="15.75" customHeight="1">
      <c r="E696" s="17"/>
    </row>
    <row r="697" ht="15.75" customHeight="1">
      <c r="E697" s="17"/>
    </row>
    <row r="698" ht="15.75" customHeight="1">
      <c r="E698" s="17"/>
    </row>
    <row r="699" ht="15.75" customHeight="1">
      <c r="E699" s="17"/>
    </row>
    <row r="700" ht="15.75" customHeight="1">
      <c r="E700" s="17"/>
    </row>
    <row r="701" ht="15.75" customHeight="1">
      <c r="E701" s="17"/>
    </row>
    <row r="702" ht="15.75" customHeight="1">
      <c r="E702" s="17"/>
    </row>
    <row r="703" ht="15.75" customHeight="1">
      <c r="E703" s="17"/>
    </row>
    <row r="704" ht="15.75" customHeight="1">
      <c r="E704" s="17"/>
    </row>
    <row r="705" ht="15.75" customHeight="1">
      <c r="E705" s="17"/>
    </row>
    <row r="706" ht="15.75" customHeight="1">
      <c r="E706" s="17"/>
    </row>
    <row r="707" ht="15.75" customHeight="1">
      <c r="E707" s="17"/>
    </row>
    <row r="708" ht="15.75" customHeight="1">
      <c r="E708" s="17"/>
    </row>
    <row r="709" ht="15.75" customHeight="1">
      <c r="E709" s="17"/>
    </row>
    <row r="710" ht="15.75" customHeight="1">
      <c r="E710" s="17"/>
    </row>
    <row r="711" ht="15.75" customHeight="1">
      <c r="E711" s="17"/>
    </row>
    <row r="712" ht="15.75" customHeight="1">
      <c r="E712" s="17"/>
    </row>
    <row r="713" ht="15.75" customHeight="1">
      <c r="E713" s="17"/>
    </row>
    <row r="714" ht="15.75" customHeight="1">
      <c r="E714" s="17"/>
    </row>
    <row r="715" ht="15.75" customHeight="1">
      <c r="E715" s="17"/>
    </row>
    <row r="716" ht="15.75" customHeight="1">
      <c r="E716" s="17"/>
    </row>
    <row r="717" ht="15.75" customHeight="1">
      <c r="E717" s="17"/>
    </row>
    <row r="718" ht="15.75" customHeight="1">
      <c r="E718" s="17"/>
    </row>
    <row r="719" ht="15.75" customHeight="1">
      <c r="E719" s="17"/>
    </row>
    <row r="720" ht="15.75" customHeight="1">
      <c r="E720" s="17"/>
    </row>
    <row r="721" ht="15.75" customHeight="1">
      <c r="E721" s="17"/>
    </row>
    <row r="722" ht="15.75" customHeight="1">
      <c r="E722" s="17"/>
    </row>
    <row r="723" ht="15.75" customHeight="1">
      <c r="E723" s="17"/>
    </row>
    <row r="724" ht="15.75" customHeight="1">
      <c r="E724" s="17"/>
    </row>
    <row r="725" ht="15.75" customHeight="1">
      <c r="E725" s="17"/>
    </row>
    <row r="726" ht="15.75" customHeight="1">
      <c r="E726" s="17"/>
    </row>
    <row r="727" ht="15.75" customHeight="1">
      <c r="E727" s="17"/>
    </row>
    <row r="728" ht="15.75" customHeight="1">
      <c r="E728" s="17"/>
    </row>
    <row r="729" ht="15.75" customHeight="1">
      <c r="E729" s="17"/>
    </row>
    <row r="730" ht="15.75" customHeight="1">
      <c r="E730" s="17"/>
    </row>
    <row r="731" ht="15.75" customHeight="1">
      <c r="E731" s="17"/>
    </row>
    <row r="732" ht="15.75" customHeight="1">
      <c r="E732" s="17"/>
    </row>
    <row r="733" ht="15.75" customHeight="1">
      <c r="E733" s="17"/>
    </row>
    <row r="734" ht="15.75" customHeight="1">
      <c r="E734" s="17"/>
    </row>
    <row r="735" ht="15.75" customHeight="1">
      <c r="E735" s="17"/>
    </row>
    <row r="736" ht="15.75" customHeight="1">
      <c r="E736" s="17"/>
    </row>
    <row r="737" ht="15.75" customHeight="1">
      <c r="E737" s="17"/>
    </row>
    <row r="738" ht="15.75" customHeight="1">
      <c r="E738" s="17"/>
    </row>
    <row r="739" ht="15.75" customHeight="1">
      <c r="E739" s="17"/>
    </row>
    <row r="740" ht="15.75" customHeight="1">
      <c r="E740" s="17"/>
    </row>
    <row r="741" ht="15.75" customHeight="1">
      <c r="E741" s="17"/>
    </row>
    <row r="742" ht="15.75" customHeight="1">
      <c r="E742" s="17"/>
    </row>
    <row r="743" ht="15.75" customHeight="1">
      <c r="E743" s="17"/>
    </row>
    <row r="744" ht="15.75" customHeight="1">
      <c r="E744" s="17"/>
    </row>
    <row r="745" ht="15.75" customHeight="1">
      <c r="E745" s="17"/>
    </row>
    <row r="746" ht="15.75" customHeight="1">
      <c r="E746" s="17"/>
    </row>
    <row r="747" ht="15.75" customHeight="1">
      <c r="E747" s="17"/>
    </row>
    <row r="748" ht="15.75" customHeight="1">
      <c r="E748" s="17"/>
    </row>
    <row r="749" ht="15.75" customHeight="1">
      <c r="E749" s="17"/>
    </row>
    <row r="750" ht="15.75" customHeight="1">
      <c r="E750" s="17"/>
    </row>
    <row r="751" ht="15.75" customHeight="1">
      <c r="E751" s="17"/>
    </row>
    <row r="752" ht="15.75" customHeight="1">
      <c r="E752" s="17"/>
    </row>
    <row r="753" ht="15.75" customHeight="1">
      <c r="E753" s="17"/>
    </row>
    <row r="754" ht="15.75" customHeight="1">
      <c r="E754" s="17"/>
    </row>
    <row r="755" ht="15.75" customHeight="1">
      <c r="E755" s="17"/>
    </row>
    <row r="756" ht="15.75" customHeight="1">
      <c r="E756" s="17"/>
    </row>
    <row r="757" ht="15.75" customHeight="1">
      <c r="E757" s="17"/>
    </row>
    <row r="758" ht="15.75" customHeight="1">
      <c r="E758" s="17"/>
    </row>
    <row r="759" ht="15.75" customHeight="1">
      <c r="E759" s="17"/>
    </row>
    <row r="760" ht="15.75" customHeight="1">
      <c r="E760" s="17"/>
    </row>
    <row r="761" ht="15.75" customHeight="1">
      <c r="E761" s="17"/>
    </row>
    <row r="762" ht="15.75" customHeight="1">
      <c r="E762" s="17"/>
    </row>
    <row r="763" ht="15.75" customHeight="1">
      <c r="E763" s="17"/>
    </row>
    <row r="764" ht="15.75" customHeight="1">
      <c r="E764" s="17"/>
    </row>
    <row r="765" ht="15.75" customHeight="1">
      <c r="E765" s="17"/>
    </row>
    <row r="766" ht="15.75" customHeight="1">
      <c r="E766" s="17"/>
    </row>
    <row r="767" ht="15.75" customHeight="1">
      <c r="E767" s="17"/>
    </row>
    <row r="768" ht="15.75" customHeight="1">
      <c r="E768" s="17"/>
    </row>
    <row r="769" ht="15.75" customHeight="1">
      <c r="E769" s="17"/>
    </row>
    <row r="770" ht="15.75" customHeight="1">
      <c r="E770" s="17"/>
    </row>
    <row r="771" ht="15.75" customHeight="1">
      <c r="E771" s="17"/>
    </row>
    <row r="772" ht="15.75" customHeight="1">
      <c r="E772" s="17"/>
    </row>
    <row r="773" ht="15.75" customHeight="1">
      <c r="E773" s="17"/>
    </row>
    <row r="774" ht="15.75" customHeight="1">
      <c r="E774" s="17"/>
    </row>
    <row r="775" ht="15.75" customHeight="1">
      <c r="E775" s="17"/>
    </row>
    <row r="776" ht="15.75" customHeight="1">
      <c r="E776" s="17"/>
    </row>
    <row r="777" ht="15.75" customHeight="1">
      <c r="E777" s="17"/>
    </row>
    <row r="778" ht="15.75" customHeight="1">
      <c r="E778" s="17"/>
    </row>
    <row r="779" ht="15.75" customHeight="1">
      <c r="E779" s="17"/>
    </row>
    <row r="780" ht="15.75" customHeight="1">
      <c r="E780" s="17"/>
    </row>
    <row r="781" ht="15.75" customHeight="1">
      <c r="E781" s="17"/>
    </row>
    <row r="782" ht="15.75" customHeight="1">
      <c r="E782" s="17"/>
    </row>
    <row r="783" ht="15.75" customHeight="1">
      <c r="E783" s="17"/>
    </row>
    <row r="784" ht="15.75" customHeight="1">
      <c r="E784" s="17"/>
    </row>
    <row r="785" ht="15.75" customHeight="1">
      <c r="E785" s="17"/>
    </row>
    <row r="786" ht="15.75" customHeight="1">
      <c r="E786" s="17"/>
    </row>
    <row r="787" ht="15.75" customHeight="1">
      <c r="E787" s="17"/>
    </row>
    <row r="788" ht="15.75" customHeight="1">
      <c r="E788" s="17"/>
    </row>
    <row r="789" ht="15.75" customHeight="1">
      <c r="E789" s="17"/>
    </row>
    <row r="790" ht="15.75" customHeight="1">
      <c r="E790" s="17"/>
    </row>
    <row r="791" ht="15.75" customHeight="1">
      <c r="E791" s="17"/>
    </row>
    <row r="792" ht="15.75" customHeight="1">
      <c r="E792" s="17"/>
    </row>
    <row r="793" ht="15.75" customHeight="1">
      <c r="E793" s="17"/>
    </row>
    <row r="794" ht="15.75" customHeight="1">
      <c r="E794" s="17"/>
    </row>
    <row r="795" ht="15.75" customHeight="1">
      <c r="E795" s="17"/>
    </row>
    <row r="796" ht="15.75" customHeight="1">
      <c r="E796" s="17"/>
    </row>
    <row r="797" ht="15.75" customHeight="1">
      <c r="E797" s="17"/>
    </row>
    <row r="798" ht="15.75" customHeight="1">
      <c r="E798" s="17"/>
    </row>
    <row r="799" ht="15.75" customHeight="1">
      <c r="E799" s="17"/>
    </row>
    <row r="800" ht="15.75" customHeight="1">
      <c r="E800" s="17"/>
    </row>
    <row r="801" ht="15.75" customHeight="1">
      <c r="E801" s="17"/>
    </row>
    <row r="802" ht="15.75" customHeight="1">
      <c r="E802" s="17"/>
    </row>
    <row r="803" ht="15.75" customHeight="1">
      <c r="E803" s="17"/>
    </row>
    <row r="804" ht="15.75" customHeight="1">
      <c r="E804" s="17"/>
    </row>
    <row r="805" ht="15.75" customHeight="1">
      <c r="E805" s="17"/>
    </row>
    <row r="806" ht="15.75" customHeight="1">
      <c r="E806" s="17"/>
    </row>
    <row r="807" ht="15.75" customHeight="1">
      <c r="E807" s="17"/>
    </row>
    <row r="808" ht="15.75" customHeight="1">
      <c r="E808" s="17"/>
    </row>
    <row r="809" ht="15.75" customHeight="1">
      <c r="E809" s="17"/>
    </row>
    <row r="810" ht="15.75" customHeight="1">
      <c r="E810" s="17"/>
    </row>
    <row r="811" ht="15.75" customHeight="1">
      <c r="E811" s="17"/>
    </row>
    <row r="812" ht="15.75" customHeight="1">
      <c r="E812" s="17"/>
    </row>
    <row r="813" ht="15.75" customHeight="1">
      <c r="E813" s="17"/>
    </row>
    <row r="814" ht="15.75" customHeight="1">
      <c r="E814" s="17"/>
    </row>
    <row r="815" ht="15.75" customHeight="1">
      <c r="E815" s="17"/>
    </row>
    <row r="816" ht="15.75" customHeight="1">
      <c r="E816" s="17"/>
    </row>
    <row r="817" ht="15.75" customHeight="1">
      <c r="E817" s="17"/>
    </row>
    <row r="818" ht="15.75" customHeight="1">
      <c r="E818" s="17"/>
    </row>
    <row r="819" ht="15.75" customHeight="1">
      <c r="E819" s="17"/>
    </row>
    <row r="820" ht="15.75" customHeight="1">
      <c r="E820" s="17"/>
    </row>
    <row r="821" ht="15.75" customHeight="1">
      <c r="E821" s="17"/>
    </row>
    <row r="822" ht="15.75" customHeight="1">
      <c r="E822" s="17"/>
    </row>
    <row r="823" ht="15.75" customHeight="1">
      <c r="E823" s="17"/>
    </row>
    <row r="824" ht="15.75" customHeight="1">
      <c r="E824" s="17"/>
    </row>
    <row r="825" ht="15.75" customHeight="1">
      <c r="E825" s="17"/>
    </row>
    <row r="826" ht="15.75" customHeight="1">
      <c r="E826" s="17"/>
    </row>
    <row r="827" ht="15.75" customHeight="1">
      <c r="E827" s="17"/>
    </row>
    <row r="828" ht="15.75" customHeight="1">
      <c r="E828" s="17"/>
    </row>
    <row r="829" ht="15.75" customHeight="1">
      <c r="E829" s="17"/>
    </row>
    <row r="830" ht="15.75" customHeight="1">
      <c r="E830" s="17"/>
    </row>
    <row r="831" ht="15.75" customHeight="1">
      <c r="E831" s="17"/>
    </row>
    <row r="832" ht="15.75" customHeight="1">
      <c r="E832" s="17"/>
    </row>
    <row r="833" ht="15.75" customHeight="1">
      <c r="E833" s="17"/>
    </row>
    <row r="834" ht="15.75" customHeight="1">
      <c r="E834" s="17"/>
    </row>
    <row r="835" ht="15.75" customHeight="1">
      <c r="E835" s="17"/>
    </row>
    <row r="836" ht="15.75" customHeight="1">
      <c r="E836" s="17"/>
    </row>
    <row r="837" ht="15.75" customHeight="1">
      <c r="E837" s="17"/>
    </row>
    <row r="838" ht="15.75" customHeight="1">
      <c r="E838" s="17"/>
    </row>
    <row r="839" ht="15.75" customHeight="1">
      <c r="E839" s="17"/>
    </row>
    <row r="840" ht="15.75" customHeight="1">
      <c r="E840" s="17"/>
    </row>
    <row r="841" ht="15.75" customHeight="1">
      <c r="E841" s="17"/>
    </row>
    <row r="842" ht="15.75" customHeight="1">
      <c r="E842" s="17"/>
    </row>
    <row r="843" ht="15.75" customHeight="1">
      <c r="E843" s="17"/>
    </row>
    <row r="844" ht="15.75" customHeight="1">
      <c r="E844" s="17"/>
    </row>
    <row r="845" ht="15.75" customHeight="1">
      <c r="E845" s="17"/>
    </row>
    <row r="846" ht="15.75" customHeight="1">
      <c r="E846" s="17"/>
    </row>
    <row r="847" ht="15.75" customHeight="1">
      <c r="E847" s="17"/>
    </row>
    <row r="848" ht="15.75" customHeight="1">
      <c r="E848" s="17"/>
    </row>
    <row r="849" ht="15.75" customHeight="1">
      <c r="E849" s="17"/>
    </row>
    <row r="850" ht="15.75" customHeight="1">
      <c r="E850" s="17"/>
    </row>
    <row r="851" ht="15.75" customHeight="1">
      <c r="E851" s="17"/>
    </row>
    <row r="852" ht="15.75" customHeight="1">
      <c r="E852" s="17"/>
    </row>
    <row r="853" ht="15.75" customHeight="1">
      <c r="E853" s="17"/>
    </row>
    <row r="854" ht="15.75" customHeight="1">
      <c r="E854" s="17"/>
    </row>
    <row r="855" ht="15.75" customHeight="1">
      <c r="E855" s="17"/>
    </row>
    <row r="856" ht="15.75" customHeight="1">
      <c r="E856" s="17"/>
    </row>
    <row r="857" ht="15.75" customHeight="1">
      <c r="E857" s="17"/>
    </row>
    <row r="858" ht="15.75" customHeight="1">
      <c r="E858" s="17"/>
    </row>
    <row r="859" ht="15.75" customHeight="1">
      <c r="E859" s="17"/>
    </row>
    <row r="860" ht="15.75" customHeight="1">
      <c r="E860" s="17"/>
    </row>
    <row r="861" ht="15.75" customHeight="1">
      <c r="E861" s="17"/>
    </row>
    <row r="862" ht="15.75" customHeight="1">
      <c r="E862" s="17"/>
    </row>
    <row r="863" ht="15.75" customHeight="1">
      <c r="E863" s="17"/>
    </row>
    <row r="864" ht="15.75" customHeight="1">
      <c r="E864" s="17"/>
    </row>
    <row r="865" ht="15.75" customHeight="1">
      <c r="E865" s="17"/>
    </row>
    <row r="866" ht="15.75" customHeight="1">
      <c r="E866" s="17"/>
    </row>
    <row r="867" ht="15.75" customHeight="1">
      <c r="E867" s="17"/>
    </row>
    <row r="868" ht="15.75" customHeight="1">
      <c r="E868" s="17"/>
    </row>
    <row r="869" ht="15.75" customHeight="1">
      <c r="E869" s="17"/>
    </row>
    <row r="870" ht="15.75" customHeight="1">
      <c r="E870" s="17"/>
    </row>
    <row r="871" ht="15.75" customHeight="1">
      <c r="E871" s="17"/>
    </row>
    <row r="872" ht="15.75" customHeight="1">
      <c r="E872" s="17"/>
    </row>
    <row r="873" ht="15.75" customHeight="1">
      <c r="E873" s="17"/>
    </row>
    <row r="874" ht="15.75" customHeight="1">
      <c r="E874" s="17"/>
    </row>
    <row r="875" ht="15.75" customHeight="1">
      <c r="E875" s="17"/>
    </row>
    <row r="876" ht="15.75" customHeight="1">
      <c r="E876" s="17"/>
    </row>
    <row r="877" ht="15.75" customHeight="1">
      <c r="E877" s="17"/>
    </row>
    <row r="878" ht="15.75" customHeight="1">
      <c r="E878" s="17"/>
    </row>
    <row r="879" ht="15.75" customHeight="1">
      <c r="E879" s="17"/>
    </row>
    <row r="880" ht="15.75" customHeight="1">
      <c r="E880" s="17"/>
    </row>
    <row r="881" ht="15.75" customHeight="1">
      <c r="E881" s="17"/>
    </row>
    <row r="882" ht="15.75" customHeight="1">
      <c r="E882" s="17"/>
    </row>
    <row r="883" ht="15.75" customHeight="1">
      <c r="E883" s="17"/>
    </row>
    <row r="884" ht="15.75" customHeight="1">
      <c r="E884" s="17"/>
    </row>
    <row r="885" ht="15.75" customHeight="1">
      <c r="E885" s="17"/>
    </row>
    <row r="886" ht="15.75" customHeight="1">
      <c r="E886" s="17"/>
    </row>
    <row r="887" ht="15.75" customHeight="1">
      <c r="E887" s="17"/>
    </row>
    <row r="888" ht="15.75" customHeight="1">
      <c r="E888" s="17"/>
    </row>
    <row r="889" ht="15.75" customHeight="1">
      <c r="E889" s="17"/>
    </row>
    <row r="890" ht="15.75" customHeight="1">
      <c r="E890" s="17"/>
    </row>
    <row r="891" ht="15.75" customHeight="1">
      <c r="E891" s="17"/>
    </row>
    <row r="892" ht="15.75" customHeight="1">
      <c r="E892" s="17"/>
    </row>
    <row r="893" ht="15.75" customHeight="1">
      <c r="E893" s="17"/>
    </row>
    <row r="894" ht="15.75" customHeight="1">
      <c r="E894" s="17"/>
    </row>
    <row r="895" ht="15.75" customHeight="1">
      <c r="E895" s="17"/>
    </row>
    <row r="896" ht="15.75" customHeight="1">
      <c r="E896" s="17"/>
    </row>
    <row r="897" ht="15.75" customHeight="1">
      <c r="E897" s="17"/>
    </row>
    <row r="898" ht="15.75" customHeight="1">
      <c r="E898" s="17"/>
    </row>
    <row r="899" ht="15.75" customHeight="1">
      <c r="E899" s="17"/>
    </row>
    <row r="900" ht="15.75" customHeight="1">
      <c r="E900" s="17"/>
    </row>
    <row r="901" ht="15.75" customHeight="1">
      <c r="E901" s="17"/>
    </row>
    <row r="902" ht="15.75" customHeight="1">
      <c r="E902" s="17"/>
    </row>
    <row r="903" ht="15.75" customHeight="1">
      <c r="E903" s="17"/>
    </row>
    <row r="904" ht="15.75" customHeight="1">
      <c r="E904" s="17"/>
    </row>
    <row r="905" ht="15.75" customHeight="1">
      <c r="E905" s="17"/>
    </row>
    <row r="906" ht="15.75" customHeight="1">
      <c r="E906" s="17"/>
    </row>
    <row r="907" ht="15.75" customHeight="1">
      <c r="E907" s="17"/>
    </row>
    <row r="908" ht="15.75" customHeight="1">
      <c r="E908" s="17"/>
    </row>
    <row r="909" ht="15.75" customHeight="1">
      <c r="E909" s="17"/>
    </row>
    <row r="910" ht="15.75" customHeight="1">
      <c r="E910" s="17"/>
    </row>
    <row r="911" ht="15.75" customHeight="1">
      <c r="E911" s="17"/>
    </row>
    <row r="912" ht="15.75" customHeight="1">
      <c r="E912" s="17"/>
    </row>
    <row r="913" ht="15.75" customHeight="1">
      <c r="E913" s="17"/>
    </row>
    <row r="914" ht="15.75" customHeight="1">
      <c r="E914" s="17"/>
    </row>
    <row r="915" ht="15.75" customHeight="1">
      <c r="E915" s="17"/>
    </row>
    <row r="916" ht="15.75" customHeight="1">
      <c r="E916" s="17"/>
    </row>
    <row r="917" ht="15.75" customHeight="1">
      <c r="E917" s="17"/>
    </row>
    <row r="918" ht="15.75" customHeight="1">
      <c r="E918" s="17"/>
    </row>
    <row r="919" ht="15.75" customHeight="1">
      <c r="E919" s="17"/>
    </row>
    <row r="920" ht="15.75" customHeight="1">
      <c r="E920" s="17"/>
    </row>
    <row r="921" ht="15.75" customHeight="1">
      <c r="E921" s="17"/>
    </row>
    <row r="922" ht="15.75" customHeight="1">
      <c r="E922" s="17"/>
    </row>
    <row r="923" ht="15.75" customHeight="1">
      <c r="E923" s="17"/>
    </row>
    <row r="924" ht="15.75" customHeight="1">
      <c r="E924" s="17"/>
    </row>
    <row r="925" ht="15.75" customHeight="1">
      <c r="E925" s="17"/>
    </row>
    <row r="926" ht="15.75" customHeight="1">
      <c r="E926" s="17"/>
    </row>
    <row r="927" ht="15.75" customHeight="1">
      <c r="E927" s="17"/>
    </row>
    <row r="928" ht="15.75" customHeight="1">
      <c r="E928" s="17"/>
    </row>
    <row r="929" ht="15.75" customHeight="1">
      <c r="E929" s="17"/>
    </row>
    <row r="930" ht="15.75" customHeight="1">
      <c r="E930" s="17"/>
    </row>
    <row r="931" ht="15.75" customHeight="1">
      <c r="E931" s="17"/>
    </row>
    <row r="932" ht="15.75" customHeight="1">
      <c r="E932" s="17"/>
    </row>
    <row r="933" ht="15.75" customHeight="1">
      <c r="E933" s="17"/>
    </row>
    <row r="934" ht="15.75" customHeight="1">
      <c r="E934" s="17"/>
    </row>
    <row r="935" ht="15.75" customHeight="1">
      <c r="E935" s="17"/>
    </row>
    <row r="936" ht="15.75" customHeight="1">
      <c r="E936" s="17"/>
    </row>
    <row r="937" ht="15.75" customHeight="1">
      <c r="E937" s="17"/>
    </row>
    <row r="938" ht="15.75" customHeight="1">
      <c r="E938" s="17"/>
    </row>
    <row r="939" ht="15.75" customHeight="1">
      <c r="E939" s="17"/>
    </row>
    <row r="940" ht="15.75" customHeight="1">
      <c r="E940" s="17"/>
    </row>
    <row r="941" ht="15.75" customHeight="1">
      <c r="E941" s="17"/>
    </row>
    <row r="942" ht="15.75" customHeight="1">
      <c r="E942" s="17"/>
    </row>
    <row r="943" ht="15.75" customHeight="1">
      <c r="E943" s="17"/>
    </row>
    <row r="944" ht="15.75" customHeight="1">
      <c r="E944" s="17"/>
    </row>
    <row r="945" ht="15.75" customHeight="1">
      <c r="E945" s="17"/>
    </row>
    <row r="946" ht="15.75" customHeight="1">
      <c r="E946" s="17"/>
    </row>
    <row r="947" ht="15.75" customHeight="1">
      <c r="E947" s="17"/>
    </row>
    <row r="948" ht="15.75" customHeight="1">
      <c r="E948" s="17"/>
    </row>
    <row r="949" ht="15.75" customHeight="1">
      <c r="E949" s="17"/>
    </row>
    <row r="950" ht="15.75" customHeight="1">
      <c r="E950" s="17"/>
    </row>
    <row r="951" ht="15.75" customHeight="1">
      <c r="E951" s="17"/>
    </row>
    <row r="952" ht="15.75" customHeight="1">
      <c r="E952" s="17"/>
    </row>
    <row r="953" ht="15.75" customHeight="1">
      <c r="E953" s="17"/>
    </row>
    <row r="954" ht="15.75" customHeight="1">
      <c r="E954" s="17"/>
    </row>
    <row r="955" ht="15.75" customHeight="1">
      <c r="E955" s="17"/>
    </row>
    <row r="956" ht="15.75" customHeight="1">
      <c r="E956" s="17"/>
    </row>
    <row r="957" ht="15.75" customHeight="1">
      <c r="E957" s="17"/>
    </row>
    <row r="958" ht="15.75" customHeight="1">
      <c r="E958" s="17"/>
    </row>
    <row r="959" ht="15.75" customHeight="1">
      <c r="E959" s="17"/>
    </row>
    <row r="960" ht="15.75" customHeight="1">
      <c r="E960" s="17"/>
    </row>
    <row r="961" ht="15.75" customHeight="1">
      <c r="E961" s="17"/>
    </row>
    <row r="962" ht="15.75" customHeight="1">
      <c r="E962" s="17"/>
    </row>
    <row r="963" ht="15.75" customHeight="1">
      <c r="E963" s="17"/>
    </row>
    <row r="964" ht="15.75" customHeight="1">
      <c r="E964" s="17"/>
    </row>
    <row r="965" ht="15.75" customHeight="1">
      <c r="E965" s="17"/>
    </row>
    <row r="966" ht="15.75" customHeight="1">
      <c r="E966" s="17"/>
    </row>
    <row r="967" ht="15.75" customHeight="1">
      <c r="E967" s="17"/>
    </row>
    <row r="968" ht="15.75" customHeight="1">
      <c r="E968" s="17"/>
    </row>
    <row r="969" ht="15.75" customHeight="1">
      <c r="E969" s="17"/>
    </row>
    <row r="970" ht="15.75" customHeight="1">
      <c r="E970" s="17"/>
    </row>
    <row r="971" ht="15.75" customHeight="1">
      <c r="E971" s="17"/>
    </row>
    <row r="972" ht="15.75" customHeight="1">
      <c r="E972" s="17"/>
    </row>
    <row r="973" ht="15.75" customHeight="1">
      <c r="E973" s="17"/>
    </row>
    <row r="974" ht="15.75" customHeight="1">
      <c r="E974" s="17"/>
    </row>
    <row r="975" ht="15.75" customHeight="1">
      <c r="E975" s="17"/>
    </row>
    <row r="976" ht="15.75" customHeight="1">
      <c r="E976" s="17"/>
    </row>
    <row r="977" ht="15.75" customHeight="1">
      <c r="E977" s="17"/>
    </row>
    <row r="978" ht="15.75" customHeight="1">
      <c r="E978" s="17"/>
    </row>
    <row r="979" ht="15.75" customHeight="1">
      <c r="E979" s="17"/>
    </row>
    <row r="980" ht="15.75" customHeight="1">
      <c r="E980" s="17"/>
    </row>
    <row r="981" ht="15.75" customHeight="1">
      <c r="E981" s="17"/>
    </row>
    <row r="982" ht="15.75" customHeight="1">
      <c r="E982" s="17"/>
    </row>
    <row r="983" ht="15.75" customHeight="1">
      <c r="E983" s="17"/>
    </row>
    <row r="984" ht="15.75" customHeight="1">
      <c r="E984" s="17"/>
    </row>
    <row r="985" ht="15.75" customHeight="1">
      <c r="E985" s="17"/>
    </row>
    <row r="986" ht="15.75" customHeight="1">
      <c r="E986" s="17"/>
    </row>
    <row r="987" ht="15.75" customHeight="1">
      <c r="E987" s="17"/>
    </row>
    <row r="988" ht="15.75" customHeight="1">
      <c r="E988" s="17"/>
    </row>
    <row r="989" ht="15.75" customHeight="1">
      <c r="E989" s="17"/>
    </row>
    <row r="990" ht="15.75" customHeight="1">
      <c r="E990" s="17"/>
    </row>
    <row r="991" ht="15.75" customHeight="1">
      <c r="E991" s="17"/>
    </row>
    <row r="992" ht="15.75" customHeight="1">
      <c r="E992" s="17"/>
    </row>
    <row r="993" ht="15.75" customHeight="1">
      <c r="E993" s="17"/>
    </row>
    <row r="994" ht="15.75" customHeight="1">
      <c r="E994" s="17"/>
    </row>
    <row r="995" ht="15.75" customHeight="1">
      <c r="E995" s="17"/>
    </row>
    <row r="996" ht="15.75" customHeight="1">
      <c r="E996" s="17"/>
    </row>
    <row r="997" ht="15.75" customHeight="1">
      <c r="E997" s="17"/>
    </row>
    <row r="998" ht="15.75" customHeight="1">
      <c r="E998" s="17"/>
    </row>
    <row r="999" ht="15.75" customHeight="1">
      <c r="E999" s="17"/>
    </row>
    <row r="1000" ht="15.75" customHeight="1">
      <c r="E1000" s="17"/>
    </row>
  </sheetData>
  <autoFilter ref="$A$1:$H$125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29"/>
    <col customWidth="1" min="3" max="26" width="8.71"/>
  </cols>
  <sheetData>
    <row r="1">
      <c r="A1" s="22" t="s">
        <v>59</v>
      </c>
      <c r="B1" s="1" t="s">
        <v>553</v>
      </c>
    </row>
    <row r="2">
      <c r="A2" s="22" t="s">
        <v>179</v>
      </c>
      <c r="B2" s="1">
        <v>210.0</v>
      </c>
    </row>
    <row r="3">
      <c r="A3" s="22" t="s">
        <v>108</v>
      </c>
      <c r="B3" s="1">
        <v>165.0</v>
      </c>
    </row>
    <row r="4">
      <c r="A4" s="22" t="s">
        <v>178</v>
      </c>
      <c r="B4" s="1">
        <v>113.0</v>
      </c>
    </row>
    <row r="5">
      <c r="A5" s="22" t="s">
        <v>145</v>
      </c>
      <c r="B5" s="1">
        <v>65.0</v>
      </c>
    </row>
    <row r="6">
      <c r="A6" s="22" t="s">
        <v>119</v>
      </c>
      <c r="B6" s="1">
        <v>120.0</v>
      </c>
    </row>
    <row r="7">
      <c r="A7" s="22" t="s">
        <v>127</v>
      </c>
      <c r="B7" s="1">
        <v>102.0</v>
      </c>
    </row>
    <row r="8">
      <c r="A8" s="22" t="s">
        <v>111</v>
      </c>
      <c r="B8" s="1">
        <v>65.0</v>
      </c>
    </row>
    <row r="9">
      <c r="A9" s="22" t="s">
        <v>183</v>
      </c>
      <c r="B9" s="1">
        <v>170.0</v>
      </c>
    </row>
    <row r="10">
      <c r="A10" s="22" t="s">
        <v>109</v>
      </c>
      <c r="B10" s="1">
        <v>350.0</v>
      </c>
    </row>
    <row r="11">
      <c r="A11" s="22" t="s">
        <v>68</v>
      </c>
      <c r="B11" s="1">
        <v>165.0</v>
      </c>
    </row>
    <row r="12">
      <c r="A12" s="22" t="s">
        <v>116</v>
      </c>
      <c r="B12" s="1">
        <v>350.0</v>
      </c>
    </row>
    <row r="13">
      <c r="A13" s="22" t="s">
        <v>123</v>
      </c>
      <c r="B13" s="1">
        <v>115.0</v>
      </c>
    </row>
    <row r="14">
      <c r="A14" s="22" t="s">
        <v>240</v>
      </c>
      <c r="B14" s="1">
        <v>150.0</v>
      </c>
    </row>
    <row r="15">
      <c r="A15" s="22" t="s">
        <v>88</v>
      </c>
      <c r="B15" s="1">
        <v>120.0</v>
      </c>
    </row>
    <row r="16">
      <c r="A16" s="22" t="s">
        <v>96</v>
      </c>
      <c r="B16" s="1">
        <v>65.0</v>
      </c>
    </row>
    <row r="17">
      <c r="A17" s="22" t="s">
        <v>71</v>
      </c>
      <c r="B17" s="1">
        <v>137.0</v>
      </c>
    </row>
    <row r="18">
      <c r="A18" s="22" t="s">
        <v>254</v>
      </c>
      <c r="B18" s="1">
        <v>137.0</v>
      </c>
    </row>
    <row r="19">
      <c r="A19" s="22" t="s">
        <v>79</v>
      </c>
      <c r="B19" s="1">
        <v>240.0</v>
      </c>
    </row>
    <row r="20">
      <c r="A20" s="22" t="s">
        <v>102</v>
      </c>
      <c r="B20" s="1">
        <v>121.0</v>
      </c>
    </row>
    <row r="21" ht="15.75" customHeight="1">
      <c r="A21" s="22" t="s">
        <v>64</v>
      </c>
      <c r="B21" s="1">
        <v>127.0</v>
      </c>
    </row>
    <row r="22" ht="15.75" customHeight="1">
      <c r="A22" s="22" t="s">
        <v>199</v>
      </c>
      <c r="B22" s="1">
        <v>120.0</v>
      </c>
    </row>
    <row r="23" ht="15.75" customHeight="1">
      <c r="A23" s="22" t="s">
        <v>239</v>
      </c>
      <c r="B23" s="1">
        <v>160.0</v>
      </c>
    </row>
    <row r="24" ht="15.75" customHeight="1">
      <c r="A24" s="22" t="s">
        <v>159</v>
      </c>
      <c r="B24" s="1">
        <v>232.0</v>
      </c>
    </row>
    <row r="25" ht="15.75" customHeight="1">
      <c r="A25" s="22" t="s">
        <v>144</v>
      </c>
      <c r="B25" s="1">
        <v>113.0</v>
      </c>
    </row>
    <row r="26" ht="15.75" customHeight="1">
      <c r="A26" s="22" t="s">
        <v>90</v>
      </c>
      <c r="B26" s="1">
        <v>240.0</v>
      </c>
    </row>
    <row r="27" ht="15.75" customHeight="1">
      <c r="A27" s="22" t="s">
        <v>114</v>
      </c>
      <c r="B27" s="1">
        <v>120.0</v>
      </c>
    </row>
    <row r="28" ht="15.75" customHeight="1">
      <c r="A28" s="22" t="s">
        <v>120</v>
      </c>
      <c r="B28" s="1">
        <v>100.0</v>
      </c>
    </row>
    <row r="29" ht="15.75" customHeight="1">
      <c r="A29" s="22" t="s">
        <v>214</v>
      </c>
      <c r="B29" s="1">
        <v>490.0</v>
      </c>
    </row>
    <row r="30" ht="15.75" customHeight="1">
      <c r="A30" s="22" t="s">
        <v>101</v>
      </c>
      <c r="B30" s="1">
        <v>133.0</v>
      </c>
    </row>
    <row r="31" ht="15.75" customHeight="1">
      <c r="A31" s="22" t="s">
        <v>75</v>
      </c>
      <c r="B31" s="1">
        <v>112.0</v>
      </c>
    </row>
    <row r="32" ht="15.75" customHeight="1">
      <c r="A32" s="22" t="s">
        <v>81</v>
      </c>
      <c r="B32" s="1">
        <v>112.0</v>
      </c>
    </row>
    <row r="33" ht="15.75" customHeight="1">
      <c r="A33" s="22" t="s">
        <v>94</v>
      </c>
      <c r="B33" s="1">
        <v>110.0</v>
      </c>
    </row>
    <row r="34" ht="15.75" customHeight="1">
      <c r="A34" s="22" t="s">
        <v>136</v>
      </c>
      <c r="B34" s="1">
        <v>115.0</v>
      </c>
    </row>
    <row r="35" ht="15.75" customHeight="1">
      <c r="A35" s="22" t="s">
        <v>66</v>
      </c>
      <c r="B35" s="1">
        <v>150.0</v>
      </c>
    </row>
    <row r="36" ht="15.75" customHeight="1">
      <c r="A36" s="22" t="s">
        <v>67</v>
      </c>
      <c r="B36" s="1">
        <v>100.0</v>
      </c>
    </row>
    <row r="37" ht="15.75" customHeight="1">
      <c r="A37" s="22" t="s">
        <v>169</v>
      </c>
      <c r="B37" s="1">
        <v>30.0</v>
      </c>
    </row>
    <row r="38" ht="15.75" customHeight="1">
      <c r="A38" s="22" t="s">
        <v>191</v>
      </c>
      <c r="B38" s="1">
        <v>115.0</v>
      </c>
    </row>
    <row r="39" ht="15.75" customHeight="1">
      <c r="A39" s="22" t="s">
        <v>106</v>
      </c>
      <c r="B39" s="1">
        <v>240.0</v>
      </c>
    </row>
    <row r="40" ht="15.75" customHeight="1">
      <c r="A40" s="22" t="s">
        <v>86</v>
      </c>
      <c r="B40" s="1">
        <v>350.0</v>
      </c>
    </row>
    <row r="41" ht="15.75" customHeight="1">
      <c r="A41" s="22" t="s">
        <v>122</v>
      </c>
      <c r="B41" s="1">
        <v>140.0</v>
      </c>
    </row>
    <row r="42" ht="15.75" customHeight="1">
      <c r="A42" s="22" t="s">
        <v>166</v>
      </c>
      <c r="B42" s="1">
        <v>140.0</v>
      </c>
    </row>
    <row r="43" ht="15.75" customHeight="1">
      <c r="A43" s="22" t="s">
        <v>69</v>
      </c>
      <c r="B43" s="1">
        <v>350.0</v>
      </c>
    </row>
    <row r="44" ht="15.75" customHeight="1">
      <c r="A44" s="22" t="s">
        <v>117</v>
      </c>
      <c r="B44" s="1">
        <v>350.0</v>
      </c>
    </row>
    <row r="45" ht="15.75" customHeight="1">
      <c r="A45" s="22" t="s">
        <v>152</v>
      </c>
      <c r="B45" s="1">
        <v>165.0</v>
      </c>
    </row>
    <row r="46" ht="15.75" customHeight="1">
      <c r="A46" s="22" t="s">
        <v>147</v>
      </c>
      <c r="B46" s="1">
        <v>165.0</v>
      </c>
    </row>
    <row r="47" ht="15.75" customHeight="1">
      <c r="A47" s="22" t="s">
        <v>103</v>
      </c>
      <c r="B47" s="1">
        <v>290.0</v>
      </c>
    </row>
    <row r="48" ht="15.75" customHeight="1">
      <c r="A48" s="22" t="s">
        <v>104</v>
      </c>
      <c r="B48" s="1">
        <v>290.0</v>
      </c>
    </row>
    <row r="49" ht="15.75" customHeight="1">
      <c r="A49" s="22" t="s">
        <v>105</v>
      </c>
      <c r="B49" s="1">
        <v>290.0</v>
      </c>
    </row>
    <row r="50" ht="15.75" customHeight="1">
      <c r="A50" s="22" t="s">
        <v>77</v>
      </c>
      <c r="B50" s="1">
        <v>112.0</v>
      </c>
    </row>
    <row r="51" ht="15.75" customHeight="1">
      <c r="A51" s="22" t="s">
        <v>247</v>
      </c>
      <c r="B51" s="1">
        <v>552.0</v>
      </c>
    </row>
    <row r="52" ht="15.75" customHeight="1">
      <c r="A52" s="22" t="s">
        <v>184</v>
      </c>
      <c r="B52" s="1">
        <v>500.0</v>
      </c>
    </row>
    <row r="53" ht="15.75" customHeight="1">
      <c r="A53" s="22" t="s">
        <v>168</v>
      </c>
      <c r="B53" s="1">
        <v>500.0</v>
      </c>
    </row>
    <row r="54" ht="15.75" customHeight="1">
      <c r="A54" s="22" t="s">
        <v>70</v>
      </c>
      <c r="B54" s="1">
        <v>500.0</v>
      </c>
    </row>
    <row r="55" ht="15.75" customHeight="1">
      <c r="A55" s="22" t="s">
        <v>185</v>
      </c>
      <c r="B55" s="1">
        <v>170.0</v>
      </c>
    </row>
    <row r="56" ht="15.75" customHeight="1">
      <c r="A56" s="22" t="s">
        <v>133</v>
      </c>
      <c r="B56" s="1">
        <v>500.0</v>
      </c>
    </row>
    <row r="57" ht="15.75" customHeight="1">
      <c r="A57" s="22" t="s">
        <v>236</v>
      </c>
      <c r="B57" s="1">
        <v>250.0</v>
      </c>
    </row>
    <row r="58" ht="15.75" customHeight="1">
      <c r="A58" s="22" t="s">
        <v>70</v>
      </c>
      <c r="B58" s="1">
        <v>500.0</v>
      </c>
    </row>
    <row r="59" ht="15.75" customHeight="1">
      <c r="A59" s="22" t="s">
        <v>83</v>
      </c>
      <c r="B59" s="1">
        <v>240.0</v>
      </c>
    </row>
    <row r="60" ht="15.75" customHeight="1">
      <c r="A60" s="22" t="s">
        <v>192</v>
      </c>
      <c r="B60" s="1">
        <v>130.0</v>
      </c>
    </row>
    <row r="61" ht="15.75" customHeight="1">
      <c r="A61" s="22" t="s">
        <v>98</v>
      </c>
      <c r="B61" s="1">
        <v>600.0</v>
      </c>
    </row>
    <row r="62" ht="15.75" customHeight="1">
      <c r="A62" s="22" t="s">
        <v>99</v>
      </c>
      <c r="B62" s="1">
        <v>600.0</v>
      </c>
    </row>
    <row r="63" ht="15.75" customHeight="1">
      <c r="A63" s="22" t="s">
        <v>150</v>
      </c>
      <c r="B63" s="1">
        <v>210.0</v>
      </c>
    </row>
    <row r="64" ht="15.75" customHeight="1">
      <c r="A64" s="22" t="s">
        <v>141</v>
      </c>
      <c r="B64" s="1">
        <v>210.0</v>
      </c>
    </row>
    <row r="65" ht="15.75" customHeight="1">
      <c r="A65" s="22" t="s">
        <v>121</v>
      </c>
      <c r="B65" s="1">
        <v>210.0</v>
      </c>
    </row>
    <row r="66" ht="15.75" customHeight="1">
      <c r="A66" s="22" t="s">
        <v>148</v>
      </c>
      <c r="B66" s="1">
        <v>300.0</v>
      </c>
    </row>
    <row r="67" ht="15.75" customHeight="1">
      <c r="A67" s="22" t="s">
        <v>73</v>
      </c>
      <c r="B67" s="1">
        <v>10.0</v>
      </c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3" width="12.14"/>
    <col customWidth="1" min="4" max="4" width="16.71"/>
    <col customWidth="1" min="5" max="5" width="11.86"/>
    <col customWidth="1" min="6" max="6" width="16.43"/>
    <col customWidth="1" min="7" max="7" width="12.14"/>
    <col customWidth="1" min="8" max="8" width="16.71"/>
    <col customWidth="1" min="9" max="9" width="12.14"/>
    <col customWidth="1" min="10" max="10" width="16.71"/>
    <col customWidth="1" min="11" max="11" width="11.14"/>
    <col customWidth="1" min="12" max="12" width="15.71"/>
    <col customWidth="1" min="13" max="13" width="11.29"/>
    <col customWidth="1" min="14" max="14" width="15.86"/>
    <col customWidth="1" min="15" max="15" width="11.0"/>
    <col customWidth="1" min="16" max="16" width="15.57"/>
    <col customWidth="1" min="17" max="17" width="11.29"/>
    <col customWidth="1" min="18" max="18" width="15.86"/>
    <col customWidth="1" min="19" max="19" width="11.29"/>
    <col customWidth="1" min="20" max="20" width="15.86"/>
    <col customWidth="1" min="21" max="26" width="8.71"/>
  </cols>
  <sheetData>
    <row r="1">
      <c r="A1" s="34" t="s">
        <v>38</v>
      </c>
      <c r="B1" s="34" t="s">
        <v>39</v>
      </c>
      <c r="C1" s="34" t="s">
        <v>40</v>
      </c>
      <c r="D1" s="34" t="s">
        <v>41</v>
      </c>
      <c r="E1" s="34" t="s">
        <v>42</v>
      </c>
      <c r="F1" s="34" t="s">
        <v>43</v>
      </c>
      <c r="G1" s="34" t="s">
        <v>44</v>
      </c>
      <c r="H1" s="34" t="s">
        <v>45</v>
      </c>
      <c r="I1" s="34" t="s">
        <v>46</v>
      </c>
      <c r="J1" s="34" t="s">
        <v>47</v>
      </c>
      <c r="K1" s="34" t="s">
        <v>48</v>
      </c>
      <c r="L1" s="34" t="s">
        <v>49</v>
      </c>
      <c r="M1" s="34" t="s">
        <v>50</v>
      </c>
      <c r="N1" s="34" t="s">
        <v>51</v>
      </c>
      <c r="O1" s="34" t="s">
        <v>52</v>
      </c>
      <c r="P1" s="34" t="s">
        <v>53</v>
      </c>
      <c r="Q1" s="34" t="s">
        <v>54</v>
      </c>
      <c r="R1" s="34" t="s">
        <v>55</v>
      </c>
      <c r="S1" s="34" t="s">
        <v>56</v>
      </c>
      <c r="T1" s="34" t="s">
        <v>57</v>
      </c>
    </row>
    <row r="2">
      <c r="A2" s="35">
        <v>29.5</v>
      </c>
      <c r="B2" s="35">
        <v>23.6</v>
      </c>
      <c r="C2" s="35">
        <v>33.0</v>
      </c>
      <c r="D2" s="35">
        <v>28.3</v>
      </c>
      <c r="E2" s="35">
        <v>40.1</v>
      </c>
      <c r="F2" s="35">
        <v>38.9</v>
      </c>
      <c r="G2" s="35">
        <v>45.4</v>
      </c>
      <c r="H2" s="35">
        <v>44.8</v>
      </c>
      <c r="I2" s="35">
        <v>56.6</v>
      </c>
      <c r="J2" s="35">
        <v>55.5</v>
      </c>
      <c r="K2" s="35">
        <v>13.6</v>
      </c>
      <c r="L2" s="35">
        <v>23.6</v>
      </c>
      <c r="M2" s="35">
        <v>20.5</v>
      </c>
      <c r="N2" s="35">
        <v>28.3</v>
      </c>
      <c r="O2" s="35">
        <v>31.9</v>
      </c>
      <c r="P2" s="35">
        <v>38.9</v>
      </c>
      <c r="Q2" s="35">
        <v>41.3</v>
      </c>
      <c r="R2" s="35">
        <v>44.8</v>
      </c>
      <c r="S2" s="35">
        <v>50.7</v>
      </c>
      <c r="T2" s="35">
        <v>55.5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