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arat\Documents\Ebook conestoga\Sem-4\Capstone\SunEmpowerServices\static\files\"/>
    </mc:Choice>
  </mc:AlternateContent>
  <xr:revisionPtr revIDLastSave="0" documentId="13_ncr:1_{D80E859D-86BD-460A-A0B3-1151F44F0F65}" xr6:coauthVersionLast="47" xr6:coauthVersionMax="47" xr10:uidLastSave="{00000000-0000-0000-0000-000000000000}"/>
  <bookViews>
    <workbookView xWindow="-120" yWindow="-120" windowWidth="29040" windowHeight="15720" firstSheet="10" xr2:uid="{00000000-000D-0000-FFFF-FFFF00000000}"/>
  </bookViews>
  <sheets>
    <sheet name="Feasibility" sheetId="1" r:id="rId1"/>
    <sheet name="List of costs" sheetId="11" r:id="rId2"/>
    <sheet name="Marketing" sheetId="10" r:id="rId3"/>
    <sheet name="Loan Default Mgt" sheetId="9" r:id="rId4"/>
    <sheet name="Rent &amp; Utilities" sheetId="8" r:id="rId5"/>
    <sheet name="CCA" sheetId="5" r:id="rId6"/>
    <sheet name="Initial setup costs" sheetId="6" r:id="rId7"/>
    <sheet name="Sheet 1" sheetId="4" state="hidden" r:id="rId8"/>
    <sheet name="Salaries" sheetId="2" r:id="rId9"/>
    <sheet name="Income" sheetId="3" r:id="rId10"/>
    <sheet name="Revenue Calculation" sheetId="7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7" l="1"/>
  <c r="I39" i="7"/>
  <c r="I37" i="7"/>
  <c r="I36" i="7"/>
  <c r="I35" i="7"/>
  <c r="I34" i="7"/>
  <c r="I32" i="7"/>
  <c r="I31" i="7"/>
  <c r="I30" i="7"/>
  <c r="I29" i="7"/>
  <c r="R9" i="5"/>
  <c r="S9" i="5"/>
  <c r="T9" i="5"/>
  <c r="U9" i="5"/>
  <c r="V9" i="5"/>
  <c r="D9" i="5"/>
  <c r="E9" i="5"/>
  <c r="F9" i="5"/>
  <c r="G9" i="5"/>
  <c r="H9" i="5"/>
  <c r="I9" i="5"/>
  <c r="R6" i="5"/>
  <c r="C9" i="5"/>
  <c r="B8" i="5"/>
  <c r="B12" i="5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D10" i="2"/>
  <c r="C11" i="8"/>
  <c r="C4" i="8"/>
  <c r="C3" i="8"/>
  <c r="G66" i="7"/>
  <c r="J65" i="7"/>
  <c r="F48" i="7"/>
  <c r="B5" i="5"/>
  <c r="B4" i="5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B34" i="1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B3" i="9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17" i="7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B7" i="5"/>
  <c r="F45" i="7"/>
  <c r="F43" i="7"/>
  <c r="C136" i="7"/>
  <c r="E67" i="7"/>
  <c r="F67" i="7"/>
  <c r="G67" i="7"/>
  <c r="H67" i="7"/>
  <c r="E45" i="7"/>
  <c r="G45" i="7"/>
  <c r="I45" i="7"/>
  <c r="H45" i="7" s="1"/>
  <c r="J45" i="7"/>
  <c r="K45" i="7"/>
  <c r="B19" i="10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K43" i="7"/>
  <c r="G48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E92" i="7"/>
  <c r="G92" i="7" s="1"/>
  <c r="E93" i="7"/>
  <c r="G93" i="7" s="1"/>
  <c r="E94" i="7"/>
  <c r="G94" i="7" s="1"/>
  <c r="E95" i="7"/>
  <c r="G95" i="7" s="1"/>
  <c r="E96" i="7"/>
  <c r="G96" i="7" s="1"/>
  <c r="E97" i="7"/>
  <c r="G97" i="7" s="1"/>
  <c r="E98" i="7"/>
  <c r="G98" i="7" s="1"/>
  <c r="E99" i="7"/>
  <c r="G99" i="7" s="1"/>
  <c r="E100" i="7"/>
  <c r="G100" i="7" s="1"/>
  <c r="E101" i="7"/>
  <c r="G101" i="7" s="1"/>
  <c r="E102" i="7"/>
  <c r="G102" i="7" s="1"/>
  <c r="E103" i="7"/>
  <c r="G103" i="7" s="1"/>
  <c r="E104" i="7"/>
  <c r="G104" i="7" s="1"/>
  <c r="E105" i="7"/>
  <c r="G105" i="7" s="1"/>
  <c r="E106" i="7"/>
  <c r="G106" i="7" s="1"/>
  <c r="E107" i="7"/>
  <c r="G107" i="7" s="1"/>
  <c r="E108" i="7"/>
  <c r="G108" i="7" s="1"/>
  <c r="E109" i="7"/>
  <c r="G109" i="7" s="1"/>
  <c r="E110" i="7"/>
  <c r="G110" i="7" s="1"/>
  <c r="E111" i="7"/>
  <c r="G111" i="7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H112" i="7"/>
  <c r="H49" i="7"/>
  <c r="E118" i="7" s="1"/>
  <c r="H50" i="7"/>
  <c r="E119" i="7" s="1"/>
  <c r="H51" i="7"/>
  <c r="E120" i="7" s="1"/>
  <c r="H52" i="7"/>
  <c r="E121" i="7" s="1"/>
  <c r="H53" i="7"/>
  <c r="E122" i="7" s="1"/>
  <c r="H54" i="7"/>
  <c r="E123" i="7" s="1"/>
  <c r="H55" i="7"/>
  <c r="E124" i="7" s="1"/>
  <c r="H56" i="7"/>
  <c r="E125" i="7" s="1"/>
  <c r="H57" i="7"/>
  <c r="E126" i="7" s="1"/>
  <c r="H58" i="7"/>
  <c r="E127" i="7" s="1"/>
  <c r="H59" i="7"/>
  <c r="E128" i="7" s="1"/>
  <c r="H60" i="7"/>
  <c r="E129" i="7" s="1"/>
  <c r="H61" i="7"/>
  <c r="E130" i="7" s="1"/>
  <c r="H62" i="7"/>
  <c r="E131" i="7" s="1"/>
  <c r="H63" i="7"/>
  <c r="E132" i="7" s="1"/>
  <c r="H64" i="7"/>
  <c r="E133" i="7" s="1"/>
  <c r="H65" i="7"/>
  <c r="E134" i="7" s="1"/>
  <c r="H66" i="7"/>
  <c r="E135" i="7" s="1"/>
  <c r="H48" i="7"/>
  <c r="E117" i="7" s="1"/>
  <c r="D71" i="7"/>
  <c r="C118" i="7" s="1"/>
  <c r="D72" i="7"/>
  <c r="C119" i="7" s="1"/>
  <c r="D73" i="7"/>
  <c r="C120" i="7" s="1"/>
  <c r="D74" i="7"/>
  <c r="C121" i="7" s="1"/>
  <c r="D75" i="7"/>
  <c r="C122" i="7" s="1"/>
  <c r="D76" i="7"/>
  <c r="C123" i="7" s="1"/>
  <c r="D77" i="7"/>
  <c r="C124" i="7" s="1"/>
  <c r="D78" i="7"/>
  <c r="C125" i="7" s="1"/>
  <c r="D79" i="7"/>
  <c r="C126" i="7" s="1"/>
  <c r="D80" i="7"/>
  <c r="C127" i="7" s="1"/>
  <c r="D81" i="7"/>
  <c r="C128" i="7" s="1"/>
  <c r="D82" i="7"/>
  <c r="C129" i="7" s="1"/>
  <c r="D83" i="7"/>
  <c r="C130" i="7" s="1"/>
  <c r="D84" i="7"/>
  <c r="C131" i="7" s="1"/>
  <c r="G131" i="7" s="1"/>
  <c r="D85" i="7"/>
  <c r="C132" i="7" s="1"/>
  <c r="G132" i="7" s="1"/>
  <c r="D86" i="7"/>
  <c r="C133" i="7" s="1"/>
  <c r="G133" i="7" s="1"/>
  <c r="D87" i="7"/>
  <c r="C134" i="7" s="1"/>
  <c r="G134" i="7" s="1"/>
  <c r="D88" i="7"/>
  <c r="C135" i="7" s="1"/>
  <c r="G135" i="7" s="1"/>
  <c r="D70" i="7"/>
  <c r="C117" i="7" s="1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J43" i="7"/>
  <c r="F44" i="7"/>
  <c r="I26" i="7"/>
  <c r="H26" i="7" s="1"/>
  <c r="I27" i="7"/>
  <c r="H27" i="7" s="1"/>
  <c r="I28" i="7"/>
  <c r="H28" i="7" s="1"/>
  <c r="H29" i="7"/>
  <c r="H30" i="7"/>
  <c r="H31" i="7"/>
  <c r="H32" i="7"/>
  <c r="I33" i="7"/>
  <c r="H33" i="7" s="1"/>
  <c r="H34" i="7"/>
  <c r="H35" i="7"/>
  <c r="H36" i="7"/>
  <c r="H37" i="7"/>
  <c r="I38" i="7"/>
  <c r="H38" i="7" s="1"/>
  <c r="H39" i="7"/>
  <c r="I40" i="7"/>
  <c r="H40" i="7" s="1"/>
  <c r="I41" i="7"/>
  <c r="H41" i="7" s="1"/>
  <c r="I42" i="7"/>
  <c r="H42" i="7" s="1"/>
  <c r="I43" i="7"/>
  <c r="H43" i="7" s="1"/>
  <c r="I44" i="7"/>
  <c r="H44" i="7" s="1"/>
  <c r="I25" i="7"/>
  <c r="H25" i="7" s="1"/>
  <c r="E25" i="7"/>
  <c r="G25" i="7" s="1"/>
  <c r="E26" i="7"/>
  <c r="G26" i="7" s="1"/>
  <c r="E27" i="7"/>
  <c r="G27" i="7" s="1"/>
  <c r="E28" i="7"/>
  <c r="G28" i="7" s="1"/>
  <c r="E29" i="7"/>
  <c r="G29" i="7" s="1"/>
  <c r="E30" i="7"/>
  <c r="G30" i="7" s="1"/>
  <c r="E31" i="7"/>
  <c r="G31" i="7" s="1"/>
  <c r="E32" i="7"/>
  <c r="G32" i="7" s="1"/>
  <c r="E33" i="7"/>
  <c r="G33" i="7" s="1"/>
  <c r="E34" i="7"/>
  <c r="G34" i="7" s="1"/>
  <c r="E35" i="7"/>
  <c r="G35" i="7" s="1"/>
  <c r="E36" i="7"/>
  <c r="G36" i="7" s="1"/>
  <c r="E37" i="7"/>
  <c r="G37" i="7" s="1"/>
  <c r="E38" i="7"/>
  <c r="G38" i="7" s="1"/>
  <c r="E39" i="7"/>
  <c r="G39" i="7" s="1"/>
  <c r="E40" i="7"/>
  <c r="G40" i="7" s="1"/>
  <c r="E41" i="7"/>
  <c r="G41" i="7" s="1"/>
  <c r="E42" i="7"/>
  <c r="G42" i="7" s="1"/>
  <c r="E43" i="7"/>
  <c r="G43" i="7" s="1"/>
  <c r="E44" i="7"/>
  <c r="G44" i="7" s="1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48" i="7"/>
  <c r="C11" i="1"/>
  <c r="D11" i="1" s="1"/>
  <c r="E11" i="1" s="1"/>
  <c r="F11" i="1" s="1"/>
  <c r="G11" i="1" s="1"/>
  <c r="B3" i="5"/>
  <c r="D19" i="2"/>
  <c r="AD13" i="5"/>
  <c r="AE13" i="5"/>
  <c r="AF13" i="5"/>
  <c r="AG13" i="5"/>
  <c r="AH13" i="5"/>
  <c r="AI13" i="5"/>
  <c r="AJ13" i="5"/>
  <c r="AK13" i="5"/>
  <c r="AL13" i="5"/>
  <c r="AM13" i="5"/>
  <c r="AN13" i="5"/>
  <c r="B11" i="5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F11" i="5"/>
  <c r="G11" i="5"/>
  <c r="D11" i="5"/>
  <c r="E11" i="5"/>
  <c r="C11" i="5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E15" i="8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D10" i="1"/>
  <c r="D3" i="8"/>
  <c r="D4" i="8"/>
  <c r="E4" i="8" s="1"/>
  <c r="F4" i="8" s="1"/>
  <c r="G4" i="8" s="1"/>
  <c r="H4" i="8" s="1"/>
  <c r="D14" i="2"/>
  <c r="D13" i="2"/>
  <c r="D12" i="2"/>
  <c r="D11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E11" i="2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E14" i="2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B24" i="2"/>
  <c r="E10" i="2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D2" i="2"/>
  <c r="C10" i="5"/>
  <c r="B19" i="5"/>
  <c r="C6" i="5"/>
  <c r="C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44" i="1"/>
  <c r="B10" i="1"/>
  <c r="C44" i="1"/>
  <c r="C45" i="1" s="1"/>
  <c r="D44" i="1"/>
  <c r="D45" i="1" s="1"/>
  <c r="E44" i="1"/>
  <c r="E45" i="1" s="1"/>
  <c r="F44" i="1"/>
  <c r="F45" i="1" s="1"/>
  <c r="G44" i="1"/>
  <c r="G45" i="1" s="1"/>
  <c r="H44" i="1"/>
  <c r="H45" i="1" s="1"/>
  <c r="I44" i="1"/>
  <c r="I45" i="1" s="1"/>
  <c r="J44" i="1"/>
  <c r="J45" i="1" s="1"/>
  <c r="K44" i="1"/>
  <c r="K45" i="1" s="1"/>
  <c r="L44" i="1"/>
  <c r="L45" i="1" s="1"/>
  <c r="M44" i="1"/>
  <c r="M45" i="1" s="1"/>
  <c r="N44" i="1"/>
  <c r="N45" i="1" s="1"/>
  <c r="O44" i="1"/>
  <c r="O45" i="1" s="1"/>
  <c r="P44" i="1"/>
  <c r="P45" i="1" s="1"/>
  <c r="Q44" i="1"/>
  <c r="Q45" i="1" s="1"/>
  <c r="R44" i="1"/>
  <c r="R45" i="1" s="1"/>
  <c r="S44" i="1"/>
  <c r="S45" i="1" s="1"/>
  <c r="T44" i="1"/>
  <c r="T45" i="1" s="1"/>
  <c r="U44" i="1"/>
  <c r="U45" i="1" s="1"/>
  <c r="O8" i="5" l="1"/>
  <c r="P8" i="5" s="1"/>
  <c r="C4" i="5"/>
  <c r="M5" i="5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3" i="5"/>
  <c r="D6" i="5"/>
  <c r="H7" i="5"/>
  <c r="I7" i="5" s="1"/>
  <c r="J44" i="7"/>
  <c r="K44" i="7"/>
  <c r="J42" i="7"/>
  <c r="K42" i="7"/>
  <c r="J41" i="7"/>
  <c r="K41" i="7"/>
  <c r="J40" i="7"/>
  <c r="J39" i="7"/>
  <c r="K39" i="7"/>
  <c r="J38" i="7"/>
  <c r="K38" i="7"/>
  <c r="J37" i="7"/>
  <c r="K37" i="7"/>
  <c r="J36" i="7"/>
  <c r="K36" i="7"/>
  <c r="J35" i="7"/>
  <c r="K35" i="7"/>
  <c r="J34" i="7"/>
  <c r="K34" i="7"/>
  <c r="J33" i="7"/>
  <c r="K33" i="7"/>
  <c r="J32" i="7"/>
  <c r="K32" i="7"/>
  <c r="J31" i="7"/>
  <c r="K31" i="7"/>
  <c r="J30" i="7"/>
  <c r="K30" i="7"/>
  <c r="J29" i="7"/>
  <c r="K29" i="7"/>
  <c r="J28" i="7"/>
  <c r="K28" i="7"/>
  <c r="J27" i="7"/>
  <c r="K27" i="7"/>
  <c r="J26" i="7"/>
  <c r="K26" i="7"/>
  <c r="D136" i="7"/>
  <c r="E136" i="7"/>
  <c r="J25" i="7"/>
  <c r="K25" i="7"/>
  <c r="D10" i="5"/>
  <c r="E10" i="5"/>
  <c r="C12" i="5"/>
  <c r="B45" i="1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F112" i="7"/>
  <c r="E112" i="7"/>
  <c r="G112" i="7" s="1"/>
  <c r="E70" i="7"/>
  <c r="F70" i="7"/>
  <c r="E88" i="7"/>
  <c r="F88" i="7"/>
  <c r="E87" i="7"/>
  <c r="F87" i="7"/>
  <c r="E86" i="7"/>
  <c r="F86" i="7"/>
  <c r="E85" i="7"/>
  <c r="F85" i="7"/>
  <c r="E84" i="7"/>
  <c r="F84" i="7"/>
  <c r="E83" i="7"/>
  <c r="F83" i="7"/>
  <c r="E82" i="7"/>
  <c r="F82" i="7"/>
  <c r="E81" i="7"/>
  <c r="F81" i="7"/>
  <c r="E80" i="7"/>
  <c r="F80" i="7"/>
  <c r="E79" i="7"/>
  <c r="F79" i="7"/>
  <c r="E78" i="7"/>
  <c r="F78" i="7"/>
  <c r="E77" i="7"/>
  <c r="F77" i="7"/>
  <c r="E76" i="7"/>
  <c r="F76" i="7"/>
  <c r="E75" i="7"/>
  <c r="F75" i="7"/>
  <c r="E74" i="7"/>
  <c r="F74" i="7"/>
  <c r="E73" i="7"/>
  <c r="F73" i="7"/>
  <c r="E72" i="7"/>
  <c r="F72" i="7"/>
  <c r="E71" i="7"/>
  <c r="F71" i="7"/>
  <c r="D4" i="5"/>
  <c r="C19" i="5"/>
  <c r="C6" i="8"/>
  <c r="D6" i="8"/>
  <c r="E3" i="8"/>
  <c r="D24" i="2"/>
  <c r="E2" i="2"/>
  <c r="E6" i="5" l="1"/>
  <c r="N5" i="5"/>
  <c r="E4" i="5"/>
  <c r="D3" i="5"/>
  <c r="E3" i="5" s="1"/>
  <c r="D12" i="5"/>
  <c r="D19" i="5"/>
  <c r="B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E6" i="8"/>
  <c r="C46" i="1"/>
  <c r="E24" i="2"/>
  <c r="F2" i="2"/>
  <c r="M47" i="1"/>
  <c r="M48" i="1" s="1"/>
  <c r="O5" i="5" l="1"/>
  <c r="F6" i="5"/>
  <c r="G6" i="5"/>
  <c r="H6" i="5"/>
  <c r="I6" i="5"/>
  <c r="J6" i="5"/>
  <c r="K6" i="5"/>
  <c r="L6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E12" i="5"/>
  <c r="F3" i="5"/>
  <c r="G3" i="5"/>
  <c r="H3" i="5"/>
  <c r="B47" i="1"/>
  <c r="B48" i="1" s="1"/>
  <c r="U47" i="1"/>
  <c r="U48" i="1" s="1"/>
  <c r="T47" i="1"/>
  <c r="T48" i="1" s="1"/>
  <c r="S47" i="1"/>
  <c r="S48" i="1" s="1"/>
  <c r="R47" i="1"/>
  <c r="R48" i="1" s="1"/>
  <c r="Q47" i="1"/>
  <c r="Q48" i="1" s="1"/>
  <c r="P47" i="1"/>
  <c r="P48" i="1" s="1"/>
  <c r="O47" i="1"/>
  <c r="O48" i="1" s="1"/>
  <c r="N47" i="1"/>
  <c r="N48" i="1" s="1"/>
  <c r="L47" i="1"/>
  <c r="L48" i="1" s="1"/>
  <c r="K47" i="1"/>
  <c r="K48" i="1" s="1"/>
  <c r="J47" i="1"/>
  <c r="J48" i="1" s="1"/>
  <c r="I47" i="1"/>
  <c r="I48" i="1" s="1"/>
  <c r="H47" i="1"/>
  <c r="H48" i="1" s="1"/>
  <c r="G47" i="1"/>
  <c r="G48" i="1" s="1"/>
  <c r="F47" i="1"/>
  <c r="F48" i="1" s="1"/>
  <c r="E47" i="1"/>
  <c r="E48" i="1" s="1"/>
  <c r="D47" i="1"/>
  <c r="D48" i="1" s="1"/>
  <c r="F6" i="8"/>
  <c r="C47" i="1"/>
  <c r="C48" i="1" s="1"/>
  <c r="F24" i="2"/>
  <c r="G2" i="2"/>
  <c r="M6" i="5" l="1"/>
  <c r="P5" i="5"/>
  <c r="Q5" i="5"/>
  <c r="R5" i="5"/>
  <c r="S5" i="5"/>
  <c r="T5" i="5"/>
  <c r="U5" i="5"/>
  <c r="V5" i="5"/>
  <c r="E19" i="5"/>
  <c r="F12" i="5"/>
  <c r="G12" i="5"/>
  <c r="G19" i="5" s="1"/>
  <c r="H12" i="5"/>
  <c r="H19" i="5" s="1"/>
  <c r="I12" i="5"/>
  <c r="J12" i="5"/>
  <c r="I3" i="5"/>
  <c r="I19" i="5" s="1"/>
  <c r="J3" i="5"/>
  <c r="K3" i="5"/>
  <c r="L3" i="5"/>
  <c r="M3" i="5"/>
  <c r="N3" i="5"/>
  <c r="O3" i="5"/>
  <c r="P3" i="5"/>
  <c r="Q3" i="5"/>
  <c r="R3" i="5"/>
  <c r="S3" i="5"/>
  <c r="T3" i="5"/>
  <c r="U3" i="5"/>
  <c r="V3" i="5"/>
  <c r="G6" i="8"/>
  <c r="G24" i="2"/>
  <c r="H2" i="2"/>
  <c r="N6" i="5" l="1"/>
  <c r="O6" i="5"/>
  <c r="P6" i="5"/>
  <c r="Q6" i="5"/>
  <c r="S6" i="5"/>
  <c r="T6" i="5"/>
  <c r="U6" i="5"/>
  <c r="V6" i="5"/>
  <c r="F19" i="5"/>
  <c r="K12" i="5"/>
  <c r="L12" i="5"/>
  <c r="M12" i="5"/>
  <c r="N12" i="5"/>
  <c r="O12" i="5"/>
  <c r="P12" i="5"/>
  <c r="H6" i="8"/>
  <c r="H24" i="2"/>
  <c r="I2" i="2"/>
  <c r="Q12" i="5" l="1"/>
  <c r="R12" i="5"/>
  <c r="S12" i="5"/>
  <c r="T12" i="5"/>
  <c r="U12" i="5"/>
  <c r="V12" i="5"/>
  <c r="I6" i="8"/>
  <c r="I24" i="2"/>
  <c r="J2" i="2"/>
  <c r="J6" i="8" l="1"/>
  <c r="J24" i="2"/>
  <c r="K2" i="2"/>
  <c r="K6" i="8" l="1"/>
  <c r="K24" i="2"/>
  <c r="L2" i="2"/>
  <c r="L6" i="8" l="1"/>
  <c r="L24" i="2"/>
  <c r="M2" i="2"/>
  <c r="M6" i="8" l="1"/>
  <c r="M24" i="2"/>
  <c r="N2" i="2"/>
  <c r="N6" i="8" l="1"/>
  <c r="N24" i="2"/>
  <c r="O2" i="2"/>
  <c r="O6" i="8" l="1"/>
  <c r="O24" i="2"/>
  <c r="P2" i="2"/>
  <c r="P6" i="8" l="1"/>
  <c r="P24" i="2"/>
  <c r="Q2" i="2"/>
  <c r="Q6" i="8" l="1"/>
  <c r="Q24" i="2"/>
  <c r="R2" i="2"/>
  <c r="R6" i="8" l="1"/>
  <c r="R24" i="2"/>
  <c r="S2" i="2"/>
  <c r="S6" i="8" l="1"/>
  <c r="S24" i="2"/>
  <c r="T2" i="2"/>
  <c r="T6" i="8" l="1"/>
  <c r="T24" i="2"/>
  <c r="U2" i="2"/>
  <c r="U6" i="8" l="1"/>
  <c r="U24" i="2"/>
  <c r="V2" i="2"/>
  <c r="V6" i="8" l="1"/>
  <c r="W6" i="8"/>
  <c r="V24" i="2"/>
  <c r="W2" i="2"/>
  <c r="W24" i="2" s="1"/>
  <c r="J9" i="5"/>
  <c r="J19" i="5"/>
  <c r="K9" i="5"/>
  <c r="K19" i="5" s="1"/>
  <c r="M9" i="5"/>
  <c r="M19" i="5"/>
  <c r="N9" i="5"/>
  <c r="N19" i="5"/>
  <c r="O9" i="5"/>
  <c r="O19" i="5"/>
  <c r="P9" i="5"/>
  <c r="P19" i="5"/>
  <c r="R19" i="5"/>
  <c r="S19" i="5"/>
  <c r="T19" i="5"/>
  <c r="U19" i="5"/>
  <c r="L9" i="5"/>
  <c r="L19" i="5"/>
  <c r="V19" i="5"/>
  <c r="Q9" i="5"/>
  <c r="Q19" i="5" s="1"/>
</calcChain>
</file>

<file path=xl/sharedStrings.xml><?xml version="1.0" encoding="utf-8"?>
<sst xmlns="http://schemas.openxmlformats.org/spreadsheetml/2006/main" count="366" uniqueCount="187">
  <si>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</si>
  <si>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</si>
  <si>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</si>
  <si>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</si>
  <si>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</si>
  <si>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</si>
  <si>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</si>
  <si>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</si>
  <si>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</si>
  <si>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</si>
  <si>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</si>
  <si>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</si>
  <si>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</si>
  <si>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</si>
  <si>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</si>
  <si>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</si>
  <si>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</si>
  <si>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</si>
  <si>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</si>
  <si>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</si>
  <si>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Interest Income from SME Loans</t>
  </si>
  <si>
    <t>Interest Income from Education Loans</t>
  </si>
  <si>
    <t>Interest Income from Vehicle Loans</t>
  </si>
  <si>
    <t>Credit card Interest</t>
  </si>
  <si>
    <t>Loan Processing Fees</t>
  </si>
  <si>
    <t>Credit Card Fees</t>
  </si>
  <si>
    <t>Transaction Fees for Payment Processing</t>
  </si>
  <si>
    <t>Penatly Charges</t>
  </si>
  <si>
    <t>Total Revenue</t>
  </si>
  <si>
    <t>Consulting Company Fees - Impact Guild Advisors</t>
  </si>
  <si>
    <t>Regulatory Licensing Fees &amp; Other Expenses</t>
  </si>
  <si>
    <t>Legal &amp; Compliance Expenses (OSFI, PIPEDA, FCAC compliance)</t>
  </si>
  <si>
    <t>Recruitment &amp; Training Expenses</t>
  </si>
  <si>
    <t>Security Systems (Digital &amp; Physical)</t>
  </si>
  <si>
    <t>Employee Salaries &amp; benefits</t>
  </si>
  <si>
    <t>Advisor Expense</t>
  </si>
  <si>
    <t>Partnership Expenses</t>
  </si>
  <si>
    <t>Loan Disbursement and Processing Expenses</t>
  </si>
  <si>
    <t>Rent</t>
  </si>
  <si>
    <t>Utilities</t>
  </si>
  <si>
    <t>Information Technology Maintenance &amp; Subscriptions</t>
  </si>
  <si>
    <t>Contingency Fund</t>
  </si>
  <si>
    <t>Loan Defaults</t>
  </si>
  <si>
    <t>Insurance (for loan defaults and office assets)</t>
  </si>
  <si>
    <t>CCA (Capital Cost Allowance)</t>
  </si>
  <si>
    <t>Furnitures Class-8 (20%)</t>
  </si>
  <si>
    <t>Computer Hardwares - Class -50 (55%)</t>
  </si>
  <si>
    <t>Softwares (100%)</t>
  </si>
  <si>
    <t>Office Improvements - Class-13 ( 5 Year period)</t>
  </si>
  <si>
    <t>Office Building - Class-1 (4%)</t>
  </si>
  <si>
    <t>Market Research &amp; Surveys</t>
  </si>
  <si>
    <t>Digital Marketing</t>
  </si>
  <si>
    <t>Social Media Advertising &amp; Management</t>
  </si>
  <si>
    <t>Content Creation (Blogs, Videos, eBooks)</t>
  </si>
  <si>
    <t>Event Sponsorships and Webinars</t>
  </si>
  <si>
    <t>Affiliate Marketing (Partnerships)</t>
  </si>
  <si>
    <t>Promotional Materials (Flyers, Brochures, etc.)</t>
  </si>
  <si>
    <t>Lead Generation Expenses</t>
  </si>
  <si>
    <t>Traditional Marketing (TV, Radio, Print)</t>
  </si>
  <si>
    <t>Other Miscellaneous Marketing Expenses</t>
  </si>
  <si>
    <t>Customer Service Expenses</t>
  </si>
  <si>
    <t>Interest Expenses</t>
  </si>
  <si>
    <t>Total Expense</t>
  </si>
  <si>
    <t>Gross Profit</t>
  </si>
  <si>
    <t>Taxes ( Average of 19%)</t>
  </si>
  <si>
    <t>Net Profit</t>
  </si>
  <si>
    <t>ROI</t>
  </si>
  <si>
    <t>List of Costs</t>
  </si>
  <si>
    <t>Regulatory Licensing Fees &amp; Other costs</t>
  </si>
  <si>
    <t>Legal &amp; Compliance Costs (OSFI, PIPEDA, FCAC compliance)</t>
  </si>
  <si>
    <t>Recruitment &amp; Training Costs</t>
  </si>
  <si>
    <t>Partnership Costs</t>
  </si>
  <si>
    <t>Loan Disbursement and Processing Costs</t>
  </si>
  <si>
    <t>Computer Hardwares/software development - Class -50 (55%)</t>
  </si>
  <si>
    <t>Lead Generation Costs</t>
  </si>
  <si>
    <t>Other Miscellaneous Marketing Costs</t>
  </si>
  <si>
    <t>Customer service cost</t>
  </si>
  <si>
    <t>Total Loan Amount Processed</t>
  </si>
  <si>
    <t>5% loss</t>
  </si>
  <si>
    <t>Monthly Rent</t>
  </si>
  <si>
    <t>Regional Office cum Branch</t>
  </si>
  <si>
    <t>Branch offices</t>
  </si>
  <si>
    <t>Total</t>
  </si>
  <si>
    <t>Electrictiy</t>
  </si>
  <si>
    <t>Heating/Gas</t>
  </si>
  <si>
    <t>Water</t>
  </si>
  <si>
    <t>Telephone/Internet</t>
  </si>
  <si>
    <t>Miscellaneous</t>
  </si>
  <si>
    <t>Items</t>
  </si>
  <si>
    <t>Total Cost</t>
  </si>
  <si>
    <t>Vehicles</t>
  </si>
  <si>
    <t>Furnitures</t>
  </si>
  <si>
    <t>Furnitures2</t>
  </si>
  <si>
    <t>Computer Hardwares/software development</t>
  </si>
  <si>
    <t>Computer Hardwares/software development-2</t>
  </si>
  <si>
    <t>Computer Hardwares/software development-3</t>
  </si>
  <si>
    <t>Total Computer Hardwares/software development-3</t>
  </si>
  <si>
    <t>Softwares</t>
  </si>
  <si>
    <t>Leasehold Improvements</t>
  </si>
  <si>
    <t>Office Building</t>
  </si>
  <si>
    <t>Category</t>
  </si>
  <si>
    <t>Licensing Fees</t>
  </si>
  <si>
    <t>Legal &amp; Compliance Costs</t>
  </si>
  <si>
    <t>Initial Setup Cost</t>
  </si>
  <si>
    <t>Regulatory Licensing Fees</t>
  </si>
  <si>
    <t>Technology Infrastructure Setup</t>
  </si>
  <si>
    <t>Office Setup</t>
  </si>
  <si>
    <t>Vehicles and Equipment</t>
  </si>
  <si>
    <t>Furniture &amp; Office Renovation</t>
  </si>
  <si>
    <t>Contingency Reserve</t>
  </si>
  <si>
    <t>Employee Designations</t>
  </si>
  <si>
    <t>Number of Employees</t>
  </si>
  <si>
    <t>Chief Executive Officer</t>
  </si>
  <si>
    <t>COO - Chief Operating Officer</t>
  </si>
  <si>
    <t>CTO - Chief Technology Officer</t>
  </si>
  <si>
    <t>Chief Risk Officer</t>
  </si>
  <si>
    <t>Chief Marketing &amp; Sales Officer</t>
  </si>
  <si>
    <t>Head - Legal &amp; Compliances</t>
  </si>
  <si>
    <t>VP - Operations</t>
  </si>
  <si>
    <t>Regional Heads</t>
  </si>
  <si>
    <r>
      <rPr>
        <b/>
        <sz val="11"/>
        <color rgb="FF000000"/>
        <rFont val="Calibri"/>
        <family val="2"/>
        <scheme val="minor"/>
      </rPr>
      <t>Region 1:</t>
    </r>
    <r>
      <rPr>
        <sz val="11"/>
        <color rgb="FF000000"/>
        <rFont val="Calibri"/>
        <family val="2"/>
        <scheme val="minor"/>
      </rPr>
      <t xml:space="preserve"> Ontario/Quebec/Manitoba
</t>
    </r>
    <r>
      <rPr>
        <b/>
        <sz val="11"/>
        <color rgb="FF000000"/>
        <rFont val="Calibri"/>
        <family val="2"/>
        <scheme val="minor"/>
      </rPr>
      <t>Region 2:</t>
    </r>
    <r>
      <rPr>
        <sz val="11"/>
        <color rgb="FF000000"/>
        <rFont val="Calibri"/>
        <family val="2"/>
        <scheme val="minor"/>
      </rPr>
      <t xml:space="preserve"> British Columbia/Alberta/Saskathwan
</t>
    </r>
    <r>
      <rPr>
        <b/>
        <sz val="11"/>
        <color rgb="FF000000"/>
        <rFont val="Calibri"/>
        <family val="2"/>
        <scheme val="minor"/>
      </rPr>
      <t>Region 3:</t>
    </r>
    <r>
      <rPr>
        <sz val="11"/>
        <color rgb="FF000000"/>
        <rFont val="Calibri"/>
        <family val="2"/>
        <scheme val="minor"/>
      </rPr>
      <t xml:space="preserve"> Atlantic Provinces</t>
    </r>
  </si>
  <si>
    <t>Branch Heads</t>
  </si>
  <si>
    <t>Ontario: 5
Quebec: 5
Manitoba: 2
British Columbia: 5
Alberta: 3
Saskacthwan: 2
Atlantic Provinces: 3</t>
  </si>
  <si>
    <t>Loan Officers</t>
  </si>
  <si>
    <t>Credit/Risk Officers</t>
  </si>
  <si>
    <t>Customer Service Representatives</t>
  </si>
  <si>
    <t>Head Office Staff</t>
  </si>
  <si>
    <t>At least 15-20 people under each CXO or vertical heads.</t>
  </si>
  <si>
    <t>Finance</t>
  </si>
  <si>
    <t>IT Department</t>
  </si>
  <si>
    <t>Risk Management</t>
  </si>
  <si>
    <t>Marketing &amp; Sales</t>
  </si>
  <si>
    <t>Legal &amp; Compliances</t>
  </si>
  <si>
    <t>Income</t>
  </si>
  <si>
    <t>Interest Income</t>
  </si>
  <si>
    <t>SME Loans</t>
  </si>
  <si>
    <t>Start-up loans</t>
  </si>
  <si>
    <t>Vehicle loans</t>
  </si>
  <si>
    <t>Education Loans</t>
  </si>
  <si>
    <t>Fees Income</t>
  </si>
  <si>
    <t>Loan Processing fees</t>
  </si>
  <si>
    <t>Origination Fees</t>
  </si>
  <si>
    <t>Late Payment Fees</t>
  </si>
  <si>
    <t>Partnership Inome</t>
  </si>
  <si>
    <t>Referral Income</t>
  </si>
  <si>
    <t>Credit Card Intrest</t>
  </si>
  <si>
    <t>Market Share (%)</t>
  </si>
  <si>
    <t>Capital Managed (CAD)</t>
  </si>
  <si>
    <t>Credit card debt</t>
  </si>
  <si>
    <t>Targeted Credit Card Users</t>
  </si>
  <si>
    <t>Interest Revenue (CAD)</t>
  </si>
  <si>
    <t>Partner Tranasactions</t>
  </si>
  <si>
    <t>Transaction Fee Revenue (CAD)</t>
  </si>
  <si>
    <t>Late fees</t>
  </si>
  <si>
    <t>Credit card fees annual</t>
  </si>
  <si>
    <t>Total Canadian Credit Card Debt: CAD 96.9 billion as of 2023.
Average Credit Card Balance: CAD 3,909 per Canadian.
Annual Credit Card Payment Transactions: 6.6 billion.
Total Value of Credit Card Transactions: CAD 591 billion annually.
Average Transaction Value: CAD 90.</t>
  </si>
  <si>
    <t>https://www.finder.com/ca/credit-cards/credit-card-statistics</t>
  </si>
  <si>
    <t>https://www.forbes.com/advisor/ca/credit-cards/average-credit-card-interest-rate/#:~:text=Show%20less,balances%20in%20Canada%20was%2020.50%25.</t>
  </si>
  <si>
    <t>https://www.retailcouncil.org/payment-and-credit-card-fees/</t>
  </si>
  <si>
    <t>https://www.livemint.com/money/personal-finance/credit-cards-missed-the-deadline-top-7-banks-charge-interest-rates-for-late-payment-hdfc-icici-sbi-pnb-axis-bank-11730059602639.html</t>
  </si>
  <si>
    <t>https://www.ratehub.ca/credit-cards/credit-card-fees</t>
  </si>
  <si>
    <t>SME LOANS</t>
  </si>
  <si>
    <t>Capital Required (CAD)</t>
  </si>
  <si>
    <t>Targeted SMEs</t>
  </si>
  <si>
    <t>Late Fees (CAD)</t>
  </si>
  <si>
    <t>Loan processing fees</t>
  </si>
  <si>
    <t>For late fees: Considering 5% overdue of loans and 3% late fees</t>
  </si>
  <si>
    <t>Targeted SMEs based on : In Canada, the average loan size for SMEs under the Canada Small Business Financing Program (CSBFP) is approximately CAD 246,507, as of the latest data available for 2021-2022.https://ised-isde.canada.ca/site/sme-research-statistics/en/research-reports/sme-profile-canada-small-business-financing-program-borrowers</t>
  </si>
  <si>
    <t xml:space="preserve">The total lending market for SMEs in Canada in 2023 is approximately CAD 476.67 billion. This includes both bank and non-bank lenders. </t>
  </si>
  <si>
    <t xml:space="preserve">https://cba.ca/small-and-medium-sized-enterprises </t>
  </si>
  <si>
    <t>https://www.scotiabank.com/ca/en/small-business/business-banking/loans-leases/csbfa.html#:~:text=Fees:,subject%20to%20program%20loan%20maximums.</t>
  </si>
  <si>
    <t>Education Loan</t>
  </si>
  <si>
    <t>Targeted Student</t>
  </si>
  <si>
    <t>Intrest Rate</t>
  </si>
  <si>
    <t>https://www.mordorintelligence.com/industry-reports/canada-education-student-loans-market#:~:text=The%20Canada%20Student%20Loans%20Market%20size%20is%20estimated%20at%20USD,period%20(2024%2D2029).</t>
  </si>
  <si>
    <t>https://www.robertsoncollege.com/blog/studying-at-robertson/average-student-loan-debt-canada/#:~:text=The%20average%20student%20loan%20debt%20in%20Canada%20is%20$28%2C000.,can't%20afford%20not%20to.</t>
  </si>
  <si>
    <t>https://www.bankrate.com/loans/student-loans/current-interest-rates/#interest-rates-set</t>
  </si>
  <si>
    <t>Vehicle Loan</t>
  </si>
  <si>
    <t>Targeted Customer</t>
  </si>
  <si>
    <t>https://blog.clutch.ca/posts/car-loan-interest-rates-in-canada#:~:text=Average%20New%20Car%20Loan%20Interest,10%20to%2015%25%20in%20interest.</t>
  </si>
  <si>
    <t>https://www.cardealcanada.ca/income-requirements-for-car-loans/#:~:text=What%20is%20the%20average%20car,about%20a%20$25%2C000%20car%20loan.</t>
  </si>
  <si>
    <t>https://www.finder.com/ca/car-loans/car-loan-interest-rates</t>
  </si>
  <si>
    <t>https://www.cardealcanada.ca/not-paying-a-car-loan-and-the-consequences/#:~:text=Late%20Fees%20and%20Interest,you%20fall%20too%20far%20behind.</t>
  </si>
  <si>
    <t>Column1</t>
  </si>
  <si>
    <t>Total Capital by Year</t>
  </si>
  <si>
    <t>Total late fees</t>
  </si>
  <si>
    <t>Total loan processing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</si>
</sst>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$-1009]* #,##0_-;\-[$$-1009]* #,##0_-;_-[$$-1009]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FFFFFF"/>
      <name val="Aptos Narrow"/>
      <family val="2"/>
    </font>
    <font>
      <b/>
      <sz val="2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FFFFFF"/>
      <name val="Aptos Narrow"/>
      <family val="2"/>
    </font>
    <font>
      <b/>
      <sz val="11"/>
      <color rgb="FF5F6368"/>
      <name val="Arial"/>
      <family val="2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0" fontId="2" fillId="2" borderId="1" xfId="0" applyFont="1" applyFill="1" applyBorder="1"/>
    <xf numFmtId="0" fontId="3" fillId="0" borderId="1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5" xfId="0" applyBorder="1"/>
    <xf numFmtId="0" fontId="3" fillId="0" borderId="5" xfId="0" applyFont="1" applyBorder="1"/>
    <xf numFmtId="3" fontId="0" fillId="0" borderId="0" xfId="0" applyNumberForma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" xfId="1" applyNumberFormat="1" applyFont="1" applyBorder="1"/>
    <xf numFmtId="165" fontId="3" fillId="6" borderId="1" xfId="1" applyNumberFormat="1" applyFont="1" applyFill="1" applyBorder="1"/>
    <xf numFmtId="165" fontId="3" fillId="7" borderId="1" xfId="1" applyNumberFormat="1" applyFont="1" applyFill="1" applyBorder="1"/>
    <xf numFmtId="165" fontId="0" fillId="0" borderId="1" xfId="0" applyNumberFormat="1" applyBorder="1"/>
    <xf numFmtId="0" fontId="3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6" fillId="0" borderId="5" xfId="0" applyFont="1" applyBorder="1" applyAlignment="1">
      <alignment horizontal="left" wrapText="1"/>
    </xf>
    <xf numFmtId="165" fontId="0" fillId="0" borderId="0" xfId="0" applyNumberFormat="1"/>
    <xf numFmtId="0" fontId="7" fillId="0" borderId="0" xfId="0" applyFont="1"/>
    <xf numFmtId="165" fontId="0" fillId="0" borderId="5" xfId="0" applyNumberFormat="1" applyBorder="1"/>
    <xf numFmtId="0" fontId="0" fillId="0" borderId="3" xfId="0" applyBorder="1" applyAlignment="1">
      <alignment horizontal="left" indent="1"/>
    </xf>
    <xf numFmtId="165" fontId="0" fillId="0" borderId="4" xfId="1" applyNumberFormat="1" applyFont="1" applyBorder="1"/>
    <xf numFmtId="165" fontId="0" fillId="0" borderId="2" xfId="1" applyNumberFormat="1" applyFont="1" applyBorder="1"/>
    <xf numFmtId="0" fontId="9" fillId="0" borderId="0" xfId="0" applyFont="1"/>
    <xf numFmtId="0" fontId="8" fillId="9" borderId="6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7" fillId="10" borderId="6" xfId="0" applyFont="1" applyFill="1" applyBorder="1"/>
    <xf numFmtId="0" fontId="7" fillId="10" borderId="7" xfId="0" applyFont="1" applyFill="1" applyBorder="1"/>
    <xf numFmtId="0" fontId="7" fillId="10" borderId="8" xfId="0" applyFont="1" applyFill="1" applyBorder="1"/>
    <xf numFmtId="0" fontId="7" fillId="0" borderId="6" xfId="0" applyFont="1" applyBorder="1"/>
    <xf numFmtId="0" fontId="7" fillId="0" borderId="7" xfId="0" applyFont="1" applyBorder="1"/>
    <xf numFmtId="2" fontId="7" fillId="10" borderId="7" xfId="0" applyNumberFormat="1" applyFont="1" applyFill="1" applyBorder="1"/>
    <xf numFmtId="1" fontId="7" fillId="10" borderId="7" xfId="0" applyNumberFormat="1" applyFont="1" applyFill="1" applyBorder="1"/>
    <xf numFmtId="3" fontId="7" fillId="0" borderId="0" xfId="0" applyNumberFormat="1" applyFont="1"/>
    <xf numFmtId="1" fontId="7" fillId="0" borderId="0" xfId="0" applyNumberFormat="1" applyFont="1"/>
    <xf numFmtId="0" fontId="10" fillId="0" borderId="0" xfId="2"/>
    <xf numFmtId="0" fontId="11" fillId="10" borderId="6" xfId="0" applyFont="1" applyFill="1" applyBorder="1"/>
    <xf numFmtId="0" fontId="12" fillId="9" borderId="6" xfId="0" applyFont="1" applyFill="1" applyBorder="1"/>
    <xf numFmtId="1" fontId="0" fillId="0" borderId="0" xfId="0" applyNumberFormat="1"/>
    <xf numFmtId="3" fontId="13" fillId="0" borderId="0" xfId="0" applyNumberFormat="1" applyFont="1"/>
    <xf numFmtId="0" fontId="0" fillId="0" borderId="1" xfId="0" applyBorder="1" applyAlignment="1">
      <alignment horizontal="left"/>
    </xf>
    <xf numFmtId="9" fontId="0" fillId="8" borderId="1" xfId="0" applyNumberFormat="1" applyFill="1" applyBorder="1"/>
    <xf numFmtId="165" fontId="3" fillId="0" borderId="0" xfId="0" applyNumberFormat="1" applyFont="1"/>
    <xf numFmtId="0" fontId="0" fillId="0" borderId="3" xfId="0" applyBorder="1" applyAlignment="1">
      <alignment horizontal="left"/>
    </xf>
    <xf numFmtId="0" fontId="3" fillId="6" borderId="3" xfId="0" applyFont="1" applyFill="1" applyBorder="1" applyAlignment="1">
      <alignment vertical="center"/>
    </xf>
    <xf numFmtId="0" fontId="3" fillId="7" borderId="3" xfId="0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0" fontId="2" fillId="2" borderId="3" xfId="0" applyFont="1" applyFill="1" applyBorder="1"/>
    <xf numFmtId="0" fontId="2" fillId="11" borderId="4" xfId="0" applyFont="1" applyFill="1" applyBorder="1"/>
    <xf numFmtId="0" fontId="2" fillId="11" borderId="1" xfId="0" applyFont="1" applyFill="1" applyBorder="1"/>
    <xf numFmtId="0" fontId="2" fillId="0" borderId="0" xfId="0" applyFont="1"/>
    <xf numFmtId="0" fontId="15" fillId="0" borderId="3" xfId="0" applyFont="1" applyBorder="1" applyAlignment="1">
      <alignment horizontal="left"/>
    </xf>
    <xf numFmtId="165" fontId="15" fillId="0" borderId="5" xfId="0" applyNumberFormat="1" applyFont="1" applyBorder="1"/>
    <xf numFmtId="165" fontId="15" fillId="0" borderId="4" xfId="1" applyNumberFormat="1" applyFont="1" applyBorder="1"/>
    <xf numFmtId="0" fontId="15" fillId="0" borderId="0" xfId="0" applyFont="1"/>
    <xf numFmtId="0" fontId="15" fillId="0" borderId="1" xfId="0" applyFont="1" applyBorder="1" applyAlignment="1">
      <alignment horizontal="left"/>
    </xf>
    <xf numFmtId="165" fontId="15" fillId="0" borderId="1" xfId="1" applyNumberFormat="1" applyFont="1" applyBorder="1"/>
    <xf numFmtId="0" fontId="0" fillId="12" borderId="1" xfId="0" applyFill="1" applyBorder="1" applyAlignment="1">
      <alignment horizontal="left"/>
    </xf>
    <xf numFmtId="1" fontId="0" fillId="0" borderId="5" xfId="0" applyNumberFormat="1" applyBorder="1"/>
    <xf numFmtId="0" fontId="0" fillId="13" borderId="1" xfId="0" applyFill="1" applyBorder="1" applyAlignment="1">
      <alignment horizontal="left"/>
    </xf>
    <xf numFmtId="0" fontId="14" fillId="13" borderId="1" xfId="0" applyFont="1" applyFill="1" applyBorder="1" applyAlignment="1">
      <alignment horizontal="left"/>
    </xf>
    <xf numFmtId="0" fontId="15" fillId="13" borderId="3" xfId="0" applyFont="1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15" fillId="13" borderId="1" xfId="0" applyFont="1" applyFill="1" applyBorder="1" applyAlignment="1">
      <alignment horizontal="left"/>
    </xf>
    <xf numFmtId="0" fontId="0" fillId="13" borderId="1" xfId="0" applyFill="1" applyBorder="1"/>
    <xf numFmtId="0" fontId="11" fillId="10" borderId="7" xfId="0" applyFont="1" applyFill="1" applyBorder="1"/>
    <xf numFmtId="165" fontId="15" fillId="0" borderId="2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2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9">
    <dxf>
      <numFmt numFmtId="0" formatCode="General"/>
    </dxf>
    <dxf>
      <numFmt numFmtId="1" formatCode="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42BD52-7695-4DD5-A75E-E9BBE898FD13}" name="Table1" displayName="Table1" ref="C24:K45" totalsRowShown="0" headerRowDxfId="18" dataDxfId="17">
  <autoFilter ref="C24:K45" xr:uid="{4942BD52-7695-4DD5-A75E-E9BBE898FD13}"/>
  <tableColumns count="9">
    <tableColumn id="1" xr3:uid="{07CEA84F-EB2F-4F19-8A50-FD1AB6A5917C}" name="Market Share (%)" dataDxfId="16"/>
    <tableColumn id="2" xr3:uid="{441949E0-5627-4B81-A5E9-743686AFF3CB}" name="Capital Managed (CAD)" dataDxfId="15"/>
    <tableColumn id="6" xr3:uid="{5680626A-2E23-4763-B197-FC477F6BF95D}" name="Credit card debt" dataDxfId="14">
      <calculatedColumnFormula xml:space="preserve"> D25 * 0.2</calculatedColumnFormula>
    </tableColumn>
    <tableColumn id="3" xr3:uid="{FD06E0BD-ECA5-4659-91F2-AADFB593DDDD}" name="Targeted Credit Card Users" dataDxfId="13">
      <calculatedColumnFormula>D25/(2200*12)</calculatedColumnFormula>
    </tableColumn>
    <tableColumn id="4" xr3:uid="{2C39ECA7-3BDE-45FA-9400-C3607CAD99CB}" name="Interest Revenue (CAD)" dataDxfId="12">
      <calculatedColumnFormula xml:space="preserve"> E25 * 0.22</calculatedColumnFormula>
    </tableColumn>
    <tableColumn id="7" xr3:uid="{51F6062C-DD28-47BA-9DCB-3E0589D73A8C}" name="Partner Tranasactions" dataDxfId="11">
      <calculatedColumnFormula xml:space="preserve"> I25 * 0.2</calculatedColumnFormula>
    </tableColumn>
    <tableColumn id="5" xr3:uid="{06336903-F9C0-41B4-9F36-E633336B0227}" name="Transaction Fee Revenue (CAD)" dataDxfId="10">
      <calculatedColumnFormula xml:space="preserve"> D25 * 0.015</calculatedColumnFormula>
    </tableColumn>
    <tableColumn id="8" xr3:uid="{6D954F0F-67AD-4D3B-8B36-C3BF8287C0A5}" name="Late fees" dataDxfId="9">
      <calculatedColumnFormula xml:space="preserve"> (F25 * 0.05) * 40</calculatedColumnFormula>
    </tableColumn>
    <tableColumn id="9" xr3:uid="{6E58E5D0-DDA3-497B-B1DE-2A547AFFB965}" name="Credit card fees annual" dataDxfId="8">
      <calculatedColumnFormula>F25 * 150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52114-58FA-417C-AD21-271A8E6064AC}" name="Table3" displayName="Table3" ref="C91:H112" totalsRowShown="0">
  <autoFilter ref="C91:H112" xr:uid="{C1452114-58FA-417C-AD21-271A8E6064AC}"/>
  <tableColumns count="6">
    <tableColumn id="1" xr3:uid="{53517E58-6E28-4F27-A3B9-4A9AE88F72AD}" name="Market Share (%)"/>
    <tableColumn id="2" xr3:uid="{50DB712E-9F1D-4CEE-82EA-977673AB85DE}" name="Capital Required (CAD)" dataDxfId="7">
      <calculatedColumnFormula xml:space="preserve"> 120000000000 * (C92 * 0.1)</calculatedColumnFormula>
    </tableColumn>
    <tableColumn id="3" xr3:uid="{5773FD15-EAF3-4B1E-B4D0-3F1374E50EE4}" name="Targeted Customer" dataDxfId="6">
      <calculatedColumnFormula xml:space="preserve"> D92/35000</calculatedColumnFormula>
    </tableColumn>
    <tableColumn id="4" xr3:uid="{A6218B3D-56DC-4807-8377-0CE4720A6D0C}" name="Intrest Rate" dataDxfId="5">
      <calculatedColumnFormula xml:space="preserve"> D92 * 0.14</calculatedColumnFormula>
    </tableColumn>
    <tableColumn id="5" xr3:uid="{729F2812-A77D-403B-9B95-87BA6432BCB4}" name="Late fees" dataDxfId="4">
      <calculatedColumnFormula xml:space="preserve"> (E92 * 0.05) * 10</calculatedColumnFormula>
    </tableColumn>
    <tableColumn id="6" xr3:uid="{B2F80AA3-5D82-4768-A002-247B51FB05F8}" name="Loan processing fees" dataDxfId="3">
      <calculatedColumnFormula xml:space="preserve"> D92*0.02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6EA99A-1A89-428E-91F3-6EC83D0A72FA}" name="Table4" displayName="Table4" ref="B116:E136" totalsRowShown="0">
  <autoFilter ref="B116:E136" xr:uid="{376EA99A-1A89-428E-91F3-6EC83D0A72FA}"/>
  <tableColumns count="4">
    <tableColumn id="1" xr3:uid="{7B30AC09-BB96-4E39-844D-85D955AF05D3}" name="Column1"/>
    <tableColumn id="2" xr3:uid="{63E265F8-3364-4D96-A196-79C74198305E}" name="Total Capital by Year" dataDxfId="2">
      <calculatedColumnFormula xml:space="preserve"> D92 + D70 + D48 + D25</calculatedColumnFormula>
    </tableColumn>
    <tableColumn id="3" xr3:uid="{CACCE904-A0FC-420A-8255-043AB02FA46F}" name="Total late fees" dataDxfId="1">
      <calculatedColumnFormula xml:space="preserve"> G92 + G48 + J25</calculatedColumnFormula>
    </tableColumn>
    <tableColumn id="4" xr3:uid="{2BA2AAB3-7C02-4BBD-B7D4-5CEE2A6F159D}" name="Total loan processing fees" dataDxfId="0">
      <calculatedColumnFormula xml:space="preserve"> H48+H93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krate.com/loans/student-loans/current-interest-rates/" TargetMode="External"/><Relationship Id="rId13" Type="http://schemas.openxmlformats.org/officeDocument/2006/relationships/hyperlink" Target="https://www.cardealcanada.ca/not-paying-a-car-loan-and-the-consequences/" TargetMode="External"/><Relationship Id="rId3" Type="http://schemas.openxmlformats.org/officeDocument/2006/relationships/hyperlink" Target="https://www.retailcouncil.org/payment-and-credit-card-fees/" TargetMode="External"/><Relationship Id="rId7" Type="http://schemas.openxmlformats.org/officeDocument/2006/relationships/hyperlink" Target="https://www.robertsoncollege.com/blog/studying-at-robertson/average-student-loan-debt-canada/" TargetMode="External"/><Relationship Id="rId12" Type="http://schemas.openxmlformats.org/officeDocument/2006/relationships/hyperlink" Target="https://www.finder.com/ca/car-loans/car-loan-interest-rates" TargetMode="External"/><Relationship Id="rId17" Type="http://schemas.openxmlformats.org/officeDocument/2006/relationships/table" Target="../tables/table3.xml"/><Relationship Id="rId2" Type="http://schemas.openxmlformats.org/officeDocument/2006/relationships/hyperlink" Target="https://www.forbes.com/advisor/ca/credit-cards/average-credit-card-interest-rate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www.finder.com/ca/credit-cards/credit-card-statistics" TargetMode="External"/><Relationship Id="rId6" Type="http://schemas.openxmlformats.org/officeDocument/2006/relationships/hyperlink" Target="https://www.mordorintelligence.com/industry-reports/canada-education-student-loans-market" TargetMode="External"/><Relationship Id="rId11" Type="http://schemas.openxmlformats.org/officeDocument/2006/relationships/hyperlink" Target="https://www.cardealcanada.ca/income-requirements-for-car-loans/" TargetMode="External"/><Relationship Id="rId5" Type="http://schemas.openxmlformats.org/officeDocument/2006/relationships/hyperlink" Target="https://www.livemint.com/money/personal-finance/credit-cards-missed-the-deadline-top-7-banks-charge-interest-rates-for-late-payment-hdfc-icici-sbi-pnb-axis-bank-11730059602639.html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blog.clutch.ca/posts/car-loan-interest-rates-in-canada" TargetMode="External"/><Relationship Id="rId4" Type="http://schemas.openxmlformats.org/officeDocument/2006/relationships/hyperlink" Target="https://cba.ca/small-and-medium-sized-enterprises" TargetMode="External"/><Relationship Id="rId9" Type="http://schemas.openxmlformats.org/officeDocument/2006/relationships/hyperlink" Target="https://www.scotiabank.com/ca/en/small-business/business-banking/loans-leases/csbfa.html" TargetMode="External"/><Relationship Id="rId14" Type="http://schemas.openxmlformats.org/officeDocument/2006/relationships/hyperlink" Target="https://www.ratehub.ca/credit-cards/credit-card-fe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tabSelected="1" topLeftCell="A31" workbookViewId="0">
      <selection activeCell="A53" sqref="A53"/>
    </sheetView>
  </sheetViews>
  <sheetFormatPr defaultRowHeight="15" customHeight="1" x14ac:dyDescent="0.25"/>
  <cols>
    <col min="1" max="1" width="55.42578125" bestFit="1" customWidth="1"/>
    <col min="2" max="2" width="16" customWidth="1"/>
    <col min="3" max="3" width="15.85546875" bestFit="1" customWidth="1"/>
    <col min="4" max="4" width="16.7109375" customWidth="1"/>
    <col min="5" max="5" width="18.7109375" bestFit="1" customWidth="1"/>
    <col min="6" max="6" width="18.140625" customWidth="1"/>
    <col min="7" max="7" width="18.7109375" customWidth="1"/>
    <col min="8" max="9" width="18.7109375" bestFit="1" customWidth="1"/>
    <col min="10" max="10" width="18.7109375" customWidth="1"/>
    <col min="11" max="21" width="18.7109375" bestFit="1" customWidth="1"/>
    <col min="22" max="22" width="12" bestFit="1" customWidth="1"/>
  </cols>
  <sheetData>
    <row r="1" spans="1:23" s="55" customFormat="1" ht="14.45" customHeight="1" x14ac:dyDescent="0.25">
      <c r="A1" s="53"/>
      <c r="B1" s="54" t="s">
        <v>0</v>
      </c>
      <c r="C1" s="54" t="s">
        <v>1</v>
      </c>
      <c r="D1" s="54" t="s">
        <v>2</v>
      </c>
      <c r="E1" s="54" t="s">
        <v>3</v>
      </c>
      <c r="F1" s="54" t="s">
        <v>4</v>
      </c>
      <c r="G1" s="54" t="s">
        <v>5</v>
      </c>
      <c r="H1" s="54" t="s">
        <v>6</v>
      </c>
      <c r="I1" s="54" t="s">
        <v>7</v>
      </c>
      <c r="J1" s="54" t="s">
        <v>8</v>
      </c>
      <c r="K1" s="54" t="s">
        <v>9</v>
      </c>
      <c r="L1" s="54" t="s">
        <v>10</v>
      </c>
      <c r="M1" s="54" t="s">
        <v>11</v>
      </c>
      <c r="N1" s="54" t="s">
        <v>12</v>
      </c>
      <c r="O1" s="54" t="s">
        <v>13</v>
      </c>
      <c r="P1" s="54" t="s">
        <v>14</v>
      </c>
      <c r="Q1" s="54" t="s">
        <v>15</v>
      </c>
      <c r="R1" s="54" t="s">
        <v>16</v>
      </c>
      <c r="S1" s="54" t="s">
        <v>17</v>
      </c>
      <c r="T1" s="54" t="s">
        <v>18</v>
      </c>
      <c r="U1" s="54" t="s">
        <v>19</v>
      </c>
    </row>
    <row r="2" spans="1:23" ht="15" customHeight="1" x14ac:dyDescent="0.25">
      <c r="A2" s="43" t="s">
        <v>20</v>
      </c>
      <c r="B2" s="12">
        <v>0</v>
      </c>
      <c r="C2" s="12">
        <v>200000000</v>
      </c>
      <c r="D2" s="12">
        <v>400000000</v>
      </c>
      <c r="E2" s="12">
        <v>600000000</v>
      </c>
      <c r="F2" s="12">
        <v>800000000</v>
      </c>
      <c r="G2" s="12">
        <v>1000000000</v>
      </c>
      <c r="H2" s="12">
        <v>1200000000</v>
      </c>
      <c r="I2" s="12">
        <v>1400000000</v>
      </c>
      <c r="J2" s="12">
        <v>1800000000</v>
      </c>
      <c r="K2" s="12">
        <v>2200000000</v>
      </c>
      <c r="L2" s="12">
        <v>2600000000</v>
      </c>
      <c r="M2" s="12">
        <v>3000000000</v>
      </c>
      <c r="N2" s="12">
        <v>3400000000</v>
      </c>
      <c r="O2" s="12">
        <v>3800000000</v>
      </c>
      <c r="P2" s="12">
        <v>4200000000</v>
      </c>
      <c r="Q2" s="12">
        <v>4600000000</v>
      </c>
      <c r="R2" s="12">
        <v>5000000000</v>
      </c>
      <c r="S2" s="12">
        <v>5400000000</v>
      </c>
      <c r="T2" s="12">
        <v>5800000000</v>
      </c>
      <c r="U2" s="12">
        <v>6200000000</v>
      </c>
    </row>
    <row r="3" spans="1:23" ht="15" customHeight="1" x14ac:dyDescent="0.25">
      <c r="A3" s="43" t="s">
        <v>21</v>
      </c>
      <c r="B3" s="12"/>
      <c r="C3" s="12">
        <v>21000000</v>
      </c>
      <c r="D3" s="12">
        <v>42000000</v>
      </c>
      <c r="E3" s="12">
        <v>63000000</v>
      </c>
      <c r="F3" s="12">
        <v>84000000</v>
      </c>
      <c r="G3" s="12">
        <v>105000000</v>
      </c>
      <c r="H3" s="12">
        <v>126000000</v>
      </c>
      <c r="I3" s="12">
        <v>147000000</v>
      </c>
      <c r="J3" s="12">
        <v>168000000</v>
      </c>
      <c r="K3" s="12">
        <v>189000000</v>
      </c>
      <c r="L3" s="12">
        <v>210000000</v>
      </c>
      <c r="M3" s="12">
        <v>231000000</v>
      </c>
      <c r="N3" s="12">
        <v>252000000</v>
      </c>
      <c r="O3" s="12">
        <v>273000000</v>
      </c>
      <c r="P3" s="12">
        <v>294000000</v>
      </c>
      <c r="Q3" s="12">
        <v>315000000</v>
      </c>
      <c r="R3" s="12">
        <v>336000000</v>
      </c>
      <c r="S3" s="12">
        <v>357000000</v>
      </c>
      <c r="T3" s="12">
        <v>378000000</v>
      </c>
      <c r="U3" s="12">
        <v>399000000</v>
      </c>
    </row>
    <row r="4" spans="1:23" ht="15" customHeight="1" x14ac:dyDescent="0.25">
      <c r="A4" s="43" t="s">
        <v>22</v>
      </c>
      <c r="B4" s="12"/>
      <c r="C4" s="12">
        <v>140000000</v>
      </c>
      <c r="D4" s="12">
        <v>280000000</v>
      </c>
      <c r="E4" s="12">
        <v>420000000</v>
      </c>
      <c r="F4" s="12">
        <v>560000000</v>
      </c>
      <c r="G4" s="12">
        <v>700000000</v>
      </c>
      <c r="H4" s="12">
        <v>840000000</v>
      </c>
      <c r="I4" s="12">
        <v>980000000</v>
      </c>
      <c r="J4" s="12">
        <v>1400000000</v>
      </c>
      <c r="K4" s="12">
        <v>1820000000</v>
      </c>
      <c r="L4" s="12">
        <v>2240000000</v>
      </c>
      <c r="M4" s="12">
        <v>2660000000</v>
      </c>
      <c r="N4" s="12">
        <v>3080000000</v>
      </c>
      <c r="O4" s="12">
        <v>3500000000</v>
      </c>
      <c r="P4" s="12">
        <v>3920000000</v>
      </c>
      <c r="Q4" s="12">
        <v>4340000000</v>
      </c>
      <c r="R4" s="12">
        <v>4760000000</v>
      </c>
      <c r="S4" s="12">
        <v>5180000000</v>
      </c>
      <c r="T4" s="12">
        <v>5600000000</v>
      </c>
      <c r="U4" s="12">
        <v>6020000000</v>
      </c>
    </row>
    <row r="5" spans="1:23" ht="15" customHeight="1" x14ac:dyDescent="0.25">
      <c r="A5" s="43" t="s">
        <v>23</v>
      </c>
      <c r="B5" s="12">
        <v>0</v>
      </c>
      <c r="C5" s="12">
        <v>44000000</v>
      </c>
      <c r="D5" s="12">
        <v>88000000</v>
      </c>
      <c r="E5" s="12">
        <v>132000000</v>
      </c>
      <c r="F5" s="12">
        <v>176000000</v>
      </c>
      <c r="G5" s="12">
        <v>220000000</v>
      </c>
      <c r="H5" s="12">
        <v>264000000</v>
      </c>
      <c r="I5" s="12">
        <v>308000000</v>
      </c>
      <c r="J5" s="12">
        <v>440000000</v>
      </c>
      <c r="K5" s="12">
        <v>572000000</v>
      </c>
      <c r="L5" s="12">
        <v>704000000</v>
      </c>
      <c r="M5" s="12">
        <v>836000000</v>
      </c>
      <c r="N5" s="12">
        <v>968000000</v>
      </c>
      <c r="O5" s="12">
        <v>1100000000</v>
      </c>
      <c r="P5" s="12">
        <v>1232000000</v>
      </c>
      <c r="Q5" s="12">
        <v>1496000000</v>
      </c>
      <c r="R5" s="12">
        <v>1760000000</v>
      </c>
      <c r="S5" s="12">
        <v>2024000000</v>
      </c>
      <c r="T5" s="12">
        <v>2288000000</v>
      </c>
      <c r="U5" s="12">
        <v>2552000000</v>
      </c>
    </row>
    <row r="6" spans="1:23" ht="15" customHeight="1" x14ac:dyDescent="0.25">
      <c r="A6" s="43" t="s">
        <v>24</v>
      </c>
      <c r="B6" s="12">
        <v>400000</v>
      </c>
      <c r="C6" s="12">
        <v>47667000</v>
      </c>
      <c r="D6" s="12">
        <v>95334000</v>
      </c>
      <c r="E6" s="12">
        <v>190668000</v>
      </c>
      <c r="F6" s="12">
        <v>238335000</v>
      </c>
      <c r="G6" s="12">
        <v>333669000</v>
      </c>
      <c r="H6" s="12">
        <v>476670000</v>
      </c>
      <c r="I6" s="12">
        <v>524337000</v>
      </c>
      <c r="J6" s="12">
        <v>667338000</v>
      </c>
      <c r="K6" s="12">
        <v>762672000</v>
      </c>
      <c r="L6" s="12">
        <v>953340000</v>
      </c>
      <c r="M6" s="12">
        <v>1001007000</v>
      </c>
      <c r="N6" s="12">
        <v>1096341000</v>
      </c>
      <c r="O6" s="12">
        <v>1144008000</v>
      </c>
      <c r="P6" s="12">
        <v>1239342000</v>
      </c>
      <c r="Q6" s="12">
        <v>1287009000</v>
      </c>
      <c r="R6" s="12">
        <v>1382343000</v>
      </c>
      <c r="S6" s="12">
        <v>1430010000</v>
      </c>
      <c r="T6" s="12">
        <v>1477677000</v>
      </c>
      <c r="U6" s="12">
        <v>1525344000</v>
      </c>
    </row>
    <row r="7" spans="1:23" ht="15" customHeight="1" x14ac:dyDescent="0.25">
      <c r="A7" s="43" t="s">
        <v>25</v>
      </c>
      <c r="B7" s="12">
        <v>1500000</v>
      </c>
      <c r="C7" s="12">
        <v>5681818</v>
      </c>
      <c r="D7" s="12">
        <v>11363636</v>
      </c>
      <c r="E7" s="12">
        <v>17045455</v>
      </c>
      <c r="F7" s="12">
        <v>22727273</v>
      </c>
      <c r="G7" s="12">
        <v>28409091</v>
      </c>
      <c r="H7" s="12">
        <v>34090909</v>
      </c>
      <c r="I7" s="12">
        <v>39772727</v>
      </c>
      <c r="J7" s="12">
        <v>56818182</v>
      </c>
      <c r="K7" s="12">
        <v>73863636</v>
      </c>
      <c r="L7" s="12">
        <v>90909091</v>
      </c>
      <c r="M7" s="12">
        <v>107954545</v>
      </c>
      <c r="N7" s="12">
        <v>125000000</v>
      </c>
      <c r="O7" s="12">
        <v>142045455</v>
      </c>
      <c r="P7" s="12">
        <v>159090909</v>
      </c>
      <c r="Q7" s="12">
        <v>193181818</v>
      </c>
      <c r="R7" s="12">
        <v>227272727</v>
      </c>
      <c r="S7" s="12">
        <v>261363636</v>
      </c>
      <c r="T7" s="12">
        <v>295454545</v>
      </c>
      <c r="U7" s="12">
        <v>329545455</v>
      </c>
      <c r="V7" s="20"/>
    </row>
    <row r="8" spans="1:23" ht="15" customHeight="1" x14ac:dyDescent="0.25">
      <c r="A8" s="43" t="s">
        <v>26</v>
      </c>
      <c r="B8" s="12">
        <v>1500000</v>
      </c>
      <c r="C8" s="12">
        <v>40000000</v>
      </c>
      <c r="D8" s="12">
        <v>80000000</v>
      </c>
      <c r="E8" s="12">
        <v>120000000</v>
      </c>
      <c r="F8" s="12">
        <v>160000000</v>
      </c>
      <c r="G8" s="12">
        <v>200000000</v>
      </c>
      <c r="H8" s="12">
        <v>240000000</v>
      </c>
      <c r="I8" s="12">
        <v>280000000</v>
      </c>
      <c r="J8" s="12">
        <v>380000000</v>
      </c>
      <c r="K8" s="12">
        <v>480000000</v>
      </c>
      <c r="L8" s="12">
        <v>580000000</v>
      </c>
      <c r="M8" s="12">
        <v>680000000</v>
      </c>
      <c r="N8" s="12">
        <v>780000000</v>
      </c>
      <c r="O8" s="12">
        <v>880000000</v>
      </c>
      <c r="P8" s="12">
        <v>980000000</v>
      </c>
      <c r="Q8" s="12">
        <v>1080000000</v>
      </c>
      <c r="R8" s="12">
        <v>1180000000</v>
      </c>
      <c r="S8" s="12">
        <v>1280000000</v>
      </c>
      <c r="T8" s="12">
        <v>1380000000</v>
      </c>
      <c r="U8" s="12">
        <v>1480000000</v>
      </c>
    </row>
    <row r="9" spans="1:23" ht="15" customHeight="1" x14ac:dyDescent="0.25">
      <c r="A9" s="1" t="s">
        <v>27</v>
      </c>
      <c r="B9" s="12">
        <v>0</v>
      </c>
      <c r="C9" s="12">
        <v>1590043</v>
      </c>
      <c r="D9" s="12">
        <v>3180087</v>
      </c>
      <c r="E9" s="12">
        <v>4770130</v>
      </c>
      <c r="F9" s="12">
        <v>6360173</v>
      </c>
      <c r="G9" s="12">
        <v>7950216</v>
      </c>
      <c r="H9" s="12">
        <v>9540260</v>
      </c>
      <c r="I9" s="12">
        <v>11130303</v>
      </c>
      <c r="J9" s="12">
        <v>14400433</v>
      </c>
      <c r="K9" s="12">
        <v>17670563</v>
      </c>
      <c r="L9" s="12">
        <v>20940693</v>
      </c>
      <c r="M9" s="12">
        <v>24210823</v>
      </c>
      <c r="N9" s="12">
        <v>27480952</v>
      </c>
      <c r="O9" s="12">
        <v>30751082</v>
      </c>
      <c r="P9" s="12">
        <v>34021212</v>
      </c>
      <c r="Q9" s="12">
        <v>37291342</v>
      </c>
      <c r="R9" s="12">
        <v>40561472</v>
      </c>
      <c r="S9" s="12">
        <v>43831602</v>
      </c>
      <c r="T9" s="12">
        <v>47101732</v>
      </c>
      <c r="U9" s="12">
        <v>50371861</v>
      </c>
    </row>
    <row r="10" spans="1:23" s="5" customFormat="1" x14ac:dyDescent="0.25">
      <c r="A10" s="47" t="s">
        <v>28</v>
      </c>
      <c r="B10" s="13">
        <f t="shared" ref="B10:U10" si="0">SUM(B2:B9)</f>
        <v>3400000</v>
      </c>
      <c r="C10" s="13">
        <f t="shared" si="0"/>
        <v>499938861</v>
      </c>
      <c r="D10" s="13">
        <f t="shared" si="0"/>
        <v>999877723</v>
      </c>
      <c r="E10" s="13">
        <f t="shared" si="0"/>
        <v>1547483585</v>
      </c>
      <c r="F10" s="13">
        <f t="shared" si="0"/>
        <v>2047422446</v>
      </c>
      <c r="G10" s="13">
        <f t="shared" si="0"/>
        <v>2595028307</v>
      </c>
      <c r="H10" s="13">
        <f t="shared" si="0"/>
        <v>3190301169</v>
      </c>
      <c r="I10" s="13">
        <f t="shared" si="0"/>
        <v>3690240030</v>
      </c>
      <c r="J10" s="13">
        <f t="shared" si="0"/>
        <v>4926556615</v>
      </c>
      <c r="K10" s="13">
        <f t="shared" si="0"/>
        <v>6115206199</v>
      </c>
      <c r="L10" s="13">
        <f t="shared" si="0"/>
        <v>7399189784</v>
      </c>
      <c r="M10" s="13">
        <f t="shared" si="0"/>
        <v>8540172368</v>
      </c>
      <c r="N10" s="13">
        <f t="shared" si="0"/>
        <v>9728821952</v>
      </c>
      <c r="O10" s="13">
        <f t="shared" si="0"/>
        <v>10869804537</v>
      </c>
      <c r="P10" s="13">
        <f t="shared" si="0"/>
        <v>12058454121</v>
      </c>
      <c r="Q10" s="13">
        <f t="shared" si="0"/>
        <v>13348482160</v>
      </c>
      <c r="R10" s="13">
        <f t="shared" si="0"/>
        <v>14686177199</v>
      </c>
      <c r="S10" s="13">
        <f t="shared" si="0"/>
        <v>15976205238</v>
      </c>
      <c r="T10" s="13">
        <f t="shared" si="0"/>
        <v>17266233277</v>
      </c>
      <c r="U10" s="13">
        <f t="shared" si="0"/>
        <v>18556261316</v>
      </c>
      <c r="W10" s="45"/>
    </row>
    <row r="11" spans="1:23" ht="15" customHeight="1" x14ac:dyDescent="0.25">
      <c r="A11" s="1" t="s">
        <v>29</v>
      </c>
      <c r="B11" s="12">
        <v>2500000</v>
      </c>
      <c r="C11" s="12">
        <f>B11+B11*0.05</f>
        <v>2625000</v>
      </c>
      <c r="D11" s="12">
        <f>C11+C11*0.05</f>
        <v>2756250</v>
      </c>
      <c r="E11" s="12">
        <f>D11+D11*0.05</f>
        <v>2894062.5</v>
      </c>
      <c r="F11" s="12">
        <f>E11+E11*0.05</f>
        <v>3038765.625</v>
      </c>
      <c r="G11" s="12">
        <f>F11+F11*0.05</f>
        <v>3190703.90625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3" ht="14.45" customHeight="1" x14ac:dyDescent="0.25">
      <c r="A12" s="43" t="s">
        <v>30</v>
      </c>
      <c r="B12" s="19">
        <v>300000</v>
      </c>
      <c r="C12" s="12">
        <f>B12+B12*0.05</f>
        <v>315000</v>
      </c>
      <c r="D12" s="12">
        <f t="shared" ref="D12:U12" si="1">C12+C12*0.05</f>
        <v>330750</v>
      </c>
      <c r="E12" s="12">
        <f t="shared" si="1"/>
        <v>347287.5</v>
      </c>
      <c r="F12" s="12">
        <f t="shared" si="1"/>
        <v>364651.875</v>
      </c>
      <c r="G12" s="12">
        <f t="shared" si="1"/>
        <v>382884.46875</v>
      </c>
      <c r="H12" s="12">
        <f t="shared" si="1"/>
        <v>402028.69218750001</v>
      </c>
      <c r="I12" s="12">
        <f t="shared" si="1"/>
        <v>422130.12679687503</v>
      </c>
      <c r="J12" s="12">
        <f t="shared" si="1"/>
        <v>443236.63313671877</v>
      </c>
      <c r="K12" s="12">
        <f t="shared" si="1"/>
        <v>465398.46479355468</v>
      </c>
      <c r="L12" s="12">
        <f t="shared" si="1"/>
        <v>488668.38803323242</v>
      </c>
      <c r="M12" s="12">
        <f t="shared" si="1"/>
        <v>513101.80743489403</v>
      </c>
      <c r="N12" s="12">
        <f t="shared" si="1"/>
        <v>538756.89780663874</v>
      </c>
      <c r="O12" s="12">
        <f t="shared" si="1"/>
        <v>565694.7426969707</v>
      </c>
      <c r="P12" s="12">
        <f t="shared" si="1"/>
        <v>593979.47983181919</v>
      </c>
      <c r="Q12" s="12">
        <f t="shared" si="1"/>
        <v>623678.45382341021</v>
      </c>
      <c r="R12" s="12">
        <f t="shared" si="1"/>
        <v>654862.37651458068</v>
      </c>
      <c r="S12" s="12">
        <f t="shared" si="1"/>
        <v>687605.49534030969</v>
      </c>
      <c r="T12" s="12">
        <f t="shared" si="1"/>
        <v>721985.77010732517</v>
      </c>
      <c r="U12" s="12">
        <f t="shared" si="1"/>
        <v>758085.05861269147</v>
      </c>
    </row>
    <row r="13" spans="1:23" ht="14.45" customHeight="1" x14ac:dyDescent="0.25">
      <c r="A13" s="43" t="s">
        <v>31</v>
      </c>
      <c r="B13" s="12">
        <v>1500000</v>
      </c>
      <c r="C13" s="12">
        <f>B13+B13*0.1</f>
        <v>1650000</v>
      </c>
      <c r="D13" s="12">
        <f t="shared" ref="D13:U13" si="2">C13+C13*0.1</f>
        <v>1815000</v>
      </c>
      <c r="E13" s="12">
        <f t="shared" si="2"/>
        <v>1996500</v>
      </c>
      <c r="F13" s="12">
        <f t="shared" si="2"/>
        <v>2196150</v>
      </c>
      <c r="G13" s="12">
        <f t="shared" si="2"/>
        <v>2415765</v>
      </c>
      <c r="H13" s="12">
        <f t="shared" si="2"/>
        <v>2657341.5</v>
      </c>
      <c r="I13" s="12">
        <f t="shared" si="2"/>
        <v>2923075.65</v>
      </c>
      <c r="J13" s="12">
        <f t="shared" si="2"/>
        <v>3215383.2149999999</v>
      </c>
      <c r="K13" s="12">
        <f t="shared" si="2"/>
        <v>3536921.5364999999</v>
      </c>
      <c r="L13" s="12">
        <f t="shared" si="2"/>
        <v>3890613.6901500002</v>
      </c>
      <c r="M13" s="12">
        <f t="shared" si="2"/>
        <v>4279675.059165</v>
      </c>
      <c r="N13" s="12">
        <f t="shared" si="2"/>
        <v>4707642.5650814995</v>
      </c>
      <c r="O13" s="12">
        <f t="shared" si="2"/>
        <v>5178406.8215896497</v>
      </c>
      <c r="P13" s="12">
        <f t="shared" si="2"/>
        <v>5696247.5037486143</v>
      </c>
      <c r="Q13" s="12">
        <f t="shared" si="2"/>
        <v>6265872.2541234754</v>
      </c>
      <c r="R13" s="12">
        <f t="shared" si="2"/>
        <v>6892459.4795358228</v>
      </c>
      <c r="S13" s="12">
        <f t="shared" si="2"/>
        <v>7581705.4274894055</v>
      </c>
      <c r="T13" s="12">
        <f t="shared" si="2"/>
        <v>8339875.9702383466</v>
      </c>
      <c r="U13" s="12">
        <f t="shared" si="2"/>
        <v>9173863.567262182</v>
      </c>
    </row>
    <row r="14" spans="1:23" ht="14.45" customHeight="1" x14ac:dyDescent="0.25">
      <c r="A14" s="43" t="s">
        <v>32</v>
      </c>
      <c r="B14" s="12">
        <v>3000000</v>
      </c>
      <c r="C14" s="12">
        <v>200000</v>
      </c>
      <c r="D14" s="12">
        <f>C14+C14*0.05</f>
        <v>210000</v>
      </c>
      <c r="E14" s="12">
        <f t="shared" ref="E14:U14" si="3">D14+D14*0.05</f>
        <v>220500</v>
      </c>
      <c r="F14" s="12">
        <f t="shared" si="3"/>
        <v>231525</v>
      </c>
      <c r="G14" s="12">
        <f t="shared" si="3"/>
        <v>243101.25</v>
      </c>
      <c r="H14" s="12">
        <f t="shared" si="3"/>
        <v>255256.3125</v>
      </c>
      <c r="I14" s="12">
        <f t="shared" si="3"/>
        <v>268019.12812499999</v>
      </c>
      <c r="J14" s="12">
        <f t="shared" si="3"/>
        <v>281420.08453125</v>
      </c>
      <c r="K14" s="12">
        <f t="shared" si="3"/>
        <v>295491.08875781251</v>
      </c>
      <c r="L14" s="12">
        <f t="shared" si="3"/>
        <v>310265.64319570316</v>
      </c>
      <c r="M14" s="12">
        <f t="shared" si="3"/>
        <v>325778.92535548832</v>
      </c>
      <c r="N14" s="12">
        <f t="shared" si="3"/>
        <v>342067.87162326276</v>
      </c>
      <c r="O14" s="12">
        <f t="shared" si="3"/>
        <v>359171.2652044259</v>
      </c>
      <c r="P14" s="12">
        <f t="shared" si="3"/>
        <v>377129.82846464717</v>
      </c>
      <c r="Q14" s="12">
        <f t="shared" si="3"/>
        <v>395986.31988787954</v>
      </c>
      <c r="R14" s="12">
        <f t="shared" si="3"/>
        <v>415785.63588227349</v>
      </c>
      <c r="S14" s="12">
        <f t="shared" si="3"/>
        <v>436574.91767638718</v>
      </c>
      <c r="T14" s="12">
        <f t="shared" si="3"/>
        <v>458403.66356020654</v>
      </c>
      <c r="U14" s="12">
        <f t="shared" si="3"/>
        <v>481323.84673821687</v>
      </c>
    </row>
    <row r="15" spans="1:23" ht="14.45" customHeight="1" x14ac:dyDescent="0.25">
      <c r="A15" s="43" t="s">
        <v>33</v>
      </c>
      <c r="B15" s="12">
        <v>850000</v>
      </c>
      <c r="C15" s="12">
        <f>B15+B15*0.1</f>
        <v>935000</v>
      </c>
      <c r="D15" s="12">
        <f t="shared" ref="D15:U15" si="4">C15+C15*0.1</f>
        <v>1028500</v>
      </c>
      <c r="E15" s="12">
        <f t="shared" si="4"/>
        <v>1131350</v>
      </c>
      <c r="F15" s="12">
        <f t="shared" si="4"/>
        <v>1244485</v>
      </c>
      <c r="G15" s="12">
        <f t="shared" si="4"/>
        <v>1368933.5</v>
      </c>
      <c r="H15" s="12">
        <f t="shared" si="4"/>
        <v>1505826.85</v>
      </c>
      <c r="I15" s="12">
        <f t="shared" si="4"/>
        <v>1656409.5350000001</v>
      </c>
      <c r="J15" s="12">
        <f t="shared" si="4"/>
        <v>1822050.4885000002</v>
      </c>
      <c r="K15" s="12">
        <f t="shared" si="4"/>
        <v>2004255.5373500003</v>
      </c>
      <c r="L15" s="12">
        <f t="shared" si="4"/>
        <v>2204681.0910850004</v>
      </c>
      <c r="M15" s="12">
        <f t="shared" si="4"/>
        <v>2425149.2001935006</v>
      </c>
      <c r="N15" s="12">
        <f t="shared" si="4"/>
        <v>2667664.1202128506</v>
      </c>
      <c r="O15" s="12">
        <f t="shared" si="4"/>
        <v>2934430.5322341355</v>
      </c>
      <c r="P15" s="12">
        <f t="shared" si="4"/>
        <v>3227873.585457549</v>
      </c>
      <c r="Q15" s="12">
        <f t="shared" si="4"/>
        <v>3550660.944003304</v>
      </c>
      <c r="R15" s="12">
        <f t="shared" si="4"/>
        <v>3905727.0384036344</v>
      </c>
      <c r="S15" s="12">
        <f t="shared" si="4"/>
        <v>4296299.7422439978</v>
      </c>
      <c r="T15" s="12">
        <f t="shared" si="4"/>
        <v>4725929.7164683975</v>
      </c>
      <c r="U15" s="12">
        <f t="shared" si="4"/>
        <v>5198522.6881152373</v>
      </c>
    </row>
    <row r="16" spans="1:23" ht="15" customHeight="1" x14ac:dyDescent="0.25">
      <c r="A16" s="43" t="s">
        <v>34</v>
      </c>
      <c r="B16" s="12">
        <v>33129000</v>
      </c>
      <c r="C16" s="12">
        <v>36211500</v>
      </c>
      <c r="D16" s="12">
        <v>39593334</v>
      </c>
      <c r="E16" s="12">
        <v>43304080.32</v>
      </c>
      <c r="F16" s="12">
        <v>47376260.5836</v>
      </c>
      <c r="G16" s="12">
        <v>51845633.438868001</v>
      </c>
      <c r="H16" s="12">
        <v>56751517.625134446</v>
      </c>
      <c r="I16" s="12">
        <v>62137147.319159396</v>
      </c>
      <c r="J16" s="12">
        <v>68050062.987412244</v>
      </c>
      <c r="K16" s="12">
        <v>74542541.293824211</v>
      </c>
      <c r="L16" s="12">
        <v>81672067.967253789</v>
      </c>
      <c r="M16" s="12">
        <v>89501857.923271418</v>
      </c>
      <c r="N16" s="12">
        <v>98101427.364268243</v>
      </c>
      <c r="O16" s="12">
        <v>107547223.05423144</v>
      </c>
      <c r="P16" s="12">
        <v>117923314.48409513</v>
      </c>
      <c r="Q16" s="12">
        <v>129322155.21509728</v>
      </c>
      <c r="R16" s="12">
        <v>141845420.31624347</v>
      </c>
      <c r="S16" s="12">
        <v>155604927.50351092</v>
      </c>
      <c r="T16" s="12">
        <v>170723650.34911102</v>
      </c>
      <c r="U16" s="12">
        <v>187336832.76587585</v>
      </c>
    </row>
    <row r="17" spans="1:22" ht="14.45" customHeight="1" x14ac:dyDescent="0.25">
      <c r="A17" s="46" t="s">
        <v>35</v>
      </c>
      <c r="B17" s="21">
        <v>1150000</v>
      </c>
      <c r="C17" s="23">
        <f t="shared" ref="C17:U17" si="5">B17+B17*0.1</f>
        <v>1265000</v>
      </c>
      <c r="D17" s="12">
        <f t="shared" si="5"/>
        <v>1391500</v>
      </c>
      <c r="E17" s="12">
        <f t="shared" si="5"/>
        <v>1530650</v>
      </c>
      <c r="F17" s="12">
        <f t="shared" si="5"/>
        <v>1683715</v>
      </c>
      <c r="G17" s="12">
        <f t="shared" si="5"/>
        <v>1852086.5</v>
      </c>
      <c r="H17" s="12">
        <f t="shared" si="5"/>
        <v>2037295.15</v>
      </c>
      <c r="I17" s="12">
        <f t="shared" si="5"/>
        <v>2241024.665</v>
      </c>
      <c r="J17" s="12">
        <f t="shared" si="5"/>
        <v>2465127.1315000001</v>
      </c>
      <c r="K17" s="12">
        <f t="shared" si="5"/>
        <v>2711639.8446500003</v>
      </c>
      <c r="L17" s="12">
        <f t="shared" si="5"/>
        <v>2982803.8291150006</v>
      </c>
      <c r="M17" s="12">
        <f t="shared" si="5"/>
        <v>3281084.2120265006</v>
      </c>
      <c r="N17" s="12">
        <f t="shared" si="5"/>
        <v>3609192.6332291504</v>
      </c>
      <c r="O17" s="12">
        <f t="shared" si="5"/>
        <v>3970111.8965520654</v>
      </c>
      <c r="P17" s="12">
        <f t="shared" si="5"/>
        <v>4367123.0862072716</v>
      </c>
      <c r="Q17" s="12">
        <f t="shared" si="5"/>
        <v>4803835.3948279992</v>
      </c>
      <c r="R17" s="12">
        <f t="shared" si="5"/>
        <v>5284218.9343107995</v>
      </c>
      <c r="S17" s="12">
        <f t="shared" si="5"/>
        <v>5812640.827741879</v>
      </c>
      <c r="T17" s="12">
        <f t="shared" si="5"/>
        <v>6393904.9105160665</v>
      </c>
      <c r="U17" s="12">
        <f t="shared" si="5"/>
        <v>7033295.4015676733</v>
      </c>
    </row>
    <row r="18" spans="1:22" ht="14.45" customHeight="1" x14ac:dyDescent="0.25">
      <c r="A18" s="43" t="s">
        <v>36</v>
      </c>
      <c r="B18" s="12">
        <v>15000000</v>
      </c>
      <c r="C18" s="12">
        <f>B18+B18*0.05</f>
        <v>15750000</v>
      </c>
      <c r="D18" s="12">
        <f t="shared" ref="D18:U18" si="6">C18+C18*0.05</f>
        <v>16537500</v>
      </c>
      <c r="E18" s="12">
        <f t="shared" si="6"/>
        <v>17364375</v>
      </c>
      <c r="F18" s="12">
        <f t="shared" si="6"/>
        <v>18232593.75</v>
      </c>
      <c r="G18" s="12">
        <f t="shared" si="6"/>
        <v>19144223.4375</v>
      </c>
      <c r="H18" s="12">
        <f t="shared" si="6"/>
        <v>20101434.609375</v>
      </c>
      <c r="I18" s="12">
        <f t="shared" si="6"/>
        <v>21106506.33984375</v>
      </c>
      <c r="J18" s="12">
        <f t="shared" si="6"/>
        <v>22161831.656835936</v>
      </c>
      <c r="K18" s="12">
        <f t="shared" si="6"/>
        <v>23269923.239677735</v>
      </c>
      <c r="L18" s="12">
        <f t="shared" si="6"/>
        <v>24433419.40166162</v>
      </c>
      <c r="M18" s="12">
        <f t="shared" si="6"/>
        <v>25655090.3717447</v>
      </c>
      <c r="N18" s="12">
        <f t="shared" si="6"/>
        <v>26937844.890331935</v>
      </c>
      <c r="O18" s="12">
        <f t="shared" si="6"/>
        <v>28284737.134848531</v>
      </c>
      <c r="P18" s="12">
        <f t="shared" si="6"/>
        <v>29698973.991590958</v>
      </c>
      <c r="Q18" s="12">
        <f t="shared" si="6"/>
        <v>31183922.691170506</v>
      </c>
      <c r="R18" s="12">
        <f t="shared" si="6"/>
        <v>32743118.825729031</v>
      </c>
      <c r="S18" s="12">
        <f t="shared" si="6"/>
        <v>34380274.76701548</v>
      </c>
      <c r="T18" s="12">
        <f t="shared" si="6"/>
        <v>36099288.505366251</v>
      </c>
      <c r="U18" s="12">
        <f t="shared" si="6"/>
        <v>37904252.930634566</v>
      </c>
    </row>
    <row r="19" spans="1:22" ht="14.45" customHeight="1" x14ac:dyDescent="0.25">
      <c r="A19" s="43" t="s">
        <v>37</v>
      </c>
      <c r="B19" s="12">
        <v>250000</v>
      </c>
      <c r="C19" s="12">
        <f>B19+B19*0.05</f>
        <v>262500</v>
      </c>
      <c r="D19" s="12">
        <f t="shared" ref="D19:U19" si="7">C19+C19*0.05</f>
        <v>275625</v>
      </c>
      <c r="E19" s="12">
        <f t="shared" si="7"/>
        <v>289406.25</v>
      </c>
      <c r="F19" s="12">
        <f t="shared" si="7"/>
        <v>303876.5625</v>
      </c>
      <c r="G19" s="12">
        <f t="shared" si="7"/>
        <v>319070.390625</v>
      </c>
      <c r="H19" s="12">
        <f t="shared" si="7"/>
        <v>335023.91015625</v>
      </c>
      <c r="I19" s="12">
        <f t="shared" si="7"/>
        <v>351775.10566406249</v>
      </c>
      <c r="J19" s="12">
        <f t="shared" si="7"/>
        <v>369363.86094726564</v>
      </c>
      <c r="K19" s="12">
        <f t="shared" si="7"/>
        <v>387832.05399462895</v>
      </c>
      <c r="L19" s="12">
        <f t="shared" si="7"/>
        <v>407223.65669436043</v>
      </c>
      <c r="M19" s="12">
        <f t="shared" si="7"/>
        <v>427584.83952907845</v>
      </c>
      <c r="N19" s="12">
        <f t="shared" si="7"/>
        <v>448964.08150553238</v>
      </c>
      <c r="O19" s="12">
        <f t="shared" si="7"/>
        <v>471412.285580809</v>
      </c>
      <c r="P19" s="12">
        <f t="shared" si="7"/>
        <v>494982.89985984942</v>
      </c>
      <c r="Q19" s="12">
        <f t="shared" si="7"/>
        <v>519732.04485284188</v>
      </c>
      <c r="R19" s="12">
        <f t="shared" si="7"/>
        <v>545718.64709548396</v>
      </c>
      <c r="S19" s="12">
        <f t="shared" si="7"/>
        <v>573004.57945025817</v>
      </c>
      <c r="T19" s="12">
        <f t="shared" si="7"/>
        <v>601654.80842277105</v>
      </c>
      <c r="U19" s="12">
        <f t="shared" si="7"/>
        <v>631737.54884390964</v>
      </c>
    </row>
    <row r="20" spans="1:22" ht="14.45" customHeight="1" x14ac:dyDescent="0.25">
      <c r="A20" s="43" t="s">
        <v>38</v>
      </c>
      <c r="B20" s="12">
        <v>19116000</v>
      </c>
      <c r="C20" s="12">
        <v>19593900</v>
      </c>
      <c r="D20" s="12">
        <v>16547343.75</v>
      </c>
      <c r="E20" s="12">
        <v>16961027.34375</v>
      </c>
      <c r="F20" s="12">
        <v>17385053.02734375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2" ht="14.45" customHeight="1" x14ac:dyDescent="0.25">
      <c r="A21" s="43" t="s">
        <v>39</v>
      </c>
      <c r="B21" s="12">
        <v>2706000</v>
      </c>
      <c r="C21" s="12">
        <v>2760120</v>
      </c>
      <c r="D21" s="12">
        <v>2815322.4</v>
      </c>
      <c r="E21" s="12">
        <v>2871628.8479999998</v>
      </c>
      <c r="F21" s="12">
        <v>2929061.4249599995</v>
      </c>
      <c r="G21" s="12">
        <v>2987642.6534591997</v>
      </c>
      <c r="H21" s="12">
        <v>3047395.5065283841</v>
      </c>
      <c r="I21" s="12">
        <v>3108343.4166589514</v>
      </c>
      <c r="J21" s="12">
        <v>3170510.2849921305</v>
      </c>
      <c r="K21" s="12">
        <v>3233920.4906919729</v>
      </c>
      <c r="L21" s="12">
        <v>3298598.9005058133</v>
      </c>
      <c r="M21" s="12">
        <v>3364570.8785159294</v>
      </c>
      <c r="N21" s="12">
        <v>3431862.296086248</v>
      </c>
      <c r="O21" s="12">
        <v>3500499.542007973</v>
      </c>
      <c r="P21" s="12">
        <v>3570509.5328481328</v>
      </c>
      <c r="Q21" s="12">
        <v>3641919.7235050951</v>
      </c>
      <c r="R21" s="12">
        <v>3714758.1179751968</v>
      </c>
      <c r="S21" s="12">
        <v>3789053.2803347013</v>
      </c>
      <c r="T21" s="12">
        <v>3864834.345941395</v>
      </c>
      <c r="U21" s="12">
        <v>3942131.0328602227</v>
      </c>
    </row>
    <row r="22" spans="1:22" ht="14.45" customHeight="1" x14ac:dyDescent="0.25">
      <c r="A22" s="43" t="s">
        <v>40</v>
      </c>
      <c r="B22" s="12">
        <v>500000</v>
      </c>
      <c r="C22" s="12">
        <f>B22+B22*0.025</f>
        <v>512500</v>
      </c>
      <c r="D22" s="12">
        <f t="shared" ref="D22:U22" si="8">C22+C22*0.025</f>
        <v>525312.5</v>
      </c>
      <c r="E22" s="12">
        <f t="shared" si="8"/>
        <v>538445.3125</v>
      </c>
      <c r="F22" s="12">
        <f t="shared" si="8"/>
        <v>551906.4453125</v>
      </c>
      <c r="G22" s="12">
        <f t="shared" si="8"/>
        <v>565704.1064453125</v>
      </c>
      <c r="H22" s="12">
        <f t="shared" si="8"/>
        <v>579846.70910644531</v>
      </c>
      <c r="I22" s="12">
        <f t="shared" si="8"/>
        <v>594342.8768341064</v>
      </c>
      <c r="J22" s="12">
        <f t="shared" si="8"/>
        <v>609201.44875495904</v>
      </c>
      <c r="K22" s="12">
        <f t="shared" si="8"/>
        <v>624431.48497383296</v>
      </c>
      <c r="L22" s="12">
        <f t="shared" si="8"/>
        <v>640042.27209817874</v>
      </c>
      <c r="M22" s="12">
        <f t="shared" si="8"/>
        <v>656043.32890063326</v>
      </c>
      <c r="N22" s="12">
        <f t="shared" si="8"/>
        <v>672444.41212314914</v>
      </c>
      <c r="O22" s="12">
        <f t="shared" si="8"/>
        <v>689255.52242622792</v>
      </c>
      <c r="P22" s="12">
        <f t="shared" si="8"/>
        <v>706486.9104868836</v>
      </c>
      <c r="Q22" s="12">
        <f t="shared" si="8"/>
        <v>724149.08324905566</v>
      </c>
      <c r="R22" s="12">
        <f t="shared" si="8"/>
        <v>742252.81033028208</v>
      </c>
      <c r="S22" s="12">
        <f t="shared" si="8"/>
        <v>760809.13058853918</v>
      </c>
      <c r="T22" s="12">
        <f t="shared" si="8"/>
        <v>779829.3588532526</v>
      </c>
      <c r="U22" s="12">
        <f t="shared" si="8"/>
        <v>799325.09282458387</v>
      </c>
    </row>
    <row r="23" spans="1:22" ht="14.45" customHeight="1" x14ac:dyDescent="0.25">
      <c r="A23" s="43" t="s">
        <v>41</v>
      </c>
      <c r="B23" s="12">
        <v>1500000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</row>
    <row r="24" spans="1:22" s="59" customFormat="1" ht="14.45" customHeight="1" x14ac:dyDescent="0.25">
      <c r="A24" s="60" t="s">
        <v>42</v>
      </c>
      <c r="B24" s="61">
        <v>100000</v>
      </c>
      <c r="C24" s="61">
        <v>157500000</v>
      </c>
      <c r="D24" s="61">
        <v>315000000</v>
      </c>
      <c r="E24" s="61">
        <v>472500000</v>
      </c>
      <c r="F24" s="61">
        <v>630000000</v>
      </c>
      <c r="G24" s="61">
        <v>787500000</v>
      </c>
      <c r="H24" s="61">
        <v>945000000</v>
      </c>
      <c r="I24" s="61">
        <v>1102500000</v>
      </c>
      <c r="J24" s="61">
        <v>1510000000</v>
      </c>
      <c r="K24" s="61">
        <v>1917500000</v>
      </c>
      <c r="L24" s="61">
        <v>2325000000</v>
      </c>
      <c r="M24" s="61">
        <v>2732500000</v>
      </c>
      <c r="N24" s="61">
        <v>3140000000</v>
      </c>
      <c r="O24" s="61">
        <v>3547500000</v>
      </c>
      <c r="P24" s="61">
        <v>3955000000</v>
      </c>
      <c r="Q24" s="61">
        <v>4362500000</v>
      </c>
      <c r="R24" s="61">
        <v>4770000000</v>
      </c>
      <c r="S24" s="61">
        <v>5177500000</v>
      </c>
      <c r="T24" s="61">
        <v>5585000000</v>
      </c>
      <c r="U24" s="61">
        <v>5992500000</v>
      </c>
    </row>
    <row r="25" spans="1:22" ht="14.45" customHeight="1" x14ac:dyDescent="0.25">
      <c r="A25" s="43" t="s">
        <v>43</v>
      </c>
      <c r="B25" s="12">
        <v>800000</v>
      </c>
      <c r="C25" s="12">
        <v>1200000</v>
      </c>
      <c r="D25" s="12">
        <f t="shared" ref="D25:U25" si="9">C25+C25*0.05</f>
        <v>1260000</v>
      </c>
      <c r="E25" s="12">
        <f t="shared" si="9"/>
        <v>1323000</v>
      </c>
      <c r="F25" s="12">
        <f t="shared" si="9"/>
        <v>1389150</v>
      </c>
      <c r="G25" s="12">
        <f t="shared" si="9"/>
        <v>1458607.5</v>
      </c>
      <c r="H25" s="12">
        <f t="shared" si="9"/>
        <v>1531537.875</v>
      </c>
      <c r="I25" s="12">
        <f t="shared" si="9"/>
        <v>1608114.76875</v>
      </c>
      <c r="J25" s="12">
        <f t="shared" si="9"/>
        <v>1688520.5071875001</v>
      </c>
      <c r="K25" s="12">
        <f t="shared" si="9"/>
        <v>1772946.5325468751</v>
      </c>
      <c r="L25" s="12">
        <f t="shared" si="9"/>
        <v>1861593.8591742187</v>
      </c>
      <c r="M25" s="12">
        <f t="shared" si="9"/>
        <v>1954673.5521329297</v>
      </c>
      <c r="N25" s="12">
        <f t="shared" si="9"/>
        <v>2052407.2297395761</v>
      </c>
      <c r="O25" s="12">
        <f t="shared" si="9"/>
        <v>2155027.5912265549</v>
      </c>
      <c r="P25" s="12">
        <f t="shared" si="9"/>
        <v>2262778.9707878828</v>
      </c>
      <c r="Q25" s="12">
        <f t="shared" si="9"/>
        <v>2375917.9193272768</v>
      </c>
      <c r="R25" s="12">
        <f t="shared" si="9"/>
        <v>2494713.8152936408</v>
      </c>
      <c r="S25" s="12">
        <f t="shared" si="9"/>
        <v>2619449.5060583227</v>
      </c>
      <c r="T25" s="12">
        <f t="shared" si="9"/>
        <v>2750421.9813612388</v>
      </c>
      <c r="U25" s="12">
        <f t="shared" si="9"/>
        <v>2887943.0804293007</v>
      </c>
      <c r="V25" s="19"/>
    </row>
    <row r="26" spans="1:22" ht="14.45" customHeight="1" x14ac:dyDescent="0.25">
      <c r="A26" s="62" t="s">
        <v>44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2" ht="14.45" customHeight="1" x14ac:dyDescent="0.25">
      <c r="A27" s="43" t="s">
        <v>45</v>
      </c>
      <c r="B27" s="24">
        <v>50000</v>
      </c>
      <c r="C27" s="12">
        <v>90000</v>
      </c>
      <c r="D27" s="12">
        <v>108000</v>
      </c>
      <c r="E27" s="12">
        <v>75600</v>
      </c>
      <c r="F27" s="12">
        <v>52920</v>
      </c>
      <c r="G27" s="12">
        <v>37044</v>
      </c>
      <c r="H27" s="12">
        <v>25930.799999999999</v>
      </c>
      <c r="I27" s="12">
        <v>18151.560000000001</v>
      </c>
      <c r="J27" s="12">
        <v>12706.092000000004</v>
      </c>
      <c r="K27" s="12">
        <v>8894.2644000000018</v>
      </c>
      <c r="L27" s="12">
        <v>6225.9850800000067</v>
      </c>
      <c r="M27" s="12">
        <v>4358.189556000003</v>
      </c>
      <c r="N27" s="12">
        <v>3050.7326892000042</v>
      </c>
      <c r="O27" s="12">
        <v>2135.5128824399958</v>
      </c>
      <c r="P27" s="12">
        <v>1494.8590177079952</v>
      </c>
      <c r="Q27" s="12">
        <v>1046.4013123955986</v>
      </c>
      <c r="R27" s="12">
        <v>732.48091867692415</v>
      </c>
      <c r="S27" s="12">
        <v>512.73664307384172</v>
      </c>
      <c r="T27" s="12">
        <v>358.91565015168743</v>
      </c>
      <c r="U27" s="12">
        <v>251.24095510618645</v>
      </c>
    </row>
    <row r="28" spans="1:22" s="59" customFormat="1" ht="14.45" customHeight="1" x14ac:dyDescent="0.25">
      <c r="A28" s="60" t="s">
        <v>46</v>
      </c>
      <c r="B28" s="71">
        <v>412500.00000000006</v>
      </c>
      <c r="C28" s="61">
        <v>598125</v>
      </c>
      <c r="D28" s="61">
        <v>269156.25</v>
      </c>
      <c r="E28" s="61">
        <v>121120.31250000001</v>
      </c>
      <c r="F28" s="61">
        <v>54504.140625000007</v>
      </c>
      <c r="G28" s="61">
        <v>162026.86328125</v>
      </c>
      <c r="H28" s="61">
        <v>210412.08847656252</v>
      </c>
      <c r="I28" s="61">
        <v>4966.689814453177</v>
      </c>
      <c r="J28" s="61">
        <v>2235.0104165038911</v>
      </c>
      <c r="K28" s="61">
        <v>1005.7546874266934</v>
      </c>
      <c r="L28" s="61">
        <v>452.5896093420568</v>
      </c>
      <c r="M28" s="61">
        <v>203.66532420386795</v>
      </c>
      <c r="N28" s="61">
        <v>137591.64939589173</v>
      </c>
      <c r="O28" s="61">
        <v>199416.24222815133</v>
      </c>
      <c r="P28" s="61">
        <v>18.559002668072935</v>
      </c>
      <c r="Q28" s="61">
        <v>8.3515512006008077</v>
      </c>
      <c r="R28" s="61">
        <v>3.7581980403279887</v>
      </c>
      <c r="S28" s="61">
        <v>1.6911891181604006</v>
      </c>
      <c r="T28" s="61">
        <v>0.76103510315297174</v>
      </c>
      <c r="U28" s="61">
        <v>0.34246579643804581</v>
      </c>
    </row>
    <row r="29" spans="1:22" ht="15" customHeight="1" x14ac:dyDescent="0.25">
      <c r="A29" s="43" t="s">
        <v>47</v>
      </c>
      <c r="B29" s="24">
        <v>250000</v>
      </c>
      <c r="C29" s="12">
        <v>250000</v>
      </c>
      <c r="D29" s="12"/>
      <c r="E29" s="12">
        <v>0</v>
      </c>
      <c r="F29" s="12">
        <v>0</v>
      </c>
      <c r="G29" s="12">
        <v>350000</v>
      </c>
      <c r="H29" s="12">
        <v>350000</v>
      </c>
      <c r="I29" s="12">
        <v>0</v>
      </c>
      <c r="J29" s="12">
        <v>0</v>
      </c>
      <c r="K29" s="12">
        <v>0</v>
      </c>
      <c r="L29" s="12">
        <v>450000</v>
      </c>
      <c r="M29" s="12">
        <v>450000</v>
      </c>
      <c r="N29" s="12">
        <v>0</v>
      </c>
      <c r="O29" s="12">
        <v>0</v>
      </c>
      <c r="P29" s="12">
        <v>0</v>
      </c>
      <c r="Q29" s="12">
        <v>500000</v>
      </c>
      <c r="R29" s="12">
        <v>500000</v>
      </c>
      <c r="S29" s="12">
        <v>0</v>
      </c>
      <c r="T29" s="12">
        <v>0</v>
      </c>
      <c r="U29" s="12">
        <v>0</v>
      </c>
    </row>
    <row r="30" spans="1:22" ht="15" customHeight="1" x14ac:dyDescent="0.25">
      <c r="A30" s="43" t="s">
        <v>48</v>
      </c>
      <c r="B30" s="24">
        <v>2500000</v>
      </c>
      <c r="C30" s="12">
        <v>2500000</v>
      </c>
      <c r="D30" s="12">
        <v>2500000</v>
      </c>
      <c r="E30" s="12">
        <v>2500000</v>
      </c>
      <c r="F30" s="12">
        <v>2500000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2" ht="15" customHeight="1" x14ac:dyDescent="0.25">
      <c r="A31" s="43" t="s">
        <v>49</v>
      </c>
      <c r="B31" s="12">
        <v>20110000</v>
      </c>
      <c r="C31" s="12">
        <v>39415600</v>
      </c>
      <c r="D31" s="12">
        <v>37838976</v>
      </c>
      <c r="E31" s="12">
        <v>36325416.960000001</v>
      </c>
      <c r="F31" s="12">
        <v>34872400.281599998</v>
      </c>
      <c r="G31" s="12">
        <v>33477504.270335998</v>
      </c>
      <c r="H31" s="12">
        <v>32138404.099522561</v>
      </c>
      <c r="I31" s="12">
        <v>30852867.93554166</v>
      </c>
      <c r="J31" s="12">
        <v>29618753.218119994</v>
      </c>
      <c r="K31" s="12">
        <v>28434003.089395192</v>
      </c>
      <c r="L31" s="12">
        <v>27296642.965819389</v>
      </c>
      <c r="M31" s="12">
        <v>26204777.247186609</v>
      </c>
      <c r="N31" s="12">
        <v>25156586.157299146</v>
      </c>
      <c r="O31" s="12">
        <v>24150322.711007174</v>
      </c>
      <c r="P31">
        <v>23184309.80256689</v>
      </c>
      <c r="Q31">
        <v>22256937.410464216</v>
      </c>
      <c r="R31">
        <v>21366659.914045647</v>
      </c>
      <c r="S31">
        <v>20511993.517483823</v>
      </c>
      <c r="T31">
        <v>19691513.776784468</v>
      </c>
      <c r="U31">
        <v>18903853.225713089</v>
      </c>
    </row>
    <row r="32" spans="1:22" s="59" customFormat="1" ht="14.45" customHeight="1" x14ac:dyDescent="0.25">
      <c r="A32" s="56" t="s">
        <v>50</v>
      </c>
      <c r="B32" s="57">
        <v>500000</v>
      </c>
      <c r="C32" s="58">
        <f>B32+B32*0.1</f>
        <v>550000</v>
      </c>
      <c r="D32" s="58">
        <f t="shared" ref="D32:U32" si="10">C32+C32*0.1</f>
        <v>605000</v>
      </c>
      <c r="E32" s="58">
        <f t="shared" si="10"/>
        <v>665500</v>
      </c>
      <c r="F32" s="58">
        <f t="shared" si="10"/>
        <v>732050</v>
      </c>
      <c r="G32" s="58">
        <f t="shared" si="10"/>
        <v>805255</v>
      </c>
      <c r="H32" s="58">
        <f t="shared" si="10"/>
        <v>885780.5</v>
      </c>
      <c r="I32" s="58">
        <f t="shared" si="10"/>
        <v>974358.55</v>
      </c>
      <c r="J32" s="58">
        <f t="shared" si="10"/>
        <v>1071794.405</v>
      </c>
      <c r="K32" s="58">
        <f t="shared" si="10"/>
        <v>1178973.8455000001</v>
      </c>
      <c r="L32" s="58">
        <f t="shared" si="10"/>
        <v>1296871.2300500001</v>
      </c>
      <c r="M32" s="58">
        <f t="shared" si="10"/>
        <v>1426558.3530550001</v>
      </c>
      <c r="N32" s="58">
        <f t="shared" si="10"/>
        <v>1569214.1883605001</v>
      </c>
      <c r="O32" s="58">
        <f t="shared" si="10"/>
        <v>1726135.6071965501</v>
      </c>
      <c r="P32" s="58">
        <f t="shared" si="10"/>
        <v>1898749.1679162052</v>
      </c>
      <c r="Q32" s="58">
        <f t="shared" si="10"/>
        <v>2088624.0847078259</v>
      </c>
      <c r="R32" s="58">
        <f t="shared" si="10"/>
        <v>2297486.4931786084</v>
      </c>
      <c r="S32" s="58">
        <f t="shared" si="10"/>
        <v>2527235.1424964694</v>
      </c>
      <c r="T32" s="58">
        <f t="shared" si="10"/>
        <v>2779958.6567461165</v>
      </c>
      <c r="U32" s="58">
        <f t="shared" si="10"/>
        <v>3057954.5224207281</v>
      </c>
    </row>
    <row r="33" spans="1:21" ht="14.45" customHeight="1" x14ac:dyDescent="0.25">
      <c r="A33" s="46" t="s">
        <v>51</v>
      </c>
      <c r="B33" s="21">
        <v>1500000</v>
      </c>
      <c r="C33" s="23">
        <f>B33+B33*0.1</f>
        <v>1650000</v>
      </c>
      <c r="D33" s="12">
        <f t="shared" ref="D33:U41" si="11">C33+C33*0.1</f>
        <v>1815000</v>
      </c>
      <c r="E33" s="12">
        <f t="shared" si="11"/>
        <v>1996500</v>
      </c>
      <c r="F33" s="12">
        <f t="shared" si="11"/>
        <v>2196150</v>
      </c>
      <c r="G33" s="12">
        <f t="shared" si="11"/>
        <v>2415765</v>
      </c>
      <c r="H33" s="12">
        <f t="shared" si="11"/>
        <v>2657341.5</v>
      </c>
      <c r="I33" s="12">
        <f t="shared" si="11"/>
        <v>2923075.65</v>
      </c>
      <c r="J33" s="12">
        <f t="shared" si="11"/>
        <v>3215383.2149999999</v>
      </c>
      <c r="K33" s="12">
        <f t="shared" si="11"/>
        <v>3536921.5364999999</v>
      </c>
      <c r="L33" s="12">
        <f t="shared" si="11"/>
        <v>3890613.6901500002</v>
      </c>
      <c r="M33" s="12">
        <f t="shared" si="11"/>
        <v>4279675.059165</v>
      </c>
      <c r="N33" s="12">
        <f t="shared" si="11"/>
        <v>4707642.5650814995</v>
      </c>
      <c r="O33" s="12">
        <f t="shared" si="11"/>
        <v>5178406.8215896497</v>
      </c>
      <c r="P33" s="12">
        <f t="shared" si="11"/>
        <v>5696247.5037486143</v>
      </c>
      <c r="Q33" s="12">
        <f t="shared" si="11"/>
        <v>6265872.2541234754</v>
      </c>
      <c r="R33" s="12">
        <f t="shared" si="11"/>
        <v>6892459.4795358228</v>
      </c>
      <c r="S33" s="12">
        <f t="shared" si="11"/>
        <v>7581705.4274894055</v>
      </c>
      <c r="T33" s="12">
        <f t="shared" si="11"/>
        <v>8339875.9702383466</v>
      </c>
      <c r="U33" s="12">
        <f t="shared" si="11"/>
        <v>9173863.567262182</v>
      </c>
    </row>
    <row r="34" spans="1:21" ht="14.45" customHeight="1" x14ac:dyDescent="0.25">
      <c r="A34" s="46" t="s">
        <v>52</v>
      </c>
      <c r="B34" s="21">
        <v>500000</v>
      </c>
      <c r="C34" s="23">
        <f t="shared" ref="C34:R41" si="12">B34+B34*0.1</f>
        <v>550000</v>
      </c>
      <c r="D34" s="12">
        <f t="shared" si="12"/>
        <v>605000</v>
      </c>
      <c r="E34" s="12">
        <f t="shared" si="12"/>
        <v>665500</v>
      </c>
      <c r="F34" s="12">
        <f t="shared" si="12"/>
        <v>732050</v>
      </c>
      <c r="G34" s="12">
        <f t="shared" si="12"/>
        <v>805255</v>
      </c>
      <c r="H34" s="12">
        <f t="shared" si="12"/>
        <v>885780.5</v>
      </c>
      <c r="I34" s="12">
        <f t="shared" si="12"/>
        <v>974358.55</v>
      </c>
      <c r="J34" s="12">
        <f t="shared" si="12"/>
        <v>1071794.405</v>
      </c>
      <c r="K34" s="12">
        <f t="shared" si="12"/>
        <v>1178973.8455000001</v>
      </c>
      <c r="L34" s="12">
        <f t="shared" si="12"/>
        <v>1296871.2300500001</v>
      </c>
      <c r="M34" s="12">
        <f t="shared" si="12"/>
        <v>1426558.3530550001</v>
      </c>
      <c r="N34" s="12">
        <f t="shared" si="12"/>
        <v>1569214.1883605001</v>
      </c>
      <c r="O34" s="12">
        <f t="shared" si="12"/>
        <v>1726135.6071965501</v>
      </c>
      <c r="P34" s="12">
        <f t="shared" si="12"/>
        <v>1898749.1679162052</v>
      </c>
      <c r="Q34" s="12">
        <f t="shared" si="12"/>
        <v>2088624.0847078259</v>
      </c>
      <c r="R34" s="12">
        <f t="shared" si="12"/>
        <v>2297486.4931786084</v>
      </c>
      <c r="S34" s="12">
        <f t="shared" si="11"/>
        <v>2527235.1424964694</v>
      </c>
      <c r="T34" s="12">
        <f t="shared" si="11"/>
        <v>2779958.6567461165</v>
      </c>
      <c r="U34" s="12">
        <f t="shared" si="11"/>
        <v>3057954.5224207281</v>
      </c>
    </row>
    <row r="35" spans="1:21" ht="14.45" customHeight="1" x14ac:dyDescent="0.25">
      <c r="A35" s="46" t="s">
        <v>53</v>
      </c>
      <c r="B35" s="21">
        <v>250000</v>
      </c>
      <c r="C35" s="23">
        <f t="shared" si="12"/>
        <v>275000</v>
      </c>
      <c r="D35" s="12">
        <f t="shared" si="12"/>
        <v>302500</v>
      </c>
      <c r="E35" s="12">
        <f t="shared" si="12"/>
        <v>332750</v>
      </c>
      <c r="F35" s="12">
        <f t="shared" si="12"/>
        <v>366025</v>
      </c>
      <c r="G35" s="12">
        <f t="shared" si="12"/>
        <v>402627.5</v>
      </c>
      <c r="H35" s="12">
        <f t="shared" si="12"/>
        <v>442890.25</v>
      </c>
      <c r="I35" s="12">
        <f t="shared" si="12"/>
        <v>487179.27500000002</v>
      </c>
      <c r="J35" s="12">
        <f t="shared" si="12"/>
        <v>535897.20250000001</v>
      </c>
      <c r="K35" s="12">
        <f t="shared" si="12"/>
        <v>589486.92275000003</v>
      </c>
      <c r="L35" s="12">
        <f t="shared" si="12"/>
        <v>648435.61502500006</v>
      </c>
      <c r="M35" s="12">
        <f t="shared" si="12"/>
        <v>713279.17652750004</v>
      </c>
      <c r="N35" s="12">
        <f t="shared" si="12"/>
        <v>784607.09418025007</v>
      </c>
      <c r="O35" s="12">
        <f t="shared" si="12"/>
        <v>863067.80359827506</v>
      </c>
      <c r="P35" s="12">
        <f t="shared" si="12"/>
        <v>949374.58395810262</v>
      </c>
      <c r="Q35" s="12">
        <f t="shared" si="12"/>
        <v>1044312.042353913</v>
      </c>
      <c r="R35" s="12">
        <f t="shared" si="12"/>
        <v>1148743.2465893042</v>
      </c>
      <c r="S35" s="12">
        <f t="shared" si="11"/>
        <v>1263617.5712482347</v>
      </c>
      <c r="T35" s="12">
        <f t="shared" si="11"/>
        <v>1389979.3283730582</v>
      </c>
      <c r="U35" s="12">
        <f t="shared" si="11"/>
        <v>1528977.2612103641</v>
      </c>
    </row>
    <row r="36" spans="1:21" ht="14.45" customHeight="1" x14ac:dyDescent="0.25">
      <c r="A36" s="46" t="s">
        <v>54</v>
      </c>
      <c r="B36" s="21">
        <v>200000</v>
      </c>
      <c r="C36" s="23">
        <f t="shared" si="12"/>
        <v>220000</v>
      </c>
      <c r="D36" s="12">
        <f t="shared" si="12"/>
        <v>242000</v>
      </c>
      <c r="E36" s="12">
        <f t="shared" si="12"/>
        <v>266200</v>
      </c>
      <c r="F36" s="12">
        <f t="shared" si="12"/>
        <v>292820</v>
      </c>
      <c r="G36" s="12">
        <f t="shared" si="12"/>
        <v>322102</v>
      </c>
      <c r="H36" s="12">
        <f t="shared" si="12"/>
        <v>354312.2</v>
      </c>
      <c r="I36" s="12">
        <f t="shared" si="12"/>
        <v>389743.42000000004</v>
      </c>
      <c r="J36" s="12">
        <f t="shared" si="12"/>
        <v>428717.76200000005</v>
      </c>
      <c r="K36" s="12">
        <f t="shared" si="12"/>
        <v>471589.53820000007</v>
      </c>
      <c r="L36" s="12">
        <f t="shared" si="12"/>
        <v>518748.49202000006</v>
      </c>
      <c r="M36" s="12">
        <f t="shared" si="12"/>
        <v>570623.34122200008</v>
      </c>
      <c r="N36" s="12">
        <f t="shared" si="12"/>
        <v>627685.67534420011</v>
      </c>
      <c r="O36" s="12">
        <f t="shared" si="12"/>
        <v>690454.24287862016</v>
      </c>
      <c r="P36" s="12">
        <f t="shared" si="12"/>
        <v>759499.66716648219</v>
      </c>
      <c r="Q36" s="12">
        <f t="shared" si="12"/>
        <v>835449.63388313039</v>
      </c>
      <c r="R36" s="12">
        <f t="shared" si="12"/>
        <v>918994.59727144346</v>
      </c>
      <c r="S36" s="12">
        <f t="shared" si="11"/>
        <v>1010894.0569985878</v>
      </c>
      <c r="T36" s="12">
        <f t="shared" si="11"/>
        <v>1111983.4626984466</v>
      </c>
      <c r="U36" s="12">
        <f t="shared" si="11"/>
        <v>1223181.8089682912</v>
      </c>
    </row>
    <row r="37" spans="1:21" ht="14.45" customHeight="1" x14ac:dyDescent="0.25">
      <c r="A37" s="46" t="s">
        <v>55</v>
      </c>
      <c r="B37" s="21">
        <v>300000</v>
      </c>
      <c r="C37" s="23">
        <f t="shared" si="12"/>
        <v>330000</v>
      </c>
      <c r="D37" s="12">
        <f t="shared" si="12"/>
        <v>363000</v>
      </c>
      <c r="E37" s="12">
        <f t="shared" si="12"/>
        <v>399300</v>
      </c>
      <c r="F37" s="12">
        <f t="shared" si="12"/>
        <v>439230</v>
      </c>
      <c r="G37" s="12">
        <f t="shared" si="12"/>
        <v>483153</v>
      </c>
      <c r="H37" s="12">
        <f t="shared" si="12"/>
        <v>531468.30000000005</v>
      </c>
      <c r="I37" s="12">
        <f t="shared" si="12"/>
        <v>584615.13</v>
      </c>
      <c r="J37" s="12">
        <f t="shared" si="12"/>
        <v>643076.64300000004</v>
      </c>
      <c r="K37" s="12">
        <f t="shared" si="12"/>
        <v>707384.30729999999</v>
      </c>
      <c r="L37" s="12">
        <f t="shared" si="12"/>
        <v>778122.73803000001</v>
      </c>
      <c r="M37" s="12">
        <f t="shared" si="12"/>
        <v>855935.011833</v>
      </c>
      <c r="N37" s="12">
        <f t="shared" si="12"/>
        <v>941528.51301630004</v>
      </c>
      <c r="O37" s="12">
        <f t="shared" si="12"/>
        <v>1035681.3643179301</v>
      </c>
      <c r="P37" s="12">
        <f t="shared" si="12"/>
        <v>1139249.5007497231</v>
      </c>
      <c r="Q37" s="12">
        <f t="shared" si="12"/>
        <v>1253174.4508246954</v>
      </c>
      <c r="R37" s="12">
        <f t="shared" si="12"/>
        <v>1378491.895907165</v>
      </c>
      <c r="S37" s="12">
        <f t="shared" si="11"/>
        <v>1516341.0854978815</v>
      </c>
      <c r="T37" s="12">
        <f t="shared" si="11"/>
        <v>1667975.1940476696</v>
      </c>
      <c r="U37" s="12">
        <f t="shared" si="11"/>
        <v>1834772.7134524365</v>
      </c>
    </row>
    <row r="38" spans="1:21" ht="14.45" customHeight="1" x14ac:dyDescent="0.25">
      <c r="A38" s="46" t="s">
        <v>56</v>
      </c>
      <c r="B38" s="21">
        <v>100000</v>
      </c>
      <c r="C38" s="23">
        <f t="shared" si="12"/>
        <v>110000</v>
      </c>
      <c r="D38" s="12">
        <f t="shared" si="12"/>
        <v>121000</v>
      </c>
      <c r="E38" s="12">
        <f t="shared" si="12"/>
        <v>133100</v>
      </c>
      <c r="F38" s="12">
        <f t="shared" si="12"/>
        <v>146410</v>
      </c>
      <c r="G38" s="12">
        <f t="shared" si="12"/>
        <v>161051</v>
      </c>
      <c r="H38" s="12">
        <f t="shared" si="12"/>
        <v>177156.1</v>
      </c>
      <c r="I38" s="12">
        <f t="shared" si="12"/>
        <v>194871.71000000002</v>
      </c>
      <c r="J38" s="12">
        <f t="shared" si="12"/>
        <v>214358.88100000002</v>
      </c>
      <c r="K38" s="12">
        <f t="shared" si="12"/>
        <v>235794.76910000003</v>
      </c>
      <c r="L38" s="12">
        <f t="shared" si="12"/>
        <v>259374.24601000003</v>
      </c>
      <c r="M38" s="12">
        <f t="shared" si="12"/>
        <v>285311.67061100004</v>
      </c>
      <c r="N38" s="12">
        <f t="shared" si="12"/>
        <v>313842.83767210005</v>
      </c>
      <c r="O38" s="12">
        <f t="shared" si="12"/>
        <v>345227.12143931008</v>
      </c>
      <c r="P38" s="12">
        <f t="shared" si="12"/>
        <v>379749.8335832411</v>
      </c>
      <c r="Q38" s="12">
        <f t="shared" si="12"/>
        <v>417724.81694156519</v>
      </c>
      <c r="R38" s="12">
        <f t="shared" si="12"/>
        <v>459497.29863572173</v>
      </c>
      <c r="S38" s="12">
        <f t="shared" si="11"/>
        <v>505447.0284992939</v>
      </c>
      <c r="T38" s="12">
        <f t="shared" si="11"/>
        <v>555991.73134922329</v>
      </c>
      <c r="U38" s="12">
        <f t="shared" si="11"/>
        <v>611590.90448414558</v>
      </c>
    </row>
    <row r="39" spans="1:21" ht="14.45" customHeight="1" x14ac:dyDescent="0.25">
      <c r="A39" s="46" t="s">
        <v>57</v>
      </c>
      <c r="B39" s="21">
        <v>500000</v>
      </c>
      <c r="C39" s="23">
        <f t="shared" si="12"/>
        <v>550000</v>
      </c>
      <c r="D39" s="12">
        <f t="shared" si="12"/>
        <v>605000</v>
      </c>
      <c r="E39" s="12">
        <f t="shared" si="12"/>
        <v>665500</v>
      </c>
      <c r="F39" s="12">
        <f t="shared" si="12"/>
        <v>732050</v>
      </c>
      <c r="G39" s="12">
        <f t="shared" si="12"/>
        <v>805255</v>
      </c>
      <c r="H39" s="12">
        <f t="shared" si="12"/>
        <v>885780.5</v>
      </c>
      <c r="I39" s="12">
        <f t="shared" si="12"/>
        <v>974358.55</v>
      </c>
      <c r="J39" s="12">
        <f t="shared" si="12"/>
        <v>1071794.405</v>
      </c>
      <c r="K39" s="12">
        <f t="shared" si="12"/>
        <v>1178973.8455000001</v>
      </c>
      <c r="L39" s="12">
        <f t="shared" si="12"/>
        <v>1296871.2300500001</v>
      </c>
      <c r="M39" s="12">
        <f t="shared" si="12"/>
        <v>1426558.3530550001</v>
      </c>
      <c r="N39" s="12">
        <f t="shared" si="12"/>
        <v>1569214.1883605001</v>
      </c>
      <c r="O39" s="12">
        <f t="shared" si="12"/>
        <v>1726135.6071965501</v>
      </c>
      <c r="P39" s="12">
        <f t="shared" si="12"/>
        <v>1898749.1679162052</v>
      </c>
      <c r="Q39" s="12">
        <f t="shared" si="12"/>
        <v>2088624.0847078259</v>
      </c>
      <c r="R39" s="12">
        <f t="shared" si="12"/>
        <v>2297486.4931786084</v>
      </c>
      <c r="S39" s="12">
        <f t="shared" si="11"/>
        <v>2527235.1424964694</v>
      </c>
      <c r="T39" s="12">
        <f t="shared" si="11"/>
        <v>2779958.6567461165</v>
      </c>
      <c r="U39" s="12">
        <f t="shared" si="11"/>
        <v>3057954.5224207281</v>
      </c>
    </row>
    <row r="40" spans="1:21" ht="14.45" customHeight="1" x14ac:dyDescent="0.25">
      <c r="A40" s="46" t="s">
        <v>58</v>
      </c>
      <c r="B40" s="21">
        <v>700000</v>
      </c>
      <c r="C40" s="23">
        <f t="shared" si="12"/>
        <v>770000</v>
      </c>
      <c r="D40" s="12">
        <f t="shared" si="12"/>
        <v>847000</v>
      </c>
      <c r="E40" s="12">
        <f t="shared" si="12"/>
        <v>931700</v>
      </c>
      <c r="F40" s="12">
        <f t="shared" si="12"/>
        <v>1024870</v>
      </c>
      <c r="G40" s="12">
        <f t="shared" si="12"/>
        <v>1127357</v>
      </c>
      <c r="H40" s="12">
        <f t="shared" si="12"/>
        <v>1240092.7</v>
      </c>
      <c r="I40" s="12">
        <f t="shared" si="12"/>
        <v>1364101.97</v>
      </c>
      <c r="J40" s="12">
        <f t="shared" si="12"/>
        <v>1500512.1669999999</v>
      </c>
      <c r="K40" s="12">
        <f t="shared" si="12"/>
        <v>1650563.3836999999</v>
      </c>
      <c r="L40" s="12">
        <f t="shared" si="12"/>
        <v>1815619.7220699999</v>
      </c>
      <c r="M40" s="12">
        <f t="shared" si="12"/>
        <v>1997181.6942769999</v>
      </c>
      <c r="N40" s="12">
        <f t="shared" si="12"/>
        <v>2196899.8637047</v>
      </c>
      <c r="O40" s="12">
        <f t="shared" si="12"/>
        <v>2416589.8500751699</v>
      </c>
      <c r="P40" s="12">
        <f t="shared" si="12"/>
        <v>2658248.835082687</v>
      </c>
      <c r="Q40" s="12">
        <f t="shared" si="12"/>
        <v>2924073.7185909557</v>
      </c>
      <c r="R40" s="12">
        <f t="shared" si="12"/>
        <v>3216481.0904500512</v>
      </c>
      <c r="S40" s="12">
        <f t="shared" si="11"/>
        <v>3538129.1994950566</v>
      </c>
      <c r="T40" s="12">
        <f t="shared" si="11"/>
        <v>3891942.1194445621</v>
      </c>
      <c r="U40" s="12">
        <f t="shared" si="11"/>
        <v>4281136.3313890183</v>
      </c>
    </row>
    <row r="41" spans="1:21" ht="14.45" customHeight="1" x14ac:dyDescent="0.25">
      <c r="A41" s="46" t="s">
        <v>59</v>
      </c>
      <c r="B41" s="21">
        <v>150000</v>
      </c>
      <c r="C41" s="23">
        <f t="shared" si="12"/>
        <v>165000</v>
      </c>
      <c r="D41" s="12">
        <f t="shared" si="12"/>
        <v>181500</v>
      </c>
      <c r="E41" s="12">
        <f t="shared" si="12"/>
        <v>199650</v>
      </c>
      <c r="F41" s="12">
        <f t="shared" si="12"/>
        <v>219615</v>
      </c>
      <c r="G41" s="12">
        <f t="shared" si="12"/>
        <v>241576.5</v>
      </c>
      <c r="H41" s="12">
        <f t="shared" si="12"/>
        <v>265734.15000000002</v>
      </c>
      <c r="I41" s="12">
        <f t="shared" si="12"/>
        <v>292307.565</v>
      </c>
      <c r="J41" s="12">
        <f t="shared" si="12"/>
        <v>321538.32150000002</v>
      </c>
      <c r="K41" s="12">
        <f t="shared" si="12"/>
        <v>353692.15364999999</v>
      </c>
      <c r="L41" s="12">
        <f t="shared" si="12"/>
        <v>389061.369015</v>
      </c>
      <c r="M41" s="12">
        <f t="shared" si="12"/>
        <v>427967.5059165</v>
      </c>
      <c r="N41" s="12">
        <f t="shared" si="12"/>
        <v>470764.25650815002</v>
      </c>
      <c r="O41" s="12">
        <f t="shared" si="12"/>
        <v>517840.68215896504</v>
      </c>
      <c r="P41" s="12">
        <f t="shared" si="12"/>
        <v>569624.75037486153</v>
      </c>
      <c r="Q41" s="12">
        <f t="shared" si="12"/>
        <v>626587.2254123477</v>
      </c>
      <c r="R41" s="12">
        <f t="shared" si="12"/>
        <v>689245.94795358251</v>
      </c>
      <c r="S41" s="12">
        <f t="shared" si="11"/>
        <v>758170.54274894076</v>
      </c>
      <c r="T41" s="12">
        <f t="shared" si="11"/>
        <v>833987.59702383482</v>
      </c>
      <c r="U41" s="12">
        <f t="shared" si="11"/>
        <v>917386.35672621825</v>
      </c>
    </row>
    <row r="42" spans="1:21" ht="14.45" customHeight="1" x14ac:dyDescent="0.25">
      <c r="A42" s="46" t="s">
        <v>60</v>
      </c>
      <c r="B42" s="21">
        <v>7862400</v>
      </c>
      <c r="C42" s="23">
        <f>B42+B42*0.05</f>
        <v>8255520</v>
      </c>
      <c r="D42" s="23">
        <f t="shared" ref="D42:U42" si="13">C42+C42*0.05</f>
        <v>8668296</v>
      </c>
      <c r="E42" s="23">
        <f t="shared" si="13"/>
        <v>9101710.8000000007</v>
      </c>
      <c r="F42" s="23">
        <f t="shared" si="13"/>
        <v>9556796.3399999999</v>
      </c>
      <c r="G42" s="23">
        <f t="shared" si="13"/>
        <v>10034636.157</v>
      </c>
      <c r="H42" s="23">
        <f t="shared" si="13"/>
        <v>10536367.964849999</v>
      </c>
      <c r="I42" s="23">
        <f t="shared" si="13"/>
        <v>11063186.363092499</v>
      </c>
      <c r="J42" s="23">
        <f t="shared" si="13"/>
        <v>11616345.681247124</v>
      </c>
      <c r="K42" s="23">
        <f t="shared" si="13"/>
        <v>12197162.96530948</v>
      </c>
      <c r="L42" s="23">
        <f t="shared" si="13"/>
        <v>12807021.113574954</v>
      </c>
      <c r="M42" s="23">
        <f t="shared" si="13"/>
        <v>13447372.169253701</v>
      </c>
      <c r="N42" s="23">
        <f t="shared" si="13"/>
        <v>14119740.777716387</v>
      </c>
      <c r="O42" s="23">
        <f t="shared" si="13"/>
        <v>14825727.816602206</v>
      </c>
      <c r="P42" s="23">
        <f t="shared" si="13"/>
        <v>15567014.207432317</v>
      </c>
      <c r="Q42" s="23">
        <f t="shared" si="13"/>
        <v>16345364.917803932</v>
      </c>
      <c r="R42" s="23">
        <f t="shared" si="13"/>
        <v>17162633.163694128</v>
      </c>
      <c r="S42" s="23">
        <f t="shared" si="13"/>
        <v>18020764.821878836</v>
      </c>
      <c r="T42" s="23">
        <f t="shared" si="13"/>
        <v>18921803.062972777</v>
      </c>
      <c r="U42" s="23">
        <f t="shared" si="13"/>
        <v>19867893.216121417</v>
      </c>
    </row>
    <row r="43" spans="1:21" s="59" customFormat="1" ht="15" customHeight="1" x14ac:dyDescent="0.25">
      <c r="A43" s="60" t="s">
        <v>61</v>
      </c>
      <c r="B43" s="61">
        <v>420000000</v>
      </c>
      <c r="C43" s="61">
        <v>420000000</v>
      </c>
      <c r="D43" s="61">
        <v>420000000</v>
      </c>
      <c r="E43" s="61">
        <v>420000000</v>
      </c>
      <c r="F43" s="61">
        <v>420000000</v>
      </c>
      <c r="G43" s="61">
        <v>420000000</v>
      </c>
      <c r="H43" s="61">
        <v>420000000</v>
      </c>
      <c r="I43" s="61">
        <v>420000000</v>
      </c>
      <c r="J43" s="61">
        <v>420000000</v>
      </c>
      <c r="K43" s="61">
        <v>420000000</v>
      </c>
      <c r="L43" s="61">
        <v>420000000</v>
      </c>
      <c r="M43" s="61">
        <v>420000000</v>
      </c>
      <c r="N43" s="61">
        <v>420000000</v>
      </c>
      <c r="O43" s="61"/>
      <c r="P43" s="61"/>
      <c r="Q43" s="61"/>
      <c r="R43" s="61"/>
      <c r="S43" s="61"/>
      <c r="T43" s="61"/>
      <c r="U43" s="61"/>
    </row>
    <row r="44" spans="1:21" s="5" customFormat="1" x14ac:dyDescent="0.25">
      <c r="A44" s="48" t="s">
        <v>62</v>
      </c>
      <c r="B44" s="14">
        <f t="shared" ref="B44:U44" si="14">SUM(B11:B43)</f>
        <v>538285900</v>
      </c>
      <c r="C44" s="14">
        <f t="shared" si="14"/>
        <v>717059765</v>
      </c>
      <c r="D44" s="14">
        <f t="shared" si="14"/>
        <v>875157865.89999998</v>
      </c>
      <c r="E44" s="14">
        <f t="shared" si="14"/>
        <v>1037651861.14675</v>
      </c>
      <c r="F44" s="14">
        <f t="shared" si="14"/>
        <v>1200845085.0559411</v>
      </c>
      <c r="G44" s="14">
        <f t="shared" si="14"/>
        <v>1344904964.4425149</v>
      </c>
      <c r="H44" s="14">
        <f t="shared" si="14"/>
        <v>1505791956.3928373</v>
      </c>
      <c r="I44" s="14">
        <f t="shared" si="14"/>
        <v>1670015031.850281</v>
      </c>
      <c r="J44" s="14">
        <f t="shared" si="14"/>
        <v>2085601615.707582</v>
      </c>
      <c r="K44" s="14">
        <f t="shared" si="14"/>
        <v>2502068721.7892523</v>
      </c>
      <c r="L44" s="14">
        <f t="shared" si="14"/>
        <v>2919940910.9155207</v>
      </c>
      <c r="M44" s="14">
        <f t="shared" si="14"/>
        <v>3338400969.888308</v>
      </c>
      <c r="N44" s="14">
        <f t="shared" si="14"/>
        <v>3757677857.0496979</v>
      </c>
      <c r="O44" s="14">
        <f t="shared" si="14"/>
        <v>3758559247.3789654</v>
      </c>
      <c r="P44" s="14">
        <f t="shared" si="14"/>
        <v>4180520479.8798113</v>
      </c>
      <c r="Q44" s="14">
        <f t="shared" si="14"/>
        <v>4604644253.5212555</v>
      </c>
      <c r="R44" s="14">
        <f t="shared" si="14"/>
        <v>5029865438.350049</v>
      </c>
      <c r="S44" s="14">
        <f t="shared" si="14"/>
        <v>5456331628.2841101</v>
      </c>
      <c r="T44" s="14">
        <f t="shared" si="14"/>
        <v>5885205067.269803</v>
      </c>
      <c r="U44" s="14">
        <f t="shared" si="14"/>
        <v>6316164083.5497761</v>
      </c>
    </row>
    <row r="45" spans="1:21" x14ac:dyDescent="0.25">
      <c r="A45" s="49" t="s">
        <v>63</v>
      </c>
      <c r="B45" s="12">
        <f t="shared" ref="B45:U45" si="15">B10-B44</f>
        <v>-534885900</v>
      </c>
      <c r="C45" s="12">
        <f t="shared" si="15"/>
        <v>-217120904</v>
      </c>
      <c r="D45" s="12">
        <f t="shared" si="15"/>
        <v>124719857.10000002</v>
      </c>
      <c r="E45" s="12">
        <f t="shared" si="15"/>
        <v>509831723.85325003</v>
      </c>
      <c r="F45" s="12">
        <f t="shared" si="15"/>
        <v>846577360.9440589</v>
      </c>
      <c r="G45" s="12">
        <f t="shared" si="15"/>
        <v>1250123342.5574851</v>
      </c>
      <c r="H45" s="12">
        <f t="shared" si="15"/>
        <v>1684509212.6071627</v>
      </c>
      <c r="I45" s="12">
        <f t="shared" si="15"/>
        <v>2020224998.149719</v>
      </c>
      <c r="J45" s="12">
        <f t="shared" si="15"/>
        <v>2840954999.292418</v>
      </c>
      <c r="K45" s="12">
        <f t="shared" si="15"/>
        <v>3613137477.2107477</v>
      </c>
      <c r="L45" s="12">
        <f t="shared" si="15"/>
        <v>4479248873.0844793</v>
      </c>
      <c r="M45" s="12">
        <f t="shared" si="15"/>
        <v>5201771398.1116924</v>
      </c>
      <c r="N45" s="12">
        <f t="shared" si="15"/>
        <v>5971144094.9503021</v>
      </c>
      <c r="O45" s="12">
        <f t="shared" si="15"/>
        <v>7111245289.6210346</v>
      </c>
      <c r="P45" s="12">
        <f t="shared" si="15"/>
        <v>7877933641.1201887</v>
      </c>
      <c r="Q45" s="12">
        <f t="shared" si="15"/>
        <v>8743837906.4787445</v>
      </c>
      <c r="R45" s="12">
        <f t="shared" si="15"/>
        <v>9656311760.6499519</v>
      </c>
      <c r="S45" s="12">
        <f t="shared" si="15"/>
        <v>10519873609.715889</v>
      </c>
      <c r="T45" s="12">
        <f t="shared" si="15"/>
        <v>11381028209.730198</v>
      </c>
      <c r="U45" s="12">
        <f t="shared" si="15"/>
        <v>12240097232.450224</v>
      </c>
    </row>
    <row r="46" spans="1:21" x14ac:dyDescent="0.25">
      <c r="A46" s="50" t="s">
        <v>64</v>
      </c>
      <c r="B46" s="15">
        <f t="shared" ref="B46:U46" si="16">IF(B45&gt;0, B45*0.19, 0)</f>
        <v>0</v>
      </c>
      <c r="C46" s="15">
        <f t="shared" si="16"/>
        <v>0</v>
      </c>
      <c r="D46" s="15">
        <f t="shared" si="16"/>
        <v>23696772.849000003</v>
      </c>
      <c r="E46" s="15">
        <f t="shared" si="16"/>
        <v>96868027.532117501</v>
      </c>
      <c r="F46" s="15">
        <f t="shared" si="16"/>
        <v>160849698.57937118</v>
      </c>
      <c r="G46" s="15">
        <f t="shared" si="16"/>
        <v>237523435.08592218</v>
      </c>
      <c r="H46" s="15">
        <f t="shared" si="16"/>
        <v>320056750.39536095</v>
      </c>
      <c r="I46" s="15">
        <f t="shared" si="16"/>
        <v>383842749.64844662</v>
      </c>
      <c r="J46" s="15">
        <f t="shared" si="16"/>
        <v>539781449.86555946</v>
      </c>
      <c r="K46" s="15">
        <f t="shared" si="16"/>
        <v>686496120.67004204</v>
      </c>
      <c r="L46" s="15">
        <f t="shared" si="16"/>
        <v>851057285.88605106</v>
      </c>
      <c r="M46" s="15">
        <f t="shared" si="16"/>
        <v>988336565.64122152</v>
      </c>
      <c r="N46" s="15">
        <f t="shared" si="16"/>
        <v>1134517378.0405574</v>
      </c>
      <c r="O46" s="15">
        <f t="shared" si="16"/>
        <v>1351136605.0279965</v>
      </c>
      <c r="P46" s="15">
        <f t="shared" si="16"/>
        <v>1496807391.8128359</v>
      </c>
      <c r="Q46" s="15">
        <f t="shared" si="16"/>
        <v>1661329202.2309616</v>
      </c>
      <c r="R46" s="15">
        <f t="shared" si="16"/>
        <v>1834699234.5234909</v>
      </c>
      <c r="S46" s="15">
        <f t="shared" si="16"/>
        <v>1998775985.846019</v>
      </c>
      <c r="T46" s="15">
        <f t="shared" si="16"/>
        <v>2162395359.8487377</v>
      </c>
      <c r="U46" s="15">
        <f t="shared" si="16"/>
        <v>2325618474.1655426</v>
      </c>
    </row>
    <row r="47" spans="1:21" x14ac:dyDescent="0.25">
      <c r="A47" s="51" t="s">
        <v>65</v>
      </c>
      <c r="B47" s="15">
        <f t="shared" ref="B47:U47" si="17">B45-B46</f>
        <v>-534885900</v>
      </c>
      <c r="C47" s="15">
        <f t="shared" si="17"/>
        <v>-217120904</v>
      </c>
      <c r="D47" s="15">
        <f t="shared" si="17"/>
        <v>101023084.25100002</v>
      </c>
      <c r="E47" s="15">
        <f t="shared" si="17"/>
        <v>412963696.32113254</v>
      </c>
      <c r="F47" s="15">
        <f t="shared" si="17"/>
        <v>685727662.36468768</v>
      </c>
      <c r="G47" s="15">
        <f t="shared" si="17"/>
        <v>1012599907.4715629</v>
      </c>
      <c r="H47" s="15">
        <f t="shared" si="17"/>
        <v>1364452462.2118018</v>
      </c>
      <c r="I47" s="15">
        <f t="shared" si="17"/>
        <v>1636382248.5012724</v>
      </c>
      <c r="J47" s="15">
        <f t="shared" si="17"/>
        <v>2301173549.4268584</v>
      </c>
      <c r="K47" s="15">
        <f t="shared" si="17"/>
        <v>2926641356.5407057</v>
      </c>
      <c r="L47" s="15">
        <f t="shared" si="17"/>
        <v>3628191587.1984282</v>
      </c>
      <c r="M47" s="15">
        <f t="shared" si="17"/>
        <v>4213434832.4704709</v>
      </c>
      <c r="N47" s="15">
        <f t="shared" si="17"/>
        <v>4836626716.9097443</v>
      </c>
      <c r="O47" s="15">
        <f t="shared" si="17"/>
        <v>5760108684.5930386</v>
      </c>
      <c r="P47" s="15">
        <f t="shared" si="17"/>
        <v>6381126249.307353</v>
      </c>
      <c r="Q47" s="15">
        <f t="shared" si="17"/>
        <v>7082508704.2477827</v>
      </c>
      <c r="R47" s="15">
        <f t="shared" si="17"/>
        <v>7821612526.126461</v>
      </c>
      <c r="S47" s="15">
        <f t="shared" si="17"/>
        <v>8521097623.8698702</v>
      </c>
      <c r="T47" s="15">
        <f t="shared" si="17"/>
        <v>9218632849.8814602</v>
      </c>
      <c r="U47" s="15">
        <f t="shared" si="17"/>
        <v>9914478758.2846813</v>
      </c>
    </row>
    <row r="48" spans="1:21" x14ac:dyDescent="0.25">
      <c r="A48" s="52" t="s">
        <v>66</v>
      </c>
      <c r="B48" s="44">
        <f>((B47)/B44)</f>
        <v>-0.99368365398387737</v>
      </c>
      <c r="C48" s="44">
        <f t="shared" ref="C48:U48" si="18">((C47)/C44)</f>
        <v>-0.30279331597973569</v>
      </c>
      <c r="D48" s="44">
        <f t="shared" si="18"/>
        <v>0.1154341270155977</v>
      </c>
      <c r="E48" s="44">
        <f t="shared" si="18"/>
        <v>0.39797904459473538</v>
      </c>
      <c r="F48" s="44">
        <f t="shared" si="18"/>
        <v>0.57103757253812903</v>
      </c>
      <c r="G48" s="44">
        <f t="shared" si="18"/>
        <v>0.75291558455307073</v>
      </c>
      <c r="H48" s="44">
        <f t="shared" si="18"/>
        <v>0.90613610759376229</v>
      </c>
      <c r="I48" s="44">
        <f t="shared" si="18"/>
        <v>0.97986079004825166</v>
      </c>
      <c r="J48" s="44">
        <f t="shared" si="18"/>
        <v>1.1033619901786178</v>
      </c>
      <c r="K48" s="44">
        <f t="shared" si="18"/>
        <v>1.1696886384670673</v>
      </c>
      <c r="L48" s="44">
        <f t="shared" si="18"/>
        <v>1.2425565098373317</v>
      </c>
      <c r="M48" s="44">
        <f t="shared" si="18"/>
        <v>1.26211167276633</v>
      </c>
      <c r="N48" s="44">
        <f t="shared" si="18"/>
        <v>1.2871318140898784</v>
      </c>
      <c r="O48" s="44">
        <f t="shared" si="18"/>
        <v>1.5325310326316808</v>
      </c>
      <c r="P48" s="44">
        <f t="shared" si="18"/>
        <v>1.5263951653911785</v>
      </c>
      <c r="Q48" s="44">
        <f t="shared" si="18"/>
        <v>1.5381228851352977</v>
      </c>
      <c r="R48" s="44">
        <f t="shared" si="18"/>
        <v>1.555034149917973</v>
      </c>
      <c r="S48" s="44">
        <f t="shared" si="18"/>
        <v>1.5616898319924073</v>
      </c>
      <c r="T48" s="44">
        <f t="shared" si="18"/>
        <v>1.5664080936024312</v>
      </c>
      <c r="U48" s="44">
        <f t="shared" si="18"/>
        <v>1.5696993661242251</v>
      </c>
    </row>
    <row r="49" spans="2:21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2:21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2:21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2:21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2:21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2:21" x14ac:dyDescent="0.25"/>
    <row r="55" spans="2:21" x14ac:dyDescent="0.25"/>
    <row r="56" spans="2:21" x14ac:dyDescent="0.25"/>
    <row r="57" spans="2:21" x14ac:dyDescent="0.25"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2:21" x14ac:dyDescent="0.25"/>
    <row r="59" spans="2:21" x14ac:dyDescent="0.25"/>
    <row r="60" spans="2:21" x14ac:dyDescent="0.25"/>
    <row r="61" spans="2:21" x14ac:dyDescent="0.25"/>
    <row r="62" spans="2:21" x14ac:dyDescent="0.25">
      <c r="C62" s="19"/>
    </row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7E56-D0E2-40F2-A6D5-96309BC3D6D3}">
  <dimension ref="A1:B13"/>
  <sheetViews>
    <sheetView topLeftCell="A3" workbookViewId="0">
      <selection activeCell="A16" sqref="A16"/>
    </sheetView>
  </sheetViews>
  <sheetFormatPr defaultRowHeight="15" x14ac:dyDescent="0.25"/>
  <cols>
    <col min="2" max="2" width="19.7109375" customWidth="1"/>
  </cols>
  <sheetData>
    <row r="1" spans="1:2" x14ac:dyDescent="0.25">
      <c r="A1" t="s">
        <v>133</v>
      </c>
    </row>
    <row r="2" spans="1:2" x14ac:dyDescent="0.25">
      <c r="A2" t="s">
        <v>134</v>
      </c>
    </row>
    <row r="3" spans="1:2" x14ac:dyDescent="0.25">
      <c r="B3" t="s">
        <v>135</v>
      </c>
    </row>
    <row r="4" spans="1:2" x14ac:dyDescent="0.25">
      <c r="B4" t="s">
        <v>136</v>
      </c>
    </row>
    <row r="5" spans="1:2" x14ac:dyDescent="0.25">
      <c r="B5" t="s">
        <v>137</v>
      </c>
    </row>
    <row r="6" spans="1:2" x14ac:dyDescent="0.25">
      <c r="B6" t="s">
        <v>138</v>
      </c>
    </row>
    <row r="8" spans="1:2" x14ac:dyDescent="0.25">
      <c r="A8" t="s">
        <v>139</v>
      </c>
    </row>
    <row r="9" spans="1:2" x14ac:dyDescent="0.25">
      <c r="B9" t="s">
        <v>140</v>
      </c>
    </row>
    <row r="10" spans="1:2" x14ac:dyDescent="0.25">
      <c r="B10" t="s">
        <v>141</v>
      </c>
    </row>
    <row r="11" spans="1:2" x14ac:dyDescent="0.25">
      <c r="B11" t="s">
        <v>142</v>
      </c>
    </row>
    <row r="12" spans="1:2" x14ac:dyDescent="0.25">
      <c r="A12" t="s">
        <v>143</v>
      </c>
    </row>
    <row r="13" spans="1:2" x14ac:dyDescent="0.25">
      <c r="B13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9C61-D607-42E4-AD6F-AB3D01BB7C93}">
  <dimension ref="B2:AD162"/>
  <sheetViews>
    <sheetView topLeftCell="A19" workbookViewId="0">
      <selection activeCell="B26" sqref="B26"/>
    </sheetView>
  </sheetViews>
  <sheetFormatPr defaultRowHeight="15" x14ac:dyDescent="0.25"/>
  <cols>
    <col min="2" max="2" width="39" bestFit="1" customWidth="1"/>
    <col min="3" max="3" width="22.140625" bestFit="1" customWidth="1"/>
    <col min="4" max="4" width="24.28515625" customWidth="1"/>
    <col min="5" max="5" width="27.7109375" bestFit="1" customWidth="1"/>
    <col min="6" max="6" width="24.42578125" bestFit="1" customWidth="1"/>
    <col min="7" max="8" width="30.7109375" customWidth="1"/>
    <col min="9" max="9" width="25.85546875" customWidth="1"/>
    <col min="10" max="10" width="44.42578125" customWidth="1"/>
    <col min="11" max="11" width="22.28515625" customWidth="1"/>
  </cols>
  <sheetData>
    <row r="2" spans="9:20" ht="14.25" customHeight="1" x14ac:dyDescent="0.25">
      <c r="I2" s="72"/>
      <c r="J2" s="72"/>
      <c r="K2" s="72"/>
      <c r="L2" s="72"/>
      <c r="M2" s="72"/>
      <c r="N2" s="72"/>
      <c r="O2" s="72"/>
      <c r="P2" s="72"/>
    </row>
    <row r="3" spans="9:20" ht="14.25" customHeight="1" x14ac:dyDescent="0.25"/>
    <row r="4" spans="9:20" ht="14.25" customHeight="1" x14ac:dyDescent="0.25"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9:20" ht="14.25" customHeight="1" x14ac:dyDescent="0.25"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</row>
    <row r="6" spans="9:20" ht="14.25" customHeight="1" x14ac:dyDescent="0.25"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</row>
    <row r="7" spans="9:20" ht="14.25" customHeight="1" x14ac:dyDescent="0.25"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</row>
    <row r="8" spans="9:20" ht="14.25" customHeight="1" x14ac:dyDescent="0.25"/>
    <row r="9" spans="9:20" ht="14.25" customHeight="1" x14ac:dyDescent="0.25"/>
    <row r="10" spans="9:20" ht="14.25" customHeight="1" x14ac:dyDescent="0.25"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</row>
    <row r="11" spans="9:20" ht="14.25" customHeight="1" x14ac:dyDescent="0.25"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</row>
    <row r="12" spans="9:20" ht="14.25" customHeight="1" x14ac:dyDescent="0.25"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</row>
    <row r="13" spans="9:20" ht="14.25" customHeight="1" x14ac:dyDescent="0.25"/>
    <row r="14" spans="9:20" ht="14.25" customHeight="1" x14ac:dyDescent="0.25"/>
    <row r="24" spans="2:30" x14ac:dyDescent="0.25">
      <c r="B24" t="s">
        <v>145</v>
      </c>
      <c r="C24" s="20" t="s">
        <v>146</v>
      </c>
      <c r="D24" s="20" t="s">
        <v>147</v>
      </c>
      <c r="E24" s="20" t="s">
        <v>148</v>
      </c>
      <c r="F24" s="20" t="s">
        <v>149</v>
      </c>
      <c r="G24" s="20" t="s">
        <v>150</v>
      </c>
      <c r="H24" s="20" t="s">
        <v>151</v>
      </c>
      <c r="I24" s="20" t="s">
        <v>152</v>
      </c>
      <c r="J24" s="20" t="s">
        <v>153</v>
      </c>
      <c r="K24" s="20" t="s">
        <v>154</v>
      </c>
    </row>
    <row r="25" spans="2:30" x14ac:dyDescent="0.25">
      <c r="C25" s="20">
        <v>0.2</v>
      </c>
      <c r="D25" s="36">
        <v>1000000000</v>
      </c>
      <c r="E25" s="36">
        <f t="shared" ref="E25:E44" si="0" xml:space="preserve"> D25 * 0.2</f>
        <v>200000000</v>
      </c>
      <c r="F25" s="37">
        <f t="shared" ref="F25:F45" si="1">D25/(2200*12)</f>
        <v>37878.78787878788</v>
      </c>
      <c r="G25" s="20">
        <f xml:space="preserve"> E25 * 0.22</f>
        <v>44000000</v>
      </c>
      <c r="H25" s="20">
        <f t="shared" ref="H25:H44" si="2" xml:space="preserve"> I25 * 0.2</f>
        <v>3000000</v>
      </c>
      <c r="I25" s="20">
        <f xml:space="preserve"> D25 * 0.015</f>
        <v>15000000</v>
      </c>
      <c r="J25" s="37">
        <f t="shared" ref="J25:J44" si="3" xml:space="preserve"> (F25 * 0.05) * 40</f>
        <v>75757.57575757576</v>
      </c>
      <c r="K25" s="37">
        <f t="shared" ref="K25:K44" si="4">F25 * 150</f>
        <v>5681818.1818181816</v>
      </c>
      <c r="U25" s="73" t="s">
        <v>155</v>
      </c>
      <c r="V25" s="73"/>
      <c r="W25" s="73"/>
      <c r="X25" s="73"/>
      <c r="Y25" s="73"/>
      <c r="Z25" s="73"/>
      <c r="AA25" s="73"/>
      <c r="AB25" s="73"/>
      <c r="AC25" s="73"/>
      <c r="AD25" s="73"/>
    </row>
    <row r="26" spans="2:30" x14ac:dyDescent="0.25">
      <c r="C26" s="20">
        <v>0.4</v>
      </c>
      <c r="D26" s="36">
        <v>2000000000</v>
      </c>
      <c r="E26" s="36">
        <f t="shared" si="0"/>
        <v>400000000</v>
      </c>
      <c r="F26" s="37">
        <f t="shared" si="1"/>
        <v>75757.57575757576</v>
      </c>
      <c r="G26" s="20">
        <f t="shared" ref="G26:G44" si="5" xml:space="preserve"> E26 * 0.22</f>
        <v>88000000</v>
      </c>
      <c r="H26" s="20">
        <f xml:space="preserve"> I26 * 0.2</f>
        <v>6000000</v>
      </c>
      <c r="I26" s="20">
        <f t="shared" ref="I26:I44" si="6" xml:space="preserve"> D26 * 0.015</f>
        <v>30000000</v>
      </c>
      <c r="J26" s="37">
        <f t="shared" si="3"/>
        <v>151515.15151515152</v>
      </c>
      <c r="K26" s="37">
        <f t="shared" si="4"/>
        <v>11363636.363636363</v>
      </c>
      <c r="U26" s="73"/>
      <c r="V26" s="73"/>
      <c r="W26" s="73"/>
      <c r="X26" s="73"/>
      <c r="Y26" s="73"/>
      <c r="Z26" s="73"/>
      <c r="AA26" s="73"/>
      <c r="AB26" s="73"/>
      <c r="AC26" s="73"/>
      <c r="AD26" s="73"/>
    </row>
    <row r="27" spans="2:30" x14ac:dyDescent="0.25">
      <c r="C27" s="20">
        <v>0.6</v>
      </c>
      <c r="D27" s="36">
        <v>3000000000</v>
      </c>
      <c r="E27" s="36">
        <f t="shared" si="0"/>
        <v>600000000</v>
      </c>
      <c r="F27" s="37">
        <f t="shared" si="1"/>
        <v>113636.36363636363</v>
      </c>
      <c r="G27" s="20">
        <f t="shared" si="5"/>
        <v>132000000</v>
      </c>
      <c r="H27" s="20">
        <f t="shared" si="2"/>
        <v>9000000</v>
      </c>
      <c r="I27" s="20">
        <f t="shared" si="6"/>
        <v>45000000</v>
      </c>
      <c r="J27" s="37">
        <f t="shared" si="3"/>
        <v>227272.72727272729</v>
      </c>
      <c r="K27" s="37">
        <f t="shared" si="4"/>
        <v>17045454.545454543</v>
      </c>
      <c r="U27" s="73"/>
      <c r="V27" s="73"/>
      <c r="W27" s="73"/>
      <c r="X27" s="73"/>
      <c r="Y27" s="73"/>
      <c r="Z27" s="73"/>
      <c r="AA27" s="73"/>
      <c r="AB27" s="73"/>
      <c r="AC27" s="73"/>
      <c r="AD27" s="73"/>
    </row>
    <row r="28" spans="2:30" x14ac:dyDescent="0.25">
      <c r="C28" s="20">
        <v>0.8</v>
      </c>
      <c r="D28" s="36">
        <v>4000000000</v>
      </c>
      <c r="E28" s="36">
        <f t="shared" si="0"/>
        <v>800000000</v>
      </c>
      <c r="F28" s="37">
        <f t="shared" si="1"/>
        <v>151515.15151515152</v>
      </c>
      <c r="G28" s="20">
        <f t="shared" si="5"/>
        <v>176000000</v>
      </c>
      <c r="H28" s="20">
        <f t="shared" si="2"/>
        <v>12000000</v>
      </c>
      <c r="I28" s="20">
        <f t="shared" si="6"/>
        <v>60000000</v>
      </c>
      <c r="J28" s="37">
        <f t="shared" si="3"/>
        <v>303030.30303030304</v>
      </c>
      <c r="K28" s="37">
        <f t="shared" si="4"/>
        <v>22727272.727272727</v>
      </c>
      <c r="U28" s="73"/>
      <c r="V28" s="73"/>
      <c r="W28" s="73"/>
      <c r="X28" s="73"/>
      <c r="Y28" s="73"/>
      <c r="Z28" s="73"/>
      <c r="AA28" s="73"/>
      <c r="AB28" s="73"/>
      <c r="AC28" s="73"/>
      <c r="AD28" s="73"/>
    </row>
    <row r="29" spans="2:30" x14ac:dyDescent="0.25">
      <c r="C29" s="20">
        <v>1</v>
      </c>
      <c r="D29" s="36">
        <v>5000000000</v>
      </c>
      <c r="E29" s="36">
        <f t="shared" si="0"/>
        <v>1000000000</v>
      </c>
      <c r="F29" s="37">
        <f t="shared" si="1"/>
        <v>189393.93939393939</v>
      </c>
      <c r="G29" s="20">
        <f t="shared" si="5"/>
        <v>220000000</v>
      </c>
      <c r="H29" s="20">
        <f t="shared" si="2"/>
        <v>15000000</v>
      </c>
      <c r="I29" s="20">
        <f xml:space="preserve"> D29 * 0.015</f>
        <v>75000000</v>
      </c>
      <c r="J29" s="37">
        <f t="shared" si="3"/>
        <v>378787.87878787878</v>
      </c>
      <c r="K29" s="37">
        <f t="shared" si="4"/>
        <v>28409090.90909091</v>
      </c>
      <c r="U29" s="73"/>
      <c r="V29" s="73"/>
      <c r="W29" s="73"/>
      <c r="X29" s="73"/>
      <c r="Y29" s="73"/>
      <c r="Z29" s="73"/>
      <c r="AA29" s="73"/>
      <c r="AB29" s="73"/>
      <c r="AC29" s="73"/>
      <c r="AD29" s="73"/>
    </row>
    <row r="30" spans="2:30" x14ac:dyDescent="0.25">
      <c r="C30" s="20">
        <v>1.2</v>
      </c>
      <c r="D30" s="36">
        <v>6000000000</v>
      </c>
      <c r="E30" s="36">
        <f t="shared" si="0"/>
        <v>1200000000</v>
      </c>
      <c r="F30" s="37">
        <f t="shared" si="1"/>
        <v>227272.72727272726</v>
      </c>
      <c r="G30" s="20">
        <f t="shared" si="5"/>
        <v>264000000</v>
      </c>
      <c r="H30" s="20">
        <f t="shared" si="2"/>
        <v>18000000</v>
      </c>
      <c r="I30" s="20">
        <f xml:space="preserve"> D30 * 0.015</f>
        <v>90000000</v>
      </c>
      <c r="J30" s="37">
        <f t="shared" si="3"/>
        <v>454545.45454545459</v>
      </c>
      <c r="K30" s="37">
        <f t="shared" si="4"/>
        <v>34090909.090909086</v>
      </c>
      <c r="U30" s="73"/>
      <c r="V30" s="73"/>
      <c r="W30" s="73"/>
      <c r="X30" s="73"/>
      <c r="Y30" s="73"/>
      <c r="Z30" s="73"/>
      <c r="AA30" s="73"/>
      <c r="AB30" s="73"/>
      <c r="AC30" s="73"/>
      <c r="AD30" s="73"/>
    </row>
    <row r="31" spans="2:30" x14ac:dyDescent="0.25">
      <c r="C31" s="20">
        <v>1.4</v>
      </c>
      <c r="D31" s="36">
        <v>7000000000</v>
      </c>
      <c r="E31" s="36">
        <f t="shared" si="0"/>
        <v>1400000000</v>
      </c>
      <c r="F31" s="37">
        <f t="shared" si="1"/>
        <v>265151.51515151514</v>
      </c>
      <c r="G31" s="20">
        <f t="shared" si="5"/>
        <v>308000000</v>
      </c>
      <c r="H31" s="20">
        <f t="shared" si="2"/>
        <v>21000000</v>
      </c>
      <c r="I31" s="20">
        <f xml:space="preserve"> D31 * 0.015</f>
        <v>105000000</v>
      </c>
      <c r="J31" s="37">
        <f t="shared" si="3"/>
        <v>530303.03030303027</v>
      </c>
      <c r="K31" s="37">
        <f t="shared" si="4"/>
        <v>39772727.272727273</v>
      </c>
      <c r="U31" s="73"/>
      <c r="V31" s="73"/>
      <c r="W31" s="73"/>
      <c r="X31" s="73"/>
      <c r="Y31" s="73"/>
      <c r="Z31" s="73"/>
      <c r="AA31" s="73"/>
      <c r="AB31" s="73"/>
      <c r="AC31" s="73"/>
      <c r="AD31" s="73"/>
    </row>
    <row r="32" spans="2:30" x14ac:dyDescent="0.25">
      <c r="C32" s="20">
        <v>2</v>
      </c>
      <c r="D32" s="36">
        <v>10000000000</v>
      </c>
      <c r="E32" s="36">
        <f t="shared" si="0"/>
        <v>2000000000</v>
      </c>
      <c r="F32" s="37">
        <f t="shared" si="1"/>
        <v>378787.87878787878</v>
      </c>
      <c r="G32" s="20">
        <f t="shared" si="5"/>
        <v>440000000</v>
      </c>
      <c r="H32" s="20">
        <f t="shared" si="2"/>
        <v>30000000</v>
      </c>
      <c r="I32" s="20">
        <f xml:space="preserve"> D32 * 0.015</f>
        <v>150000000</v>
      </c>
      <c r="J32" s="37">
        <f t="shared" si="3"/>
        <v>757575.75757575757</v>
      </c>
      <c r="K32" s="37">
        <f t="shared" si="4"/>
        <v>56818181.81818182</v>
      </c>
      <c r="U32" s="73"/>
      <c r="V32" s="73"/>
      <c r="W32" s="73"/>
      <c r="X32" s="73"/>
      <c r="Y32" s="73"/>
      <c r="Z32" s="73"/>
      <c r="AA32" s="73"/>
      <c r="AB32" s="73"/>
      <c r="AC32" s="73"/>
      <c r="AD32" s="73"/>
    </row>
    <row r="33" spans="2:29" x14ac:dyDescent="0.25">
      <c r="C33" s="20">
        <v>2.5</v>
      </c>
      <c r="D33" s="36">
        <v>13000000000</v>
      </c>
      <c r="E33" s="36">
        <f t="shared" si="0"/>
        <v>2600000000</v>
      </c>
      <c r="F33" s="37">
        <f t="shared" si="1"/>
        <v>492424.24242424243</v>
      </c>
      <c r="G33" s="20">
        <f t="shared" si="5"/>
        <v>572000000</v>
      </c>
      <c r="H33" s="20">
        <f t="shared" si="2"/>
        <v>39000000</v>
      </c>
      <c r="I33" s="20">
        <f t="shared" si="6"/>
        <v>195000000</v>
      </c>
      <c r="J33" s="37">
        <f t="shared" si="3"/>
        <v>984848.48484848498</v>
      </c>
      <c r="K33" s="37">
        <f t="shared" si="4"/>
        <v>73863636.36363636</v>
      </c>
    </row>
    <row r="34" spans="2:29" x14ac:dyDescent="0.25">
      <c r="C34" s="20">
        <v>3</v>
      </c>
      <c r="D34" s="36">
        <v>16000000000</v>
      </c>
      <c r="E34" s="36">
        <f t="shared" si="0"/>
        <v>3200000000</v>
      </c>
      <c r="F34" s="37">
        <f t="shared" si="1"/>
        <v>606060.60606060608</v>
      </c>
      <c r="G34" s="20">
        <f t="shared" si="5"/>
        <v>704000000</v>
      </c>
      <c r="H34" s="20">
        <f t="shared" si="2"/>
        <v>48000000</v>
      </c>
      <c r="I34" s="20">
        <f xml:space="preserve"> D34 * 0.015</f>
        <v>240000000</v>
      </c>
      <c r="J34" s="37">
        <f t="shared" si="3"/>
        <v>1212121.2121212122</v>
      </c>
      <c r="K34" s="37">
        <f t="shared" si="4"/>
        <v>90909090.909090906</v>
      </c>
      <c r="U34" s="74" t="s">
        <v>156</v>
      </c>
      <c r="V34" s="74"/>
      <c r="W34" s="74"/>
      <c r="X34" s="74"/>
      <c r="Y34" s="74"/>
      <c r="Z34" s="74"/>
      <c r="AA34" s="74"/>
      <c r="AB34" s="74"/>
      <c r="AC34" s="74"/>
    </row>
    <row r="35" spans="2:29" x14ac:dyDescent="0.25">
      <c r="C35" s="20">
        <v>3.5</v>
      </c>
      <c r="D35" s="36">
        <v>19000000000</v>
      </c>
      <c r="E35" s="36">
        <f t="shared" si="0"/>
        <v>3800000000</v>
      </c>
      <c r="F35" s="37">
        <f t="shared" si="1"/>
        <v>719696.96969696973</v>
      </c>
      <c r="G35" s="20">
        <f t="shared" si="5"/>
        <v>836000000</v>
      </c>
      <c r="H35" s="20">
        <f t="shared" si="2"/>
        <v>57000000</v>
      </c>
      <c r="I35" s="20">
        <f xml:space="preserve"> D35 * 0.015</f>
        <v>285000000</v>
      </c>
      <c r="J35" s="37">
        <f t="shared" si="3"/>
        <v>1439393.9393939395</v>
      </c>
      <c r="K35" s="37">
        <f t="shared" si="4"/>
        <v>107954545.45454545</v>
      </c>
    </row>
    <row r="36" spans="2:29" x14ac:dyDescent="0.25">
      <c r="C36" s="20">
        <v>4</v>
      </c>
      <c r="D36" s="36">
        <v>22000000000</v>
      </c>
      <c r="E36" s="36">
        <f t="shared" si="0"/>
        <v>4400000000</v>
      </c>
      <c r="F36" s="37">
        <f t="shared" si="1"/>
        <v>833333.33333333337</v>
      </c>
      <c r="G36" s="20">
        <f t="shared" si="5"/>
        <v>968000000</v>
      </c>
      <c r="H36" s="20">
        <f t="shared" si="2"/>
        <v>66000000</v>
      </c>
      <c r="I36" s="20">
        <f xml:space="preserve"> D36 * 0.015</f>
        <v>330000000</v>
      </c>
      <c r="J36" s="37">
        <f t="shared" si="3"/>
        <v>1666666.666666667</v>
      </c>
      <c r="K36" s="37">
        <f t="shared" si="4"/>
        <v>125000000</v>
      </c>
    </row>
    <row r="37" spans="2:29" x14ac:dyDescent="0.25">
      <c r="C37" s="20">
        <v>4.5</v>
      </c>
      <c r="D37" s="36">
        <v>25000000000</v>
      </c>
      <c r="E37" s="36">
        <f t="shared" si="0"/>
        <v>5000000000</v>
      </c>
      <c r="F37" s="37">
        <f t="shared" si="1"/>
        <v>946969.69696969702</v>
      </c>
      <c r="G37" s="20">
        <f t="shared" si="5"/>
        <v>1100000000</v>
      </c>
      <c r="H37" s="20">
        <f t="shared" si="2"/>
        <v>75000000</v>
      </c>
      <c r="I37" s="20">
        <f xml:space="preserve"> D37 * 0.015</f>
        <v>375000000</v>
      </c>
      <c r="J37" s="37">
        <f t="shared" si="3"/>
        <v>1893939.3939393943</v>
      </c>
      <c r="K37" s="37">
        <f t="shared" si="4"/>
        <v>142045454.54545456</v>
      </c>
      <c r="V37" s="74" t="s">
        <v>157</v>
      </c>
      <c r="W37" s="74"/>
      <c r="X37" s="74"/>
      <c r="Y37" s="74"/>
      <c r="Z37" s="74"/>
      <c r="AA37" s="74"/>
      <c r="AB37" s="74"/>
      <c r="AC37" s="74"/>
    </row>
    <row r="38" spans="2:29" x14ac:dyDescent="0.25">
      <c r="C38" s="20">
        <v>5</v>
      </c>
      <c r="D38" s="36">
        <v>28000000000</v>
      </c>
      <c r="E38" s="36">
        <f t="shared" si="0"/>
        <v>5600000000</v>
      </c>
      <c r="F38" s="37">
        <f t="shared" si="1"/>
        <v>1060606.0606060605</v>
      </c>
      <c r="G38" s="20">
        <f t="shared" si="5"/>
        <v>1232000000</v>
      </c>
      <c r="H38" s="20">
        <f t="shared" si="2"/>
        <v>84000000</v>
      </c>
      <c r="I38" s="20">
        <f t="shared" si="6"/>
        <v>420000000</v>
      </c>
      <c r="J38" s="37">
        <f t="shared" si="3"/>
        <v>2121212.1212121211</v>
      </c>
      <c r="K38" s="37">
        <f t="shared" si="4"/>
        <v>159090909.09090909</v>
      </c>
    </row>
    <row r="39" spans="2:29" x14ac:dyDescent="0.25">
      <c r="C39" s="20">
        <v>5.5</v>
      </c>
      <c r="D39" s="36">
        <v>34000000000</v>
      </c>
      <c r="E39" s="36">
        <f t="shared" si="0"/>
        <v>6800000000</v>
      </c>
      <c r="F39" s="37">
        <f t="shared" si="1"/>
        <v>1287878.7878787878</v>
      </c>
      <c r="G39" s="20">
        <f t="shared" si="5"/>
        <v>1496000000</v>
      </c>
      <c r="H39" s="20">
        <f t="shared" si="2"/>
        <v>102000000</v>
      </c>
      <c r="I39" s="20">
        <f xml:space="preserve"> D39 * 0.015</f>
        <v>510000000</v>
      </c>
      <c r="J39" s="37">
        <f t="shared" si="3"/>
        <v>2575757.5757575757</v>
      </c>
      <c r="K39" s="37">
        <f t="shared" si="4"/>
        <v>193181818.18181819</v>
      </c>
      <c r="V39" s="74" t="s">
        <v>158</v>
      </c>
      <c r="W39" s="74"/>
      <c r="X39" s="74"/>
      <c r="Y39" s="74"/>
      <c r="Z39" s="74"/>
      <c r="AA39" s="74"/>
      <c r="AB39" s="74"/>
      <c r="AC39" s="74"/>
    </row>
    <row r="40" spans="2:29" x14ac:dyDescent="0.25">
      <c r="C40" s="20">
        <v>6</v>
      </c>
      <c r="D40" s="36">
        <v>40000000000</v>
      </c>
      <c r="E40" s="36">
        <f t="shared" si="0"/>
        <v>8000000000</v>
      </c>
      <c r="F40" s="37">
        <f t="shared" si="1"/>
        <v>1515151.5151515151</v>
      </c>
      <c r="G40" s="20">
        <f t="shared" si="5"/>
        <v>1760000000</v>
      </c>
      <c r="H40" s="20">
        <f t="shared" si="2"/>
        <v>120000000</v>
      </c>
      <c r="I40" s="20">
        <f t="shared" si="6"/>
        <v>600000000</v>
      </c>
      <c r="J40" s="37">
        <f t="shared" si="3"/>
        <v>3030303.0303030303</v>
      </c>
      <c r="K40" s="37">
        <f>F40 * 150</f>
        <v>227272727.27272728</v>
      </c>
    </row>
    <row r="41" spans="2:29" x14ac:dyDescent="0.25">
      <c r="C41" s="20">
        <v>6.5</v>
      </c>
      <c r="D41" s="36">
        <v>46000000000</v>
      </c>
      <c r="E41" s="36">
        <f t="shared" si="0"/>
        <v>9200000000</v>
      </c>
      <c r="F41" s="37">
        <f t="shared" si="1"/>
        <v>1742424.2424242424</v>
      </c>
      <c r="G41" s="20">
        <f t="shared" si="5"/>
        <v>2024000000</v>
      </c>
      <c r="H41" s="20">
        <f t="shared" si="2"/>
        <v>138000000</v>
      </c>
      <c r="I41" s="20">
        <f t="shared" si="6"/>
        <v>690000000</v>
      </c>
      <c r="J41" s="37">
        <f t="shared" si="3"/>
        <v>3484848.4848484853</v>
      </c>
      <c r="K41" s="37">
        <f t="shared" si="4"/>
        <v>261363636.36363637</v>
      </c>
    </row>
    <row r="42" spans="2:29" x14ac:dyDescent="0.25">
      <c r="C42" s="20">
        <v>7</v>
      </c>
      <c r="D42" s="36">
        <v>52000000000</v>
      </c>
      <c r="E42" s="36">
        <f t="shared" si="0"/>
        <v>10400000000</v>
      </c>
      <c r="F42" s="37">
        <f t="shared" si="1"/>
        <v>1969696.9696969697</v>
      </c>
      <c r="G42" s="20">
        <f t="shared" si="5"/>
        <v>2288000000</v>
      </c>
      <c r="H42" s="20">
        <f t="shared" si="2"/>
        <v>156000000</v>
      </c>
      <c r="I42" s="20">
        <f t="shared" si="6"/>
        <v>780000000</v>
      </c>
      <c r="J42" s="37">
        <f t="shared" si="3"/>
        <v>3939393.9393939399</v>
      </c>
      <c r="K42" s="37">
        <f t="shared" si="4"/>
        <v>295454545.45454544</v>
      </c>
      <c r="V42" s="38" t="s">
        <v>159</v>
      </c>
    </row>
    <row r="43" spans="2:29" x14ac:dyDescent="0.25">
      <c r="C43" s="20">
        <v>7.5</v>
      </c>
      <c r="D43" s="36">
        <v>58000000000</v>
      </c>
      <c r="E43" s="36">
        <f t="shared" si="0"/>
        <v>11600000000</v>
      </c>
      <c r="F43" s="37">
        <f>D43/(2200*12)</f>
        <v>2196969.6969696968</v>
      </c>
      <c r="G43" s="20">
        <f t="shared" si="5"/>
        <v>2552000000</v>
      </c>
      <c r="H43" s="20">
        <f t="shared" si="2"/>
        <v>174000000</v>
      </c>
      <c r="I43" s="20">
        <f t="shared" si="6"/>
        <v>870000000</v>
      </c>
      <c r="J43" s="37">
        <f t="shared" si="3"/>
        <v>4393939.3939393936</v>
      </c>
      <c r="K43" s="37">
        <f t="shared" si="4"/>
        <v>329545454.5454545</v>
      </c>
    </row>
    <row r="44" spans="2:29" x14ac:dyDescent="0.25">
      <c r="C44" s="20">
        <v>8</v>
      </c>
      <c r="D44" s="36">
        <v>64000000000</v>
      </c>
      <c r="E44" s="36">
        <f t="shared" si="0"/>
        <v>12800000000</v>
      </c>
      <c r="F44" s="37">
        <f t="shared" si="1"/>
        <v>2424242.4242424243</v>
      </c>
      <c r="G44" s="20">
        <f t="shared" si="5"/>
        <v>2816000000</v>
      </c>
      <c r="H44" s="20">
        <f t="shared" si="2"/>
        <v>192000000</v>
      </c>
      <c r="I44" s="20">
        <f t="shared" si="6"/>
        <v>960000000</v>
      </c>
      <c r="J44" s="37">
        <f t="shared" si="3"/>
        <v>4848484.8484848486</v>
      </c>
      <c r="K44" s="37">
        <f t="shared" si="4"/>
        <v>363636363.63636363</v>
      </c>
      <c r="V44" s="38" t="s">
        <v>160</v>
      </c>
    </row>
    <row r="45" spans="2:29" x14ac:dyDescent="0.25">
      <c r="C45" s="20"/>
      <c r="D45" s="20">
        <v>100000000</v>
      </c>
      <c r="E45" s="36">
        <f xml:space="preserve"> D45 * 0.2</f>
        <v>20000000</v>
      </c>
      <c r="F45" s="37">
        <f t="shared" si="1"/>
        <v>3787.878787878788</v>
      </c>
      <c r="G45" s="20">
        <f xml:space="preserve"> E45 * 0.22</f>
        <v>4400000</v>
      </c>
      <c r="H45" s="20">
        <f xml:space="preserve"> I45 * 0.2</f>
        <v>300000</v>
      </c>
      <c r="I45" s="20">
        <f xml:space="preserve"> D45 * 0.015</f>
        <v>1500000</v>
      </c>
      <c r="J45" s="37">
        <f xml:space="preserve"> (F45 * 0.05) * 40</f>
        <v>7575.757575757576</v>
      </c>
      <c r="K45" s="37">
        <f>F45 * 150</f>
        <v>568181.81818181823</v>
      </c>
    </row>
    <row r="47" spans="2:29" ht="26.25" x14ac:dyDescent="0.4">
      <c r="B47" s="25" t="s">
        <v>161</v>
      </c>
      <c r="C47" s="26" t="s">
        <v>146</v>
      </c>
      <c r="D47" s="27" t="s">
        <v>162</v>
      </c>
      <c r="E47" s="27" t="s">
        <v>163</v>
      </c>
      <c r="F47" s="27" t="s">
        <v>150</v>
      </c>
      <c r="G47" s="28" t="s">
        <v>164</v>
      </c>
      <c r="H47" t="s">
        <v>165</v>
      </c>
    </row>
    <row r="48" spans="2:29" x14ac:dyDescent="0.25">
      <c r="C48" s="29">
        <v>0.25</v>
      </c>
      <c r="D48" s="35">
        <v>1000000000</v>
      </c>
      <c r="E48" s="34">
        <f xml:space="preserve"> D48/250000</f>
        <v>4000</v>
      </c>
      <c r="F48" s="30">
        <f xml:space="preserve"> D48 * 0.2</f>
        <v>200000000</v>
      </c>
      <c r="G48" s="31">
        <f xml:space="preserve"> (D48 * 0.05) *0.03</f>
        <v>1500000</v>
      </c>
      <c r="H48">
        <f xml:space="preserve"> D48 * 0.02</f>
        <v>20000000</v>
      </c>
    </row>
    <row r="49" spans="3:20" x14ac:dyDescent="0.25">
      <c r="C49" s="32">
        <v>0.5</v>
      </c>
      <c r="D49" s="35">
        <v>2000000000</v>
      </c>
      <c r="E49" s="34">
        <f t="shared" ref="E49:E66" si="7" xml:space="preserve"> D49/250000</f>
        <v>8000</v>
      </c>
      <c r="F49" s="30">
        <f t="shared" ref="F49:F66" si="8" xml:space="preserve"> D49 * 0.2</f>
        <v>400000000</v>
      </c>
      <c r="G49" s="31">
        <f t="shared" ref="G49:G65" si="9" xml:space="preserve"> (D49 * 0.05) *0.03</f>
        <v>3000000</v>
      </c>
      <c r="H49">
        <f t="shared" ref="H49:H66" si="10" xml:space="preserve"> D49 * 0.02</f>
        <v>40000000</v>
      </c>
      <c r="I49" s="72" t="s">
        <v>166</v>
      </c>
      <c r="J49" s="72"/>
      <c r="K49" s="72"/>
      <c r="L49" s="72"/>
      <c r="M49" s="72"/>
      <c r="N49" s="72"/>
      <c r="O49" s="72"/>
      <c r="P49" s="72"/>
    </row>
    <row r="50" spans="3:20" x14ac:dyDescent="0.25">
      <c r="C50" s="29">
        <v>0.75</v>
      </c>
      <c r="D50" s="30">
        <v>3000000000</v>
      </c>
      <c r="E50" s="34">
        <f t="shared" si="7"/>
        <v>12000</v>
      </c>
      <c r="F50" s="30">
        <f t="shared" si="8"/>
        <v>600000000</v>
      </c>
      <c r="G50" s="31">
        <f t="shared" si="9"/>
        <v>4500000</v>
      </c>
      <c r="H50">
        <f t="shared" si="10"/>
        <v>60000000</v>
      </c>
    </row>
    <row r="51" spans="3:20" x14ac:dyDescent="0.25">
      <c r="C51" s="32">
        <v>1</v>
      </c>
      <c r="D51" s="33">
        <v>4000000000</v>
      </c>
      <c r="E51" s="34">
        <f t="shared" si="7"/>
        <v>16000</v>
      </c>
      <c r="F51" s="30">
        <f t="shared" si="8"/>
        <v>800000000</v>
      </c>
      <c r="G51" s="31">
        <f t="shared" si="9"/>
        <v>6000000</v>
      </c>
      <c r="H51">
        <f t="shared" si="10"/>
        <v>80000000</v>
      </c>
      <c r="I51" s="73" t="s">
        <v>167</v>
      </c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</row>
    <row r="52" spans="3:20" x14ac:dyDescent="0.25">
      <c r="C52" s="29">
        <v>1.25</v>
      </c>
      <c r="D52" s="35">
        <v>5000000000</v>
      </c>
      <c r="E52" s="34">
        <f t="shared" si="7"/>
        <v>20000</v>
      </c>
      <c r="F52" s="30">
        <f t="shared" si="8"/>
        <v>1000000000</v>
      </c>
      <c r="G52" s="31">
        <f t="shared" si="9"/>
        <v>7500000</v>
      </c>
      <c r="H52">
        <f t="shared" si="10"/>
        <v>100000000</v>
      </c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</row>
    <row r="53" spans="3:20" x14ac:dyDescent="0.25">
      <c r="C53" s="32">
        <v>1.5</v>
      </c>
      <c r="D53" s="35">
        <v>6000000000</v>
      </c>
      <c r="E53" s="34">
        <f t="shared" si="7"/>
        <v>24000</v>
      </c>
      <c r="F53" s="30">
        <f t="shared" si="8"/>
        <v>1200000000</v>
      </c>
      <c r="G53" s="31">
        <f t="shared" si="9"/>
        <v>9000000</v>
      </c>
      <c r="H53">
        <f t="shared" si="10"/>
        <v>120000000</v>
      </c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</row>
    <row r="54" spans="3:20" x14ac:dyDescent="0.25">
      <c r="C54" s="29">
        <v>1.75</v>
      </c>
      <c r="D54" s="30">
        <v>7000000000</v>
      </c>
      <c r="E54" s="34">
        <f t="shared" si="7"/>
        <v>28000</v>
      </c>
      <c r="F54" s="30">
        <f t="shared" si="8"/>
        <v>1400000000</v>
      </c>
      <c r="G54" s="31">
        <f t="shared" si="9"/>
        <v>10500000</v>
      </c>
      <c r="H54">
        <f t="shared" si="10"/>
        <v>140000000</v>
      </c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</row>
    <row r="55" spans="3:20" x14ac:dyDescent="0.25">
      <c r="C55" s="32">
        <v>2.25</v>
      </c>
      <c r="D55" s="33">
        <v>9000000000</v>
      </c>
      <c r="E55" s="34">
        <f t="shared" si="7"/>
        <v>36000</v>
      </c>
      <c r="F55" s="30">
        <f t="shared" si="8"/>
        <v>1800000000</v>
      </c>
      <c r="G55" s="31">
        <f t="shared" si="9"/>
        <v>13500000</v>
      </c>
      <c r="H55">
        <f t="shared" si="10"/>
        <v>180000000</v>
      </c>
    </row>
    <row r="56" spans="3:20" x14ac:dyDescent="0.25">
      <c r="C56" s="29">
        <v>2.75</v>
      </c>
      <c r="D56" s="30">
        <v>11000000000</v>
      </c>
      <c r="E56" s="34">
        <f t="shared" si="7"/>
        <v>44000</v>
      </c>
      <c r="F56" s="30">
        <f t="shared" si="8"/>
        <v>2200000000</v>
      </c>
      <c r="G56" s="31">
        <f t="shared" si="9"/>
        <v>16500000</v>
      </c>
      <c r="H56">
        <f t="shared" si="10"/>
        <v>220000000</v>
      </c>
    </row>
    <row r="57" spans="3:20" x14ac:dyDescent="0.25">
      <c r="C57" s="32">
        <v>3.25</v>
      </c>
      <c r="D57" s="33">
        <v>13000000000</v>
      </c>
      <c r="E57" s="34">
        <f t="shared" si="7"/>
        <v>52000</v>
      </c>
      <c r="F57" s="30">
        <f t="shared" si="8"/>
        <v>2600000000</v>
      </c>
      <c r="G57" s="31">
        <f t="shared" si="9"/>
        <v>19500000</v>
      </c>
      <c r="H57">
        <f t="shared" si="10"/>
        <v>260000000</v>
      </c>
      <c r="I57" s="73" t="s">
        <v>168</v>
      </c>
      <c r="J57" s="73"/>
      <c r="K57" s="73"/>
      <c r="L57" s="73"/>
      <c r="M57" s="73"/>
      <c r="N57" s="73"/>
      <c r="O57" s="73"/>
      <c r="P57" s="73"/>
      <c r="Q57" s="73"/>
      <c r="R57" s="73"/>
      <c r="S57" s="73"/>
    </row>
    <row r="58" spans="3:20" x14ac:dyDescent="0.25">
      <c r="C58" s="29">
        <v>3.75</v>
      </c>
      <c r="D58" s="30">
        <v>15000000000</v>
      </c>
      <c r="E58" s="34">
        <f t="shared" si="7"/>
        <v>60000</v>
      </c>
      <c r="F58" s="30">
        <f t="shared" si="8"/>
        <v>3000000000</v>
      </c>
      <c r="G58" s="31">
        <f t="shared" si="9"/>
        <v>22500000</v>
      </c>
      <c r="H58">
        <f t="shared" si="10"/>
        <v>300000000</v>
      </c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</row>
    <row r="59" spans="3:20" x14ac:dyDescent="0.25">
      <c r="C59" s="32">
        <v>4.25</v>
      </c>
      <c r="D59" s="33">
        <v>17000000000</v>
      </c>
      <c r="E59" s="34">
        <f t="shared" si="7"/>
        <v>68000</v>
      </c>
      <c r="F59" s="30">
        <f t="shared" si="8"/>
        <v>3400000000</v>
      </c>
      <c r="G59" s="31">
        <f t="shared" si="9"/>
        <v>25500000</v>
      </c>
      <c r="H59">
        <f t="shared" si="10"/>
        <v>340000000</v>
      </c>
      <c r="I59" s="74" t="s">
        <v>169</v>
      </c>
      <c r="J59" s="74"/>
      <c r="K59" s="74"/>
      <c r="L59" s="74"/>
      <c r="M59" s="74"/>
      <c r="N59" s="74"/>
      <c r="O59" s="74"/>
      <c r="P59" s="74"/>
      <c r="Q59" s="74"/>
      <c r="R59" s="74"/>
      <c r="S59" s="74"/>
    </row>
    <row r="60" spans="3:20" x14ac:dyDescent="0.25">
      <c r="C60" s="29">
        <v>4.75</v>
      </c>
      <c r="D60" s="30">
        <v>19000000000</v>
      </c>
      <c r="E60" s="34">
        <f t="shared" si="7"/>
        <v>76000</v>
      </c>
      <c r="F60" s="30">
        <f t="shared" si="8"/>
        <v>3800000000</v>
      </c>
      <c r="G60" s="31">
        <f t="shared" si="9"/>
        <v>28500000</v>
      </c>
      <c r="H60">
        <f t="shared" si="10"/>
        <v>380000000</v>
      </c>
    </row>
    <row r="61" spans="3:20" x14ac:dyDescent="0.25">
      <c r="C61" s="32">
        <v>5.25</v>
      </c>
      <c r="D61" s="33">
        <v>21000000000</v>
      </c>
      <c r="E61" s="34">
        <f t="shared" si="7"/>
        <v>84000</v>
      </c>
      <c r="F61" s="30">
        <f t="shared" si="8"/>
        <v>4200000000</v>
      </c>
      <c r="G61" s="31">
        <f t="shared" si="9"/>
        <v>31500000</v>
      </c>
      <c r="H61">
        <f t="shared" si="10"/>
        <v>420000000</v>
      </c>
      <c r="J61" s="38" t="s">
        <v>170</v>
      </c>
    </row>
    <row r="62" spans="3:20" x14ac:dyDescent="0.25">
      <c r="C62" s="29">
        <v>5.75</v>
      </c>
      <c r="D62" s="30">
        <v>23000000000</v>
      </c>
      <c r="E62" s="34">
        <f t="shared" si="7"/>
        <v>92000</v>
      </c>
      <c r="F62" s="30">
        <f t="shared" si="8"/>
        <v>4600000000</v>
      </c>
      <c r="G62" s="31">
        <f t="shared" si="9"/>
        <v>34500000</v>
      </c>
      <c r="H62">
        <f t="shared" si="10"/>
        <v>460000000</v>
      </c>
    </row>
    <row r="63" spans="3:20" x14ac:dyDescent="0.25">
      <c r="C63" s="32">
        <v>6.25</v>
      </c>
      <c r="D63" s="33">
        <v>25000000000</v>
      </c>
      <c r="E63" s="34">
        <f t="shared" si="7"/>
        <v>100000</v>
      </c>
      <c r="F63" s="30">
        <f t="shared" si="8"/>
        <v>5000000000</v>
      </c>
      <c r="G63" s="31">
        <f t="shared" si="9"/>
        <v>37500000</v>
      </c>
      <c r="H63">
        <f t="shared" si="10"/>
        <v>500000000</v>
      </c>
    </row>
    <row r="64" spans="3:20" x14ac:dyDescent="0.25">
      <c r="C64" s="29">
        <v>6.75</v>
      </c>
      <c r="D64" s="30">
        <v>27000000000</v>
      </c>
      <c r="E64" s="34">
        <f t="shared" si="7"/>
        <v>108000</v>
      </c>
      <c r="F64" s="30">
        <f t="shared" si="8"/>
        <v>5400000000</v>
      </c>
      <c r="G64" s="31">
        <f t="shared" si="9"/>
        <v>40500000</v>
      </c>
      <c r="H64">
        <f t="shared" si="10"/>
        <v>540000000</v>
      </c>
    </row>
    <row r="65" spans="2:10" x14ac:dyDescent="0.25">
      <c r="C65" s="32">
        <v>7.25</v>
      </c>
      <c r="D65" s="33">
        <v>29000000000</v>
      </c>
      <c r="E65" s="34">
        <f t="shared" si="7"/>
        <v>116000</v>
      </c>
      <c r="F65" s="30">
        <f t="shared" si="8"/>
        <v>5800000000</v>
      </c>
      <c r="G65" s="31">
        <f t="shared" si="9"/>
        <v>43500000</v>
      </c>
      <c r="H65">
        <f t="shared" si="10"/>
        <v>580000000</v>
      </c>
      <c r="J65" s="70">
        <f xml:space="preserve"> H65 * 0.2</f>
        <v>116000000</v>
      </c>
    </row>
    <row r="66" spans="2:10" x14ac:dyDescent="0.25">
      <c r="C66" s="29">
        <v>7.75</v>
      </c>
      <c r="D66" s="30">
        <v>31000000000</v>
      </c>
      <c r="E66" s="34">
        <f t="shared" si="7"/>
        <v>124000</v>
      </c>
      <c r="F66" s="30">
        <f t="shared" si="8"/>
        <v>6200000000</v>
      </c>
      <c r="G66" s="31">
        <f xml:space="preserve"> (D66 * 0.05) *0.03</f>
        <v>46500000</v>
      </c>
      <c r="H66">
        <f t="shared" si="10"/>
        <v>620000000</v>
      </c>
    </row>
    <row r="67" spans="2:10" x14ac:dyDescent="0.25">
      <c r="D67">
        <v>10000000</v>
      </c>
      <c r="E67" s="34">
        <f t="shared" ref="E67" si="11" xml:space="preserve"> D67/250000</f>
        <v>40</v>
      </c>
      <c r="F67" s="30">
        <f t="shared" ref="F67" si="12" xml:space="preserve"> D67 * 0.2</f>
        <v>2000000</v>
      </c>
      <c r="G67" s="31">
        <f t="shared" ref="G67" si="13" xml:space="preserve"> (D67 * 0.05) *0.03</f>
        <v>15000</v>
      </c>
      <c r="H67">
        <f t="shared" ref="H67" si="14" xml:space="preserve"> D67 * 0.02</f>
        <v>200000</v>
      </c>
    </row>
    <row r="69" spans="2:10" x14ac:dyDescent="0.25">
      <c r="B69" t="s">
        <v>171</v>
      </c>
      <c r="C69" s="40" t="s">
        <v>146</v>
      </c>
      <c r="D69" s="27" t="s">
        <v>162</v>
      </c>
      <c r="E69" t="s">
        <v>172</v>
      </c>
      <c r="F69" t="s">
        <v>173</v>
      </c>
    </row>
    <row r="70" spans="2:10" x14ac:dyDescent="0.25">
      <c r="C70" s="39">
        <v>0.5</v>
      </c>
      <c r="D70" s="35">
        <f xml:space="preserve"> 3000000000 * (C70 * 0.1)</f>
        <v>150000000</v>
      </c>
      <c r="E70" s="41">
        <f t="shared" ref="E70:E88" si="15" xml:space="preserve"> D70/28000</f>
        <v>5357.1428571428569</v>
      </c>
      <c r="F70">
        <f t="shared" ref="F70:F88" si="16" xml:space="preserve"> D70 * 0.14</f>
        <v>21000000.000000004</v>
      </c>
    </row>
    <row r="71" spans="2:10" x14ac:dyDescent="0.25">
      <c r="C71" s="32">
        <v>1</v>
      </c>
      <c r="D71" s="35">
        <f t="shared" ref="D71:D88" si="17" xml:space="preserve"> 3000000000 * (C71 * 0.1)</f>
        <v>300000000</v>
      </c>
      <c r="E71" s="41">
        <f t="shared" si="15"/>
        <v>10714.285714285714</v>
      </c>
      <c r="F71">
        <f t="shared" si="16"/>
        <v>42000000.000000007</v>
      </c>
      <c r="J71" s="38" t="s">
        <v>174</v>
      </c>
    </row>
    <row r="72" spans="2:10" x14ac:dyDescent="0.25">
      <c r="C72" s="29">
        <v>1.5</v>
      </c>
      <c r="D72" s="35">
        <f t="shared" si="17"/>
        <v>450000000.00000006</v>
      </c>
      <c r="E72" s="41">
        <f t="shared" si="15"/>
        <v>16071.428571428574</v>
      </c>
      <c r="F72">
        <f t="shared" si="16"/>
        <v>63000000.000000015</v>
      </c>
    </row>
    <row r="73" spans="2:10" x14ac:dyDescent="0.25">
      <c r="C73" s="32">
        <v>2</v>
      </c>
      <c r="D73" s="35">
        <f t="shared" si="17"/>
        <v>600000000</v>
      </c>
      <c r="E73" s="41">
        <f t="shared" si="15"/>
        <v>21428.571428571428</v>
      </c>
      <c r="F73">
        <f t="shared" si="16"/>
        <v>84000000.000000015</v>
      </c>
      <c r="J73" s="38" t="s">
        <v>175</v>
      </c>
    </row>
    <row r="74" spans="2:10" x14ac:dyDescent="0.25">
      <c r="C74" s="29">
        <v>2.5</v>
      </c>
      <c r="D74" s="35">
        <f t="shared" si="17"/>
        <v>750000000</v>
      </c>
      <c r="E74" s="41">
        <f t="shared" si="15"/>
        <v>26785.714285714286</v>
      </c>
      <c r="F74">
        <f t="shared" si="16"/>
        <v>105000000.00000001</v>
      </c>
    </row>
    <row r="75" spans="2:10" x14ac:dyDescent="0.25">
      <c r="C75" s="32">
        <v>3</v>
      </c>
      <c r="D75" s="35">
        <f t="shared" si="17"/>
        <v>900000000.00000012</v>
      </c>
      <c r="E75" s="41">
        <f t="shared" si="15"/>
        <v>32142.857142857149</v>
      </c>
      <c r="F75">
        <f t="shared" si="16"/>
        <v>126000000.00000003</v>
      </c>
      <c r="J75" s="38" t="s">
        <v>176</v>
      </c>
    </row>
    <row r="76" spans="2:10" x14ac:dyDescent="0.25">
      <c r="C76" s="29">
        <v>3.5</v>
      </c>
      <c r="D76" s="35">
        <f t="shared" si="17"/>
        <v>1050000000.0000001</v>
      </c>
      <c r="E76" s="41">
        <f t="shared" si="15"/>
        <v>37500.000000000007</v>
      </c>
      <c r="F76">
        <f t="shared" si="16"/>
        <v>147000000.00000003</v>
      </c>
    </row>
    <row r="77" spans="2:10" x14ac:dyDescent="0.25">
      <c r="C77" s="32">
        <v>4</v>
      </c>
      <c r="D77" s="35">
        <f t="shared" si="17"/>
        <v>1200000000</v>
      </c>
      <c r="E77" s="41">
        <f t="shared" si="15"/>
        <v>42857.142857142855</v>
      </c>
      <c r="F77">
        <f t="shared" si="16"/>
        <v>168000000.00000003</v>
      </c>
    </row>
    <row r="78" spans="2:10" x14ac:dyDescent="0.25">
      <c r="C78" s="29">
        <v>4.5</v>
      </c>
      <c r="D78" s="35">
        <f t="shared" si="17"/>
        <v>1350000000</v>
      </c>
      <c r="E78" s="41">
        <f t="shared" si="15"/>
        <v>48214.285714285717</v>
      </c>
      <c r="F78">
        <f t="shared" si="16"/>
        <v>189000000.00000003</v>
      </c>
      <c r="I78">
        <v>200000000</v>
      </c>
    </row>
    <row r="79" spans="2:10" x14ac:dyDescent="0.25">
      <c r="C79" s="32">
        <v>5</v>
      </c>
      <c r="D79" s="35">
        <f t="shared" si="17"/>
        <v>1500000000</v>
      </c>
      <c r="E79" s="41">
        <f t="shared" si="15"/>
        <v>53571.428571428572</v>
      </c>
      <c r="F79">
        <f t="shared" si="16"/>
        <v>210000000.00000003</v>
      </c>
      <c r="I79">
        <v>6200000000</v>
      </c>
    </row>
    <row r="80" spans="2:10" x14ac:dyDescent="0.25">
      <c r="C80" s="29">
        <v>5.5</v>
      </c>
      <c r="D80" s="35">
        <f t="shared" si="17"/>
        <v>1650000000.0000002</v>
      </c>
      <c r="E80" s="41">
        <f t="shared" si="15"/>
        <v>58928.571428571435</v>
      </c>
      <c r="F80">
        <f t="shared" si="16"/>
        <v>231000000.00000006</v>
      </c>
    </row>
    <row r="81" spans="2:10" x14ac:dyDescent="0.25">
      <c r="C81" s="32">
        <v>6</v>
      </c>
      <c r="D81" s="35">
        <f t="shared" si="17"/>
        <v>1800000000.0000002</v>
      </c>
      <c r="E81" s="41">
        <f t="shared" si="15"/>
        <v>64285.714285714297</v>
      </c>
      <c r="F81">
        <f t="shared" si="16"/>
        <v>252000000.00000006</v>
      </c>
    </row>
    <row r="82" spans="2:10" x14ac:dyDescent="0.25">
      <c r="C82" s="29">
        <v>6.5</v>
      </c>
      <c r="D82" s="35">
        <f t="shared" si="17"/>
        <v>1950000000</v>
      </c>
      <c r="E82" s="41">
        <f t="shared" si="15"/>
        <v>69642.857142857145</v>
      </c>
      <c r="F82">
        <f t="shared" si="16"/>
        <v>273000000</v>
      </c>
    </row>
    <row r="83" spans="2:10" x14ac:dyDescent="0.25">
      <c r="C83" s="32">
        <v>7</v>
      </c>
      <c r="D83" s="35">
        <f t="shared" si="17"/>
        <v>2100000000.0000002</v>
      </c>
      <c r="E83" s="41">
        <f t="shared" si="15"/>
        <v>75000.000000000015</v>
      </c>
      <c r="F83">
        <f t="shared" si="16"/>
        <v>294000000.00000006</v>
      </c>
    </row>
    <row r="84" spans="2:10" x14ac:dyDescent="0.25">
      <c r="C84" s="29">
        <v>7.5</v>
      </c>
      <c r="D84" s="35">
        <f t="shared" si="17"/>
        <v>2250000000</v>
      </c>
      <c r="E84" s="41">
        <f t="shared" si="15"/>
        <v>80357.142857142855</v>
      </c>
      <c r="F84">
        <f t="shared" si="16"/>
        <v>315000000.00000006</v>
      </c>
    </row>
    <row r="85" spans="2:10" x14ac:dyDescent="0.25">
      <c r="C85" s="32">
        <v>8</v>
      </c>
      <c r="D85" s="35">
        <f t="shared" si="17"/>
        <v>2400000000</v>
      </c>
      <c r="E85" s="41">
        <f t="shared" si="15"/>
        <v>85714.28571428571</v>
      </c>
      <c r="F85">
        <f t="shared" si="16"/>
        <v>336000000.00000006</v>
      </c>
    </row>
    <row r="86" spans="2:10" x14ac:dyDescent="0.25">
      <c r="C86" s="29">
        <v>8.5</v>
      </c>
      <c r="D86" s="35">
        <f t="shared" si="17"/>
        <v>2550000000.0000005</v>
      </c>
      <c r="E86" s="41">
        <f t="shared" si="15"/>
        <v>91071.428571428594</v>
      </c>
      <c r="F86">
        <f t="shared" si="16"/>
        <v>357000000.00000012</v>
      </c>
    </row>
    <row r="87" spans="2:10" x14ac:dyDescent="0.25">
      <c r="C87" s="32">
        <v>9</v>
      </c>
      <c r="D87" s="35">
        <f t="shared" si="17"/>
        <v>2700000000</v>
      </c>
      <c r="E87" s="41">
        <f t="shared" si="15"/>
        <v>96428.571428571435</v>
      </c>
      <c r="F87">
        <f t="shared" si="16"/>
        <v>378000000.00000006</v>
      </c>
    </row>
    <row r="88" spans="2:10" x14ac:dyDescent="0.25">
      <c r="C88" s="29">
        <v>9.5</v>
      </c>
      <c r="D88" s="35">
        <f t="shared" si="17"/>
        <v>2850000000</v>
      </c>
      <c r="E88" s="41">
        <f t="shared" si="15"/>
        <v>101785.71428571429</v>
      </c>
      <c r="F88">
        <f t="shared" si="16"/>
        <v>399000000.00000006</v>
      </c>
    </row>
    <row r="90" spans="2:10" x14ac:dyDescent="0.25">
      <c r="D90" s="42"/>
    </row>
    <row r="91" spans="2:10" x14ac:dyDescent="0.25">
      <c r="B91" t="s">
        <v>177</v>
      </c>
      <c r="C91" t="s">
        <v>146</v>
      </c>
      <c r="D91" t="s">
        <v>162</v>
      </c>
      <c r="E91" t="s">
        <v>178</v>
      </c>
      <c r="F91" t="s">
        <v>173</v>
      </c>
      <c r="G91" t="s">
        <v>153</v>
      </c>
      <c r="H91" t="s">
        <v>165</v>
      </c>
    </row>
    <row r="92" spans="2:10" x14ac:dyDescent="0.25">
      <c r="C92">
        <v>0.2</v>
      </c>
      <c r="D92" s="36">
        <v>1000000000</v>
      </c>
      <c r="E92" s="41">
        <f t="shared" ref="E92:E112" si="18" xml:space="preserve"> D92/35000</f>
        <v>28571.428571428572</v>
      </c>
      <c r="F92">
        <f t="shared" ref="F92:F112" si="19" xml:space="preserve"> D92 * 0.14</f>
        <v>140000000</v>
      </c>
      <c r="G92" s="41">
        <f t="shared" ref="G92:G112" si="20" xml:space="preserve"> (E92 * 0.05) * 10</f>
        <v>14285.714285714286</v>
      </c>
      <c r="H92">
        <f t="shared" ref="H92:H112" si="21" xml:space="preserve"> D92*0.02</f>
        <v>20000000</v>
      </c>
    </row>
    <row r="93" spans="2:10" x14ac:dyDescent="0.25">
      <c r="C93">
        <v>0.4</v>
      </c>
      <c r="D93" s="36">
        <v>2000000000</v>
      </c>
      <c r="E93" s="41">
        <f t="shared" si="18"/>
        <v>57142.857142857145</v>
      </c>
      <c r="F93">
        <f t="shared" si="19"/>
        <v>280000000</v>
      </c>
      <c r="G93" s="41">
        <f t="shared" si="20"/>
        <v>28571.428571428572</v>
      </c>
      <c r="H93">
        <f t="shared" si="21"/>
        <v>40000000</v>
      </c>
      <c r="J93" s="38" t="s">
        <v>179</v>
      </c>
    </row>
    <row r="94" spans="2:10" x14ac:dyDescent="0.25">
      <c r="C94">
        <v>0.6</v>
      </c>
      <c r="D94" s="36">
        <v>3000000000</v>
      </c>
      <c r="E94" s="41">
        <f t="shared" si="18"/>
        <v>85714.28571428571</v>
      </c>
      <c r="F94">
        <f t="shared" si="19"/>
        <v>420000000.00000006</v>
      </c>
      <c r="G94" s="41">
        <f t="shared" si="20"/>
        <v>42857.142857142855</v>
      </c>
      <c r="H94">
        <f t="shared" si="21"/>
        <v>60000000</v>
      </c>
    </row>
    <row r="95" spans="2:10" x14ac:dyDescent="0.25">
      <c r="C95">
        <v>0.8</v>
      </c>
      <c r="D95" s="36">
        <v>4000000000</v>
      </c>
      <c r="E95" s="41">
        <f t="shared" si="18"/>
        <v>114285.71428571429</v>
      </c>
      <c r="F95">
        <f t="shared" si="19"/>
        <v>560000000</v>
      </c>
      <c r="G95" s="41">
        <f t="shared" si="20"/>
        <v>57142.857142857145</v>
      </c>
      <c r="H95">
        <f t="shared" si="21"/>
        <v>80000000</v>
      </c>
    </row>
    <row r="96" spans="2:10" x14ac:dyDescent="0.25">
      <c r="C96">
        <v>1</v>
      </c>
      <c r="D96" s="36">
        <v>5000000000</v>
      </c>
      <c r="E96" s="41">
        <f t="shared" si="18"/>
        <v>142857.14285714287</v>
      </c>
      <c r="F96">
        <f t="shared" si="19"/>
        <v>700000000.00000012</v>
      </c>
      <c r="G96" s="41">
        <f t="shared" si="20"/>
        <v>71428.571428571435</v>
      </c>
      <c r="H96">
        <f t="shared" si="21"/>
        <v>100000000</v>
      </c>
      <c r="J96" s="38" t="s">
        <v>180</v>
      </c>
    </row>
    <row r="97" spans="3:10" x14ac:dyDescent="0.25">
      <c r="C97">
        <v>1.2</v>
      </c>
      <c r="D97" s="36">
        <v>6000000000</v>
      </c>
      <c r="E97" s="41">
        <f t="shared" si="18"/>
        <v>171428.57142857142</v>
      </c>
      <c r="F97">
        <f t="shared" si="19"/>
        <v>840000000.00000012</v>
      </c>
      <c r="G97" s="41">
        <f t="shared" si="20"/>
        <v>85714.28571428571</v>
      </c>
      <c r="H97">
        <f t="shared" si="21"/>
        <v>120000000</v>
      </c>
    </row>
    <row r="98" spans="3:10" x14ac:dyDescent="0.25">
      <c r="C98">
        <v>1.4</v>
      </c>
      <c r="D98" s="36">
        <v>7000000000</v>
      </c>
      <c r="E98" s="41">
        <f t="shared" si="18"/>
        <v>200000</v>
      </c>
      <c r="F98">
        <f t="shared" si="19"/>
        <v>980000000.00000012</v>
      </c>
      <c r="G98">
        <f t="shared" si="20"/>
        <v>100000</v>
      </c>
      <c r="H98">
        <f t="shared" si="21"/>
        <v>140000000</v>
      </c>
    </row>
    <row r="99" spans="3:10" x14ac:dyDescent="0.25">
      <c r="C99">
        <v>2</v>
      </c>
      <c r="D99" s="36">
        <v>10000000000</v>
      </c>
      <c r="E99" s="41">
        <f t="shared" si="18"/>
        <v>285714.28571428574</v>
      </c>
      <c r="F99">
        <f t="shared" si="19"/>
        <v>1400000000.0000002</v>
      </c>
      <c r="G99" s="41">
        <f t="shared" si="20"/>
        <v>142857.14285714287</v>
      </c>
      <c r="H99">
        <f t="shared" si="21"/>
        <v>200000000</v>
      </c>
    </row>
    <row r="100" spans="3:10" x14ac:dyDescent="0.25">
      <c r="C100">
        <v>2.5</v>
      </c>
      <c r="D100" s="36">
        <v>13000000000</v>
      </c>
      <c r="E100" s="41">
        <f t="shared" si="18"/>
        <v>371428.57142857142</v>
      </c>
      <c r="F100">
        <f t="shared" si="19"/>
        <v>1820000000.0000002</v>
      </c>
      <c r="G100" s="41">
        <f t="shared" si="20"/>
        <v>185714.28571428574</v>
      </c>
      <c r="H100">
        <f t="shared" si="21"/>
        <v>260000000</v>
      </c>
      <c r="J100" s="38" t="s">
        <v>181</v>
      </c>
    </row>
    <row r="101" spans="3:10" x14ac:dyDescent="0.25">
      <c r="C101">
        <v>3</v>
      </c>
      <c r="D101" s="36">
        <v>16000000000</v>
      </c>
      <c r="E101" s="41">
        <f t="shared" si="18"/>
        <v>457142.85714285716</v>
      </c>
      <c r="F101">
        <f t="shared" si="19"/>
        <v>2240000000</v>
      </c>
      <c r="G101" s="41">
        <f t="shared" si="20"/>
        <v>228571.42857142858</v>
      </c>
      <c r="H101">
        <f t="shared" si="21"/>
        <v>320000000</v>
      </c>
    </row>
    <row r="102" spans="3:10" x14ac:dyDescent="0.25">
      <c r="C102">
        <v>3.5</v>
      </c>
      <c r="D102" s="36">
        <v>19000000000</v>
      </c>
      <c r="E102" s="41">
        <f t="shared" si="18"/>
        <v>542857.14285714284</v>
      </c>
      <c r="F102">
        <f t="shared" si="19"/>
        <v>2660000000.0000005</v>
      </c>
      <c r="G102" s="41">
        <f t="shared" si="20"/>
        <v>271428.57142857148</v>
      </c>
      <c r="H102">
        <f t="shared" si="21"/>
        <v>380000000</v>
      </c>
    </row>
    <row r="103" spans="3:10" x14ac:dyDescent="0.25">
      <c r="C103">
        <v>4</v>
      </c>
      <c r="D103" s="36">
        <v>22000000000</v>
      </c>
      <c r="E103" s="41">
        <f t="shared" si="18"/>
        <v>628571.42857142852</v>
      </c>
      <c r="F103">
        <f t="shared" si="19"/>
        <v>3080000000.0000005</v>
      </c>
      <c r="G103" s="41">
        <f t="shared" si="20"/>
        <v>314285.71428571426</v>
      </c>
      <c r="H103">
        <f t="shared" si="21"/>
        <v>440000000</v>
      </c>
      <c r="J103" s="38" t="s">
        <v>182</v>
      </c>
    </row>
    <row r="104" spans="3:10" x14ac:dyDescent="0.25">
      <c r="C104">
        <v>4.5</v>
      </c>
      <c r="D104" s="36">
        <v>25000000000</v>
      </c>
      <c r="E104" s="41">
        <f t="shared" si="18"/>
        <v>714285.71428571432</v>
      </c>
      <c r="F104">
        <f t="shared" si="19"/>
        <v>3500000000.0000005</v>
      </c>
      <c r="G104" s="41">
        <f t="shared" si="20"/>
        <v>357142.85714285716</v>
      </c>
      <c r="H104">
        <f t="shared" si="21"/>
        <v>500000000</v>
      </c>
    </row>
    <row r="105" spans="3:10" x14ac:dyDescent="0.25">
      <c r="C105">
        <v>5</v>
      </c>
      <c r="D105" s="36">
        <v>28000000000</v>
      </c>
      <c r="E105" s="41">
        <f t="shared" si="18"/>
        <v>800000</v>
      </c>
      <c r="F105">
        <f t="shared" si="19"/>
        <v>3920000000.0000005</v>
      </c>
      <c r="G105">
        <f t="shared" si="20"/>
        <v>400000</v>
      </c>
      <c r="H105">
        <f t="shared" si="21"/>
        <v>560000000</v>
      </c>
    </row>
    <row r="106" spans="3:10" x14ac:dyDescent="0.25">
      <c r="C106">
        <v>5.5</v>
      </c>
      <c r="D106" s="36">
        <v>31000000000</v>
      </c>
      <c r="E106" s="41">
        <f t="shared" si="18"/>
        <v>885714.28571428568</v>
      </c>
      <c r="F106">
        <f t="shared" si="19"/>
        <v>4340000000</v>
      </c>
      <c r="G106" s="41">
        <f t="shared" si="20"/>
        <v>442857.1428571429</v>
      </c>
      <c r="H106">
        <f t="shared" si="21"/>
        <v>620000000</v>
      </c>
    </row>
    <row r="107" spans="3:10" x14ac:dyDescent="0.25">
      <c r="C107">
        <v>6</v>
      </c>
      <c r="D107" s="36">
        <v>34000000000</v>
      </c>
      <c r="E107" s="41">
        <f t="shared" si="18"/>
        <v>971428.57142857148</v>
      </c>
      <c r="F107">
        <f t="shared" si="19"/>
        <v>4760000000</v>
      </c>
      <c r="G107" s="41">
        <f t="shared" si="20"/>
        <v>485714.2857142858</v>
      </c>
      <c r="H107">
        <f t="shared" si="21"/>
        <v>680000000</v>
      </c>
    </row>
    <row r="108" spans="3:10" x14ac:dyDescent="0.25">
      <c r="C108">
        <v>6.5</v>
      </c>
      <c r="D108" s="36">
        <v>37000000000</v>
      </c>
      <c r="E108" s="41">
        <f t="shared" si="18"/>
        <v>1057142.857142857</v>
      </c>
      <c r="F108">
        <f t="shared" si="19"/>
        <v>5180000000.000001</v>
      </c>
      <c r="G108" s="41">
        <f t="shared" si="20"/>
        <v>528571.42857142852</v>
      </c>
      <c r="H108">
        <f t="shared" si="21"/>
        <v>740000000</v>
      </c>
    </row>
    <row r="109" spans="3:10" x14ac:dyDescent="0.25">
      <c r="C109">
        <v>7</v>
      </c>
      <c r="D109" s="36">
        <v>40000000000</v>
      </c>
      <c r="E109" s="41">
        <f t="shared" si="18"/>
        <v>1142857.142857143</v>
      </c>
      <c r="F109">
        <f t="shared" si="19"/>
        <v>5600000000.000001</v>
      </c>
      <c r="G109" s="41">
        <f t="shared" si="20"/>
        <v>571428.57142857148</v>
      </c>
      <c r="H109">
        <f t="shared" si="21"/>
        <v>800000000</v>
      </c>
    </row>
    <row r="110" spans="3:10" x14ac:dyDescent="0.25">
      <c r="C110">
        <v>7.5</v>
      </c>
      <c r="D110" s="36">
        <v>43000000000</v>
      </c>
      <c r="E110" s="41">
        <f t="shared" si="18"/>
        <v>1228571.4285714286</v>
      </c>
      <c r="F110">
        <f t="shared" si="19"/>
        <v>6020000000.000001</v>
      </c>
      <c r="G110" s="41">
        <f t="shared" si="20"/>
        <v>614285.71428571432</v>
      </c>
      <c r="H110">
        <f t="shared" si="21"/>
        <v>860000000</v>
      </c>
    </row>
    <row r="111" spans="3:10" x14ac:dyDescent="0.25">
      <c r="C111">
        <v>8</v>
      </c>
      <c r="D111" s="36">
        <v>46000000000</v>
      </c>
      <c r="E111" s="41">
        <f t="shared" si="18"/>
        <v>1314285.7142857143</v>
      </c>
      <c r="F111">
        <f t="shared" si="19"/>
        <v>6440000000.000001</v>
      </c>
      <c r="G111" s="41">
        <f t="shared" si="20"/>
        <v>657142.85714285728</v>
      </c>
      <c r="H111">
        <f t="shared" si="21"/>
        <v>920000000</v>
      </c>
    </row>
    <row r="112" spans="3:10" x14ac:dyDescent="0.25">
      <c r="D112">
        <v>10000000</v>
      </c>
      <c r="E112">
        <f t="shared" si="18"/>
        <v>285.71428571428572</v>
      </c>
      <c r="F112">
        <f t="shared" si="19"/>
        <v>1400000.0000000002</v>
      </c>
      <c r="G112">
        <f t="shared" si="20"/>
        <v>142.85714285714286</v>
      </c>
      <c r="H112">
        <f t="shared" si="21"/>
        <v>200000</v>
      </c>
    </row>
    <row r="116" spans="2:7" x14ac:dyDescent="0.25">
      <c r="B116" t="s">
        <v>183</v>
      </c>
      <c r="C116" t="s">
        <v>184</v>
      </c>
      <c r="D116" t="s">
        <v>185</v>
      </c>
      <c r="E116" t="s">
        <v>186</v>
      </c>
    </row>
    <row r="117" spans="2:7" x14ac:dyDescent="0.25">
      <c r="B117" t="s">
        <v>0</v>
      </c>
      <c r="C117" s="9">
        <f xml:space="preserve"> D92 + D70 + D48 + D25</f>
        <v>3150000000</v>
      </c>
      <c r="D117" s="41">
        <f t="shared" ref="D117:D135" si="22" xml:space="preserve"> G92 + G48 + J25</f>
        <v>1590043.29004329</v>
      </c>
      <c r="E117">
        <f t="shared" ref="E117:E136" si="23" xml:space="preserve"> H48+H93</f>
        <v>60000000</v>
      </c>
      <c r="G117" s="41">
        <f>(Table4[[#This Row],[Total Capital by Year]]*0.05)</f>
        <v>157500000</v>
      </c>
    </row>
    <row r="118" spans="2:7" x14ac:dyDescent="0.25">
      <c r="B118" t="s">
        <v>1</v>
      </c>
      <c r="C118" s="9">
        <f t="shared" ref="C118:C134" si="24" xml:space="preserve"> D93 + D71 + D49 + D26</f>
        <v>6300000000</v>
      </c>
      <c r="D118" s="41">
        <f t="shared" si="22"/>
        <v>3180086.58008658</v>
      </c>
      <c r="E118">
        <f t="shared" si="23"/>
        <v>100000000</v>
      </c>
      <c r="G118" s="41">
        <f>(Table4[[#This Row],[Total Capital by Year]]*0.05)</f>
        <v>315000000</v>
      </c>
    </row>
    <row r="119" spans="2:7" x14ac:dyDescent="0.25">
      <c r="B119" t="s">
        <v>2</v>
      </c>
      <c r="C119" s="9">
        <f t="shared" si="24"/>
        <v>9450000000</v>
      </c>
      <c r="D119" s="41">
        <f t="shared" si="22"/>
        <v>4770129.8701298703</v>
      </c>
      <c r="E119">
        <f t="shared" si="23"/>
        <v>140000000</v>
      </c>
      <c r="G119" s="41">
        <f>(Table4[[#This Row],[Total Capital by Year]]*0.05)</f>
        <v>472500000</v>
      </c>
    </row>
    <row r="120" spans="2:7" x14ac:dyDescent="0.25">
      <c r="B120" t="s">
        <v>3</v>
      </c>
      <c r="C120" s="9">
        <f t="shared" si="24"/>
        <v>12600000000</v>
      </c>
      <c r="D120" s="41">
        <f t="shared" si="22"/>
        <v>6360173.16017316</v>
      </c>
      <c r="E120">
        <f t="shared" si="23"/>
        <v>180000000</v>
      </c>
      <c r="G120" s="41">
        <f>(Table4[[#This Row],[Total Capital by Year]]*0.05)</f>
        <v>630000000</v>
      </c>
    </row>
    <row r="121" spans="2:7" x14ac:dyDescent="0.25">
      <c r="B121" t="s">
        <v>4</v>
      </c>
      <c r="C121" s="9">
        <f t="shared" si="24"/>
        <v>15750000000</v>
      </c>
      <c r="D121" s="41">
        <f t="shared" si="22"/>
        <v>7950216.4502164507</v>
      </c>
      <c r="E121">
        <f t="shared" si="23"/>
        <v>220000000</v>
      </c>
      <c r="G121" s="41">
        <f>(Table4[[#This Row],[Total Capital by Year]]*0.05)</f>
        <v>787500000</v>
      </c>
    </row>
    <row r="122" spans="2:7" x14ac:dyDescent="0.25">
      <c r="B122" t="s">
        <v>5</v>
      </c>
      <c r="C122" s="9">
        <f t="shared" si="24"/>
        <v>18900000000</v>
      </c>
      <c r="D122" s="41">
        <f t="shared" si="22"/>
        <v>9540259.7402597405</v>
      </c>
      <c r="E122">
        <f t="shared" si="23"/>
        <v>260000000</v>
      </c>
      <c r="G122" s="41">
        <f>(Table4[[#This Row],[Total Capital by Year]]*0.05)</f>
        <v>945000000</v>
      </c>
    </row>
    <row r="123" spans="2:7" x14ac:dyDescent="0.25">
      <c r="B123" t="s">
        <v>6</v>
      </c>
      <c r="C123" s="9">
        <f t="shared" si="24"/>
        <v>22050000000</v>
      </c>
      <c r="D123" s="41">
        <f t="shared" si="22"/>
        <v>11130303.030303031</v>
      </c>
      <c r="E123">
        <f t="shared" si="23"/>
        <v>340000000</v>
      </c>
      <c r="G123" s="41">
        <f>(Table4[[#This Row],[Total Capital by Year]]*0.05)</f>
        <v>1102500000</v>
      </c>
    </row>
    <row r="124" spans="2:7" x14ac:dyDescent="0.25">
      <c r="B124" t="s">
        <v>7</v>
      </c>
      <c r="C124" s="9">
        <f t="shared" si="24"/>
        <v>30200000000</v>
      </c>
      <c r="D124" s="41">
        <f t="shared" si="22"/>
        <v>14400432.900432901</v>
      </c>
      <c r="E124">
        <f t="shared" si="23"/>
        <v>440000000</v>
      </c>
      <c r="G124" s="41">
        <f>(Table4[[#This Row],[Total Capital by Year]]*0.05)</f>
        <v>1510000000</v>
      </c>
    </row>
    <row r="125" spans="2:7" x14ac:dyDescent="0.25">
      <c r="B125" t="s">
        <v>8</v>
      </c>
      <c r="C125" s="9">
        <f t="shared" si="24"/>
        <v>38350000000</v>
      </c>
      <c r="D125" s="41">
        <f t="shared" si="22"/>
        <v>17670562.770562772</v>
      </c>
      <c r="E125">
        <f t="shared" si="23"/>
        <v>540000000</v>
      </c>
      <c r="G125" s="41">
        <f>(Table4[[#This Row],[Total Capital by Year]]*0.05)</f>
        <v>1917500000</v>
      </c>
    </row>
    <row r="126" spans="2:7" x14ac:dyDescent="0.25">
      <c r="B126" t="s">
        <v>9</v>
      </c>
      <c r="C126" s="9">
        <f t="shared" si="24"/>
        <v>46500000000</v>
      </c>
      <c r="D126" s="41">
        <f t="shared" si="22"/>
        <v>20940692.64069264</v>
      </c>
      <c r="E126">
        <f t="shared" si="23"/>
        <v>640000000</v>
      </c>
      <c r="G126" s="41">
        <f>(Table4[[#This Row],[Total Capital by Year]]*0.05)</f>
        <v>2325000000</v>
      </c>
    </row>
    <row r="127" spans="2:7" x14ac:dyDescent="0.25">
      <c r="B127" t="s">
        <v>10</v>
      </c>
      <c r="C127" s="9">
        <f t="shared" si="24"/>
        <v>54650000000</v>
      </c>
      <c r="D127" s="41">
        <f t="shared" si="22"/>
        <v>24210822.510822512</v>
      </c>
      <c r="E127">
        <f t="shared" si="23"/>
        <v>740000000</v>
      </c>
      <c r="G127" s="41">
        <f>(Table4[[#This Row],[Total Capital by Year]]*0.05)</f>
        <v>2732500000</v>
      </c>
    </row>
    <row r="128" spans="2:7" x14ac:dyDescent="0.25">
      <c r="B128" t="s">
        <v>11</v>
      </c>
      <c r="C128" s="9">
        <f t="shared" si="24"/>
        <v>62800000000</v>
      </c>
      <c r="D128" s="41">
        <f t="shared" si="22"/>
        <v>27480952.380952381</v>
      </c>
      <c r="E128">
        <f t="shared" si="23"/>
        <v>840000000</v>
      </c>
      <c r="G128" s="41">
        <f>(Table4[[#This Row],[Total Capital by Year]]*0.05)</f>
        <v>3140000000</v>
      </c>
    </row>
    <row r="129" spans="2:22" x14ac:dyDescent="0.25">
      <c r="B129" t="s">
        <v>12</v>
      </c>
      <c r="C129" s="9">
        <f t="shared" si="24"/>
        <v>70950000000</v>
      </c>
      <c r="D129" s="41">
        <f t="shared" si="22"/>
        <v>30751082.251082253</v>
      </c>
      <c r="E129">
        <f t="shared" si="23"/>
        <v>940000000</v>
      </c>
      <c r="G129" s="41">
        <f>(Table4[[#This Row],[Total Capital by Year]]*0.05)</f>
        <v>3547500000</v>
      </c>
    </row>
    <row r="130" spans="2:22" x14ac:dyDescent="0.25">
      <c r="B130" t="s">
        <v>13</v>
      </c>
      <c r="C130" s="9">
        <f t="shared" si="24"/>
        <v>79100000000</v>
      </c>
      <c r="D130" s="41">
        <f t="shared" si="22"/>
        <v>34021212.121212125</v>
      </c>
      <c r="E130">
        <f t="shared" si="23"/>
        <v>1040000000</v>
      </c>
      <c r="G130" s="41">
        <f>(Table4[[#This Row],[Total Capital by Year]]*0.05)</f>
        <v>3955000000</v>
      </c>
    </row>
    <row r="131" spans="2:22" x14ac:dyDescent="0.25">
      <c r="B131" t="s">
        <v>14</v>
      </c>
      <c r="C131" s="9">
        <f t="shared" si="24"/>
        <v>90250000000</v>
      </c>
      <c r="D131" s="41">
        <f t="shared" si="22"/>
        <v>37518614.71861472</v>
      </c>
      <c r="E131">
        <f t="shared" si="23"/>
        <v>1140000000</v>
      </c>
      <c r="G131" s="41">
        <f>(Table4[[#This Row],[Total Capital by Year]]*0.05)</f>
        <v>4512500000</v>
      </c>
    </row>
    <row r="132" spans="2:22" x14ac:dyDescent="0.25">
      <c r="B132" t="s">
        <v>15</v>
      </c>
      <c r="C132" s="9">
        <f t="shared" si="24"/>
        <v>101400000000</v>
      </c>
      <c r="D132" s="41">
        <f t="shared" si="22"/>
        <v>41016017.316017315</v>
      </c>
      <c r="E132">
        <f t="shared" si="23"/>
        <v>1240000000</v>
      </c>
      <c r="G132" s="41">
        <f>(Table4[[#This Row],[Total Capital by Year]]*0.05)</f>
        <v>5070000000</v>
      </c>
    </row>
    <row r="133" spans="2:22" x14ac:dyDescent="0.25">
      <c r="B133" t="s">
        <v>16</v>
      </c>
      <c r="C133" s="9">
        <f t="shared" si="24"/>
        <v>112550000000</v>
      </c>
      <c r="D133" s="41">
        <f t="shared" si="22"/>
        <v>44513419.91341991</v>
      </c>
      <c r="E133">
        <f t="shared" si="23"/>
        <v>1340000000</v>
      </c>
      <c r="G133" s="41">
        <f>(Table4[[#This Row],[Total Capital by Year]]*0.05)</f>
        <v>5627500000</v>
      </c>
    </row>
    <row r="134" spans="2:22" x14ac:dyDescent="0.25">
      <c r="B134" t="s">
        <v>17</v>
      </c>
      <c r="C134" s="9">
        <f t="shared" si="24"/>
        <v>123700000000</v>
      </c>
      <c r="D134" s="41">
        <f t="shared" si="22"/>
        <v>48010822.510822512</v>
      </c>
      <c r="E134">
        <f t="shared" si="23"/>
        <v>1440000000</v>
      </c>
      <c r="G134" s="41">
        <f>(Table4[[#This Row],[Total Capital by Year]]*0.05)</f>
        <v>6185000000</v>
      </c>
    </row>
    <row r="135" spans="2:22" x14ac:dyDescent="0.25">
      <c r="B135" t="s">
        <v>18</v>
      </c>
      <c r="C135" s="9">
        <f xml:space="preserve"> D110 + D88 + D66 + D43</f>
        <v>134850000000</v>
      </c>
      <c r="D135" s="41">
        <f t="shared" si="22"/>
        <v>51508225.108225107</v>
      </c>
      <c r="E135">
        <f t="shared" si="23"/>
        <v>1540000000</v>
      </c>
      <c r="G135" s="41">
        <f>(Table4[[#This Row],[Total Capital by Year]]*0.05)</f>
        <v>6742500000</v>
      </c>
    </row>
    <row r="136" spans="2:22" x14ac:dyDescent="0.25">
      <c r="C136" s="9">
        <f xml:space="preserve"> D111 + D89 + D67 + D44</f>
        <v>110010000000</v>
      </c>
      <c r="D136" s="41">
        <f xml:space="preserve"> G111 + G67 + J44</f>
        <v>5520627.7056277059</v>
      </c>
      <c r="E136">
        <f t="shared" si="23"/>
        <v>400000</v>
      </c>
    </row>
    <row r="139" spans="2:22" x14ac:dyDescent="0.25">
      <c r="B139" s="43" t="s">
        <v>142</v>
      </c>
      <c r="C139" s="12">
        <v>0</v>
      </c>
      <c r="D139" s="12">
        <v>3500000</v>
      </c>
      <c r="E139" s="12">
        <v>7000000</v>
      </c>
      <c r="F139" s="12">
        <v>14000000</v>
      </c>
      <c r="G139" s="12">
        <v>17500000</v>
      </c>
      <c r="H139" s="12">
        <v>24500000</v>
      </c>
      <c r="I139" s="12">
        <v>35000000</v>
      </c>
      <c r="J139" s="12">
        <v>38500000</v>
      </c>
      <c r="K139" s="12">
        <v>49000000</v>
      </c>
      <c r="L139" s="12">
        <v>56000000</v>
      </c>
      <c r="M139" s="12">
        <v>70000000</v>
      </c>
      <c r="N139" s="12">
        <v>73500000</v>
      </c>
      <c r="O139" s="12">
        <v>80500000</v>
      </c>
      <c r="P139" s="12">
        <v>84000000</v>
      </c>
      <c r="Q139" s="12">
        <v>91000000</v>
      </c>
      <c r="R139" s="12">
        <v>94500000</v>
      </c>
      <c r="S139" s="12">
        <v>101500000</v>
      </c>
      <c r="T139" s="12">
        <v>105000000</v>
      </c>
      <c r="U139" s="12">
        <v>108500000</v>
      </c>
      <c r="V139" s="12">
        <v>112000000</v>
      </c>
    </row>
    <row r="144" spans="2:22" x14ac:dyDescent="0.25">
      <c r="C144">
        <v>157500000</v>
      </c>
      <c r="D144">
        <v>157500000</v>
      </c>
      <c r="E144">
        <v>315000000</v>
      </c>
      <c r="F144">
        <v>472500000</v>
      </c>
      <c r="G144">
        <v>630000000</v>
      </c>
      <c r="H144">
        <v>787500000</v>
      </c>
      <c r="I144">
        <v>945000000</v>
      </c>
      <c r="J144">
        <v>1102500000</v>
      </c>
      <c r="K144">
        <v>1510000000</v>
      </c>
      <c r="L144">
        <v>1917500000</v>
      </c>
      <c r="M144">
        <v>2325000000</v>
      </c>
      <c r="N144">
        <v>2732500000</v>
      </c>
      <c r="O144">
        <v>3140000000</v>
      </c>
      <c r="P144">
        <v>3547500000</v>
      </c>
      <c r="Q144">
        <v>3955000000</v>
      </c>
      <c r="R144">
        <v>4362500000</v>
      </c>
      <c r="S144">
        <v>4770000000</v>
      </c>
      <c r="T144">
        <v>5177500000</v>
      </c>
      <c r="U144">
        <v>5585000000</v>
      </c>
      <c r="V144">
        <v>5992500000</v>
      </c>
    </row>
    <row r="145" spans="3:3" x14ac:dyDescent="0.25">
      <c r="C145">
        <v>315000000</v>
      </c>
    </row>
    <row r="146" spans="3:3" x14ac:dyDescent="0.25">
      <c r="C146">
        <v>472500000</v>
      </c>
    </row>
    <row r="147" spans="3:3" x14ac:dyDescent="0.25">
      <c r="C147">
        <v>630000000</v>
      </c>
    </row>
    <row r="148" spans="3:3" x14ac:dyDescent="0.25">
      <c r="C148">
        <v>787500000</v>
      </c>
    </row>
    <row r="149" spans="3:3" x14ac:dyDescent="0.25">
      <c r="C149">
        <v>945000000</v>
      </c>
    </row>
    <row r="150" spans="3:3" x14ac:dyDescent="0.25">
      <c r="C150">
        <v>1102500000</v>
      </c>
    </row>
    <row r="151" spans="3:3" x14ac:dyDescent="0.25">
      <c r="C151">
        <v>1510000000</v>
      </c>
    </row>
    <row r="152" spans="3:3" x14ac:dyDescent="0.25">
      <c r="C152">
        <v>1917500000</v>
      </c>
    </row>
    <row r="153" spans="3:3" x14ac:dyDescent="0.25">
      <c r="C153">
        <v>2325000000</v>
      </c>
    </row>
    <row r="154" spans="3:3" x14ac:dyDescent="0.25">
      <c r="C154">
        <v>2732500000</v>
      </c>
    </row>
    <row r="155" spans="3:3" x14ac:dyDescent="0.25">
      <c r="C155">
        <v>3140000000</v>
      </c>
    </row>
    <row r="156" spans="3:3" x14ac:dyDescent="0.25">
      <c r="C156">
        <v>3547500000</v>
      </c>
    </row>
    <row r="157" spans="3:3" x14ac:dyDescent="0.25">
      <c r="C157">
        <v>3955000000</v>
      </c>
    </row>
    <row r="158" spans="3:3" x14ac:dyDescent="0.25">
      <c r="C158">
        <v>4362500000</v>
      </c>
    </row>
    <row r="159" spans="3:3" x14ac:dyDescent="0.25">
      <c r="C159">
        <v>4770000000</v>
      </c>
    </row>
    <row r="160" spans="3:3" x14ac:dyDescent="0.25">
      <c r="C160">
        <v>5177500000</v>
      </c>
    </row>
    <row r="161" spans="3:3" x14ac:dyDescent="0.25">
      <c r="C161">
        <v>5585000000</v>
      </c>
    </row>
    <row r="162" spans="3:3" x14ac:dyDescent="0.25">
      <c r="C162">
        <v>5992500000</v>
      </c>
    </row>
  </sheetData>
  <mergeCells count="12">
    <mergeCell ref="I57:S58"/>
    <mergeCell ref="I59:S59"/>
    <mergeCell ref="U34:AC34"/>
    <mergeCell ref="V37:AC37"/>
    <mergeCell ref="V39:AC39"/>
    <mergeCell ref="I49:P49"/>
    <mergeCell ref="I51:T54"/>
    <mergeCell ref="I2:P2"/>
    <mergeCell ref="I4:T7"/>
    <mergeCell ref="I10:S11"/>
    <mergeCell ref="I12:S12"/>
    <mergeCell ref="U25:AD32"/>
  </mergeCells>
  <hyperlinks>
    <hyperlink ref="U34:AC34" r:id="rId1" display="https://www.finder.com/ca/credit-cards/credit-card-statistics" xr:uid="{1C5C057C-1950-4493-9ED9-6E8DCD835897}"/>
    <hyperlink ref="V37:AC37" r:id="rId2" location=":~:text=Show%20less,balances%20in%20Canada%20was%2020.50%25" display="https://www.forbes.com/advisor/ca/credit-cards/average-credit-card-interest-rate/#:~:text=Show%20less,balances%20in%20Canada%20was%2020.50%25." xr:uid="{904DCA56-2D4D-4101-BB50-37618EA727E7}"/>
    <hyperlink ref="V39:AC39" r:id="rId3" display="https://www.retailcouncil.org/payment-and-credit-card-fees/" xr:uid="{BE7F86BE-A897-4E58-978E-59ED2B65FE44}"/>
    <hyperlink ref="I59:S59" r:id="rId4" display="https://cba.ca/small-and-medium-sized-enterprises " xr:uid="{F3D65978-28D1-48E0-9C78-93D91F760A77}"/>
    <hyperlink ref="V42" r:id="rId5" xr:uid="{130BAC9B-70E2-4AC8-96AE-5AB5A0D5236A}"/>
    <hyperlink ref="J71" r:id="rId6" location=":~:text=The%20Canada%20Student%20Loans%20Market%20size%20is%20estimated%20at%20USD,period%20(2024%2D2029" xr:uid="{204D495B-E299-489C-A447-FD7CA63B9D95}"/>
    <hyperlink ref="J73" r:id="rId7" location=":~:text=The%20average%20student%20loan%20debt%20in%20Canada%20is%20$28%2C000.,can't%20afford%20not%20to" xr:uid="{3E5D8C1D-F9F0-4AA3-AA1C-8740EEBBCF96}"/>
    <hyperlink ref="J75" r:id="rId8" location="interest-rates-set" xr:uid="{D6E5888F-0F2B-4D50-9022-48D06BF71F4E}"/>
    <hyperlink ref="J61" r:id="rId9" location=":~:text=Fees:,subject%20to%20program%20loan%20maximums" xr:uid="{D59A97E3-590C-4CC7-B4ED-67779CBA9364}"/>
    <hyperlink ref="J93" r:id="rId10" location=":~:text=Average%20New%20Car%20Loan%20Interest,10%20to%2015%25%20in%20interest" xr:uid="{577B84E9-88B9-4592-98A1-4ADDA5A7A161}"/>
    <hyperlink ref="J96" r:id="rId11" location=":~:text=What%20is%20the%20average%20car,about%20a%20$25%2C000%20car%20loan" xr:uid="{14D76149-6B6B-45B6-8BD4-BBD53ACE3E1F}"/>
    <hyperlink ref="J100" r:id="rId12" xr:uid="{87120180-D57C-4D06-8488-76BF7329BB71}"/>
    <hyperlink ref="J103" r:id="rId13" location=":~:text=Late%20Fees%20and%20Interest,you%20fall%20too%20far%20behind" xr:uid="{EF5F5544-C342-4827-A4E8-DC400CA2BEDD}"/>
    <hyperlink ref="V44" r:id="rId14" xr:uid="{0942AA69-61F3-42FF-A01F-59AECF1090BD}"/>
  </hyperlinks>
  <pageMargins left="0.7" right="0.7" top="0.75" bottom="0.75" header="0.3" footer="0.3"/>
  <tableParts count="3"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8630-D8A1-467E-B95A-A27C0C8B671F}">
  <dimension ref="A1:B34"/>
  <sheetViews>
    <sheetView topLeftCell="A16" workbookViewId="0">
      <selection activeCell="B34" sqref="B34"/>
    </sheetView>
  </sheetViews>
  <sheetFormatPr defaultRowHeight="15" x14ac:dyDescent="0.25"/>
  <cols>
    <col min="1" max="1" width="58.140625" customWidth="1"/>
  </cols>
  <sheetData>
    <row r="1" spans="1:1" x14ac:dyDescent="0.25">
      <c r="A1" t="s">
        <v>67</v>
      </c>
    </row>
    <row r="2" spans="1:1" x14ac:dyDescent="0.25">
      <c r="A2" s="69" t="s">
        <v>29</v>
      </c>
    </row>
    <row r="3" spans="1:1" x14ac:dyDescent="0.25">
      <c r="A3" s="64" t="s">
        <v>68</v>
      </c>
    </row>
    <row r="4" spans="1:1" x14ac:dyDescent="0.25">
      <c r="A4" s="64" t="s">
        <v>69</v>
      </c>
    </row>
    <row r="5" spans="1:1" x14ac:dyDescent="0.25">
      <c r="A5" s="64" t="s">
        <v>70</v>
      </c>
    </row>
    <row r="6" spans="1:1" x14ac:dyDescent="0.25">
      <c r="A6" s="64" t="s">
        <v>33</v>
      </c>
    </row>
    <row r="7" spans="1:1" x14ac:dyDescent="0.25">
      <c r="A7" s="64" t="s">
        <v>34</v>
      </c>
    </row>
    <row r="8" spans="1:1" x14ac:dyDescent="0.25">
      <c r="A8" s="64" t="s">
        <v>71</v>
      </c>
    </row>
    <row r="9" spans="1:1" x14ac:dyDescent="0.25">
      <c r="A9" s="64" t="s">
        <v>72</v>
      </c>
    </row>
    <row r="10" spans="1:1" x14ac:dyDescent="0.25">
      <c r="A10" s="64" t="s">
        <v>38</v>
      </c>
    </row>
    <row r="11" spans="1:1" x14ac:dyDescent="0.25">
      <c r="A11" s="64" t="s">
        <v>39</v>
      </c>
    </row>
    <row r="12" spans="1:1" x14ac:dyDescent="0.25">
      <c r="A12" s="64" t="s">
        <v>40</v>
      </c>
    </row>
    <row r="13" spans="1:1" x14ac:dyDescent="0.25">
      <c r="A13" s="64" t="s">
        <v>41</v>
      </c>
    </row>
    <row r="14" spans="1:1" x14ac:dyDescent="0.25">
      <c r="A14" s="65" t="s">
        <v>42</v>
      </c>
    </row>
    <row r="15" spans="1:1" x14ac:dyDescent="0.25">
      <c r="A15" s="64" t="s">
        <v>43</v>
      </c>
    </row>
    <row r="16" spans="1:1" x14ac:dyDescent="0.25">
      <c r="A16" s="62" t="s">
        <v>44</v>
      </c>
    </row>
    <row r="17" spans="1:1" x14ac:dyDescent="0.25">
      <c r="A17" s="64" t="s">
        <v>45</v>
      </c>
    </row>
    <row r="18" spans="1:1" x14ac:dyDescent="0.25">
      <c r="A18" s="65" t="s">
        <v>73</v>
      </c>
    </row>
    <row r="19" spans="1:1" x14ac:dyDescent="0.25">
      <c r="A19" s="64" t="s">
        <v>47</v>
      </c>
    </row>
    <row r="20" spans="1:1" x14ac:dyDescent="0.25">
      <c r="A20" s="64" t="s">
        <v>48</v>
      </c>
    </row>
    <row r="21" spans="1:1" x14ac:dyDescent="0.25">
      <c r="A21" s="64" t="s">
        <v>49</v>
      </c>
    </row>
    <row r="22" spans="1:1" x14ac:dyDescent="0.25">
      <c r="A22" s="66" t="s">
        <v>50</v>
      </c>
    </row>
    <row r="23" spans="1:1" x14ac:dyDescent="0.25">
      <c r="A23" s="67" t="s">
        <v>51</v>
      </c>
    </row>
    <row r="24" spans="1:1" x14ac:dyDescent="0.25">
      <c r="A24" s="67" t="s">
        <v>52</v>
      </c>
    </row>
    <row r="25" spans="1:1" x14ac:dyDescent="0.25">
      <c r="A25" s="67" t="s">
        <v>53</v>
      </c>
    </row>
    <row r="26" spans="1:1" x14ac:dyDescent="0.25">
      <c r="A26" s="67" t="s">
        <v>54</v>
      </c>
    </row>
    <row r="27" spans="1:1" x14ac:dyDescent="0.25">
      <c r="A27" s="67" t="s">
        <v>55</v>
      </c>
    </row>
    <row r="28" spans="1:1" x14ac:dyDescent="0.25">
      <c r="A28" s="67" t="s">
        <v>56</v>
      </c>
    </row>
    <row r="29" spans="1:1" x14ac:dyDescent="0.25">
      <c r="A29" s="67" t="s">
        <v>74</v>
      </c>
    </row>
    <row r="30" spans="1:1" x14ac:dyDescent="0.25">
      <c r="A30" s="67" t="s">
        <v>58</v>
      </c>
    </row>
    <row r="31" spans="1:1" x14ac:dyDescent="0.25">
      <c r="A31" s="67" t="s">
        <v>35</v>
      </c>
    </row>
    <row r="32" spans="1:1" x14ac:dyDescent="0.25">
      <c r="A32" s="67" t="s">
        <v>75</v>
      </c>
    </row>
    <row r="33" spans="1:2" x14ac:dyDescent="0.25">
      <c r="A33" s="68" t="s">
        <v>61</v>
      </c>
    </row>
    <row r="34" spans="1:2" x14ac:dyDescent="0.25">
      <c r="A34" t="s">
        <v>76</v>
      </c>
      <c r="B34">
        <f>150*12*13*7*4*12</f>
        <v>7862400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C30-38CC-4DF8-AD4A-A786948CD50B}">
  <dimension ref="A1:B19"/>
  <sheetViews>
    <sheetView topLeftCell="A8" workbookViewId="0">
      <selection activeCell="B20" sqref="B20"/>
    </sheetView>
  </sheetViews>
  <sheetFormatPr defaultRowHeight="15" x14ac:dyDescent="0.25"/>
  <cols>
    <col min="1" max="1" width="42.5703125" customWidth="1"/>
  </cols>
  <sheetData>
    <row r="1" spans="1:1" x14ac:dyDescent="0.25">
      <c r="A1" s="22" t="s">
        <v>50</v>
      </c>
    </row>
    <row r="2" spans="1:1" x14ac:dyDescent="0.25">
      <c r="A2" s="22" t="s">
        <v>51</v>
      </c>
    </row>
    <row r="3" spans="1:1" x14ac:dyDescent="0.25">
      <c r="A3" s="22" t="s">
        <v>52</v>
      </c>
    </row>
    <row r="4" spans="1:1" x14ac:dyDescent="0.25">
      <c r="A4" s="22" t="s">
        <v>53</v>
      </c>
    </row>
    <row r="5" spans="1:1" x14ac:dyDescent="0.25">
      <c r="A5" s="22" t="s">
        <v>54</v>
      </c>
    </row>
    <row r="6" spans="1:1" x14ac:dyDescent="0.25">
      <c r="A6" s="22" t="s">
        <v>55</v>
      </c>
    </row>
    <row r="7" spans="1:1" x14ac:dyDescent="0.25">
      <c r="A7" s="22" t="s">
        <v>56</v>
      </c>
    </row>
    <row r="8" spans="1:1" x14ac:dyDescent="0.25">
      <c r="A8" s="22" t="s">
        <v>74</v>
      </c>
    </row>
    <row r="9" spans="1:1" x14ac:dyDescent="0.25">
      <c r="A9" s="22" t="s">
        <v>58</v>
      </c>
    </row>
    <row r="10" spans="1:1" x14ac:dyDescent="0.25">
      <c r="A10" s="22" t="s">
        <v>35</v>
      </c>
    </row>
    <row r="11" spans="1:1" x14ac:dyDescent="0.25">
      <c r="A11" s="22" t="s">
        <v>75</v>
      </c>
    </row>
    <row r="19" spans="2:2" x14ac:dyDescent="0.25">
      <c r="B19">
        <f>500000</f>
        <v>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8EC-BFDB-4882-86C7-1DBCD331A7A6}">
  <dimension ref="A1:U3"/>
  <sheetViews>
    <sheetView topLeftCell="H1" workbookViewId="0">
      <selection activeCell="O9" sqref="O9"/>
    </sheetView>
  </sheetViews>
  <sheetFormatPr defaultColWidth="15.140625" defaultRowHeight="15" x14ac:dyDescent="0.25"/>
  <cols>
    <col min="18" max="19" width="17" bestFit="1" customWidth="1"/>
    <col min="20" max="20" width="17.7109375" customWidth="1"/>
  </cols>
  <sheetData>
    <row r="1" spans="1:21" x14ac:dyDescent="0.25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</row>
    <row r="2" spans="1:21" x14ac:dyDescent="0.25">
      <c r="A2" s="7" t="s">
        <v>77</v>
      </c>
      <c r="B2" s="7">
        <v>3150000000</v>
      </c>
      <c r="C2" s="7">
        <v>6300000000</v>
      </c>
      <c r="D2" s="7">
        <v>9450000000</v>
      </c>
      <c r="E2" s="7">
        <v>12600000000</v>
      </c>
      <c r="F2" s="7">
        <v>15750000000</v>
      </c>
      <c r="G2" s="7">
        <v>18900000000</v>
      </c>
      <c r="H2" s="7">
        <v>22050000000</v>
      </c>
      <c r="I2" s="7">
        <v>30200000000</v>
      </c>
      <c r="J2" s="7">
        <v>38350000000</v>
      </c>
      <c r="K2" s="7">
        <v>46500000000</v>
      </c>
      <c r="L2" s="7">
        <v>54650000000</v>
      </c>
      <c r="M2" s="7">
        <v>62800000000</v>
      </c>
      <c r="N2" s="7">
        <v>70950000000</v>
      </c>
      <c r="O2" s="7">
        <v>79100000000</v>
      </c>
      <c r="P2" s="7">
        <v>87250000000</v>
      </c>
      <c r="Q2" s="7">
        <v>95400000000</v>
      </c>
      <c r="R2" s="63">
        <v>103550000000</v>
      </c>
      <c r="S2" s="63">
        <v>111700000000</v>
      </c>
      <c r="T2" s="63">
        <v>119850000000</v>
      </c>
      <c r="U2" s="7">
        <v>92010000000</v>
      </c>
    </row>
    <row r="3" spans="1:21" x14ac:dyDescent="0.25">
      <c r="A3" s="7" t="s">
        <v>78</v>
      </c>
      <c r="B3" s="7">
        <f>B2*0.05</f>
        <v>157500000</v>
      </c>
      <c r="C3" s="7">
        <f t="shared" ref="C3:U3" si="0">C2*0.05</f>
        <v>315000000</v>
      </c>
      <c r="D3" s="7">
        <f t="shared" si="0"/>
        <v>472500000</v>
      </c>
      <c r="E3" s="7">
        <f t="shared" si="0"/>
        <v>630000000</v>
      </c>
      <c r="F3" s="7">
        <f t="shared" si="0"/>
        <v>787500000</v>
      </c>
      <c r="G3" s="7">
        <f t="shared" si="0"/>
        <v>945000000</v>
      </c>
      <c r="H3" s="7">
        <f t="shared" si="0"/>
        <v>1102500000</v>
      </c>
      <c r="I3" s="7">
        <f t="shared" si="0"/>
        <v>1510000000</v>
      </c>
      <c r="J3" s="7">
        <f t="shared" si="0"/>
        <v>1917500000</v>
      </c>
      <c r="K3" s="7">
        <f t="shared" si="0"/>
        <v>2325000000</v>
      </c>
      <c r="L3" s="7">
        <f t="shared" si="0"/>
        <v>2732500000</v>
      </c>
      <c r="M3" s="7">
        <f t="shared" si="0"/>
        <v>3140000000</v>
      </c>
      <c r="N3" s="7">
        <f t="shared" si="0"/>
        <v>3547500000</v>
      </c>
      <c r="O3" s="7">
        <f t="shared" si="0"/>
        <v>3955000000</v>
      </c>
      <c r="P3" s="7">
        <f t="shared" si="0"/>
        <v>4362500000</v>
      </c>
      <c r="Q3" s="7">
        <f t="shared" si="0"/>
        <v>4770000000</v>
      </c>
      <c r="R3" s="7">
        <f t="shared" si="0"/>
        <v>5177500000</v>
      </c>
      <c r="S3" s="7">
        <f t="shared" si="0"/>
        <v>5585000000</v>
      </c>
      <c r="T3" s="7">
        <f t="shared" si="0"/>
        <v>5992500000</v>
      </c>
      <c r="U3" s="7">
        <f t="shared" si="0"/>
        <v>4600500000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60A1-B30E-4F7E-8C93-48749740F62B}">
  <dimension ref="A1:W17"/>
  <sheetViews>
    <sheetView workbookViewId="0">
      <selection activeCell="E1" sqref="E1"/>
    </sheetView>
  </sheetViews>
  <sheetFormatPr defaultRowHeight="15" x14ac:dyDescent="0.25"/>
  <cols>
    <col min="1" max="1" width="25.5703125" customWidth="1"/>
    <col min="2" max="2" width="12.85546875" customWidth="1"/>
    <col min="3" max="23" width="12.28515625" customWidth="1"/>
  </cols>
  <sheetData>
    <row r="1" spans="1:23" x14ac:dyDescent="0.25">
      <c r="A1" s="7"/>
      <c r="B1" s="7"/>
      <c r="C1" s="7" t="s">
        <v>79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</row>
    <row r="2" spans="1:23" x14ac:dyDescent="0.25">
      <c r="A2" s="7" t="s">
        <v>38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s="7" t="s">
        <v>80</v>
      </c>
      <c r="B3" s="7">
        <v>5500</v>
      </c>
      <c r="C3" s="7">
        <f>17*5500*3</f>
        <v>280500</v>
      </c>
      <c r="D3" s="7">
        <f t="shared" ref="D3:D4" si="0">C3*12</f>
        <v>3366000</v>
      </c>
      <c r="E3" s="7">
        <f t="shared" ref="E3:H4" si="1">D3+D3*0.025</f>
        <v>3450150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7" t="s">
        <v>81</v>
      </c>
      <c r="B4" s="7">
        <v>3500</v>
      </c>
      <c r="C4" s="7">
        <f>3500*15*25</f>
        <v>1312500</v>
      </c>
      <c r="D4" s="7">
        <f t="shared" si="0"/>
        <v>15750000</v>
      </c>
      <c r="E4" s="7">
        <f t="shared" si="1"/>
        <v>16143750</v>
      </c>
      <c r="F4" s="7">
        <f t="shared" si="1"/>
        <v>16547343.75</v>
      </c>
      <c r="G4" s="7">
        <f t="shared" si="1"/>
        <v>16961027.34375</v>
      </c>
      <c r="H4" s="7">
        <f t="shared" si="1"/>
        <v>17385053.02734375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s="5" customFormat="1" x14ac:dyDescent="0.25">
      <c r="A6" s="8" t="s">
        <v>82</v>
      </c>
      <c r="B6" s="8"/>
      <c r="C6" s="8">
        <f t="shared" ref="C6:W6" si="2">SUM(C3:C4)</f>
        <v>1593000</v>
      </c>
      <c r="D6" s="8">
        <f t="shared" si="2"/>
        <v>19116000</v>
      </c>
      <c r="E6" s="8">
        <f t="shared" si="2"/>
        <v>19593900</v>
      </c>
      <c r="F6" s="8">
        <f t="shared" si="2"/>
        <v>16547343.75</v>
      </c>
      <c r="G6" s="8">
        <f t="shared" si="2"/>
        <v>16961027.34375</v>
      </c>
      <c r="H6" s="8">
        <f t="shared" si="2"/>
        <v>17385053.02734375</v>
      </c>
      <c r="I6" s="8">
        <f t="shared" si="2"/>
        <v>0</v>
      </c>
      <c r="J6" s="8">
        <f t="shared" si="2"/>
        <v>0</v>
      </c>
      <c r="K6" s="8">
        <f t="shared" si="2"/>
        <v>0</v>
      </c>
      <c r="L6" s="8">
        <f t="shared" si="2"/>
        <v>0</v>
      </c>
      <c r="M6" s="8">
        <f t="shared" si="2"/>
        <v>0</v>
      </c>
      <c r="N6" s="8">
        <f t="shared" si="2"/>
        <v>0</v>
      </c>
      <c r="O6" s="8">
        <f t="shared" si="2"/>
        <v>0</v>
      </c>
      <c r="P6" s="8">
        <f t="shared" si="2"/>
        <v>0</v>
      </c>
      <c r="Q6" s="8">
        <f t="shared" si="2"/>
        <v>0</v>
      </c>
      <c r="R6" s="8">
        <f t="shared" si="2"/>
        <v>0</v>
      </c>
      <c r="S6" s="8">
        <f t="shared" si="2"/>
        <v>0</v>
      </c>
      <c r="T6" s="8">
        <f t="shared" si="2"/>
        <v>0</v>
      </c>
      <c r="U6" s="8">
        <f t="shared" si="2"/>
        <v>0</v>
      </c>
      <c r="V6" s="8">
        <f t="shared" si="2"/>
        <v>0</v>
      </c>
      <c r="W6" s="8">
        <f t="shared" si="2"/>
        <v>0</v>
      </c>
    </row>
    <row r="9" spans="1:23" x14ac:dyDescent="0.25">
      <c r="A9" t="s">
        <v>39</v>
      </c>
    </row>
    <row r="11" spans="1:23" x14ac:dyDescent="0.25">
      <c r="A11" t="s">
        <v>83</v>
      </c>
      <c r="C11">
        <f>(30000+(25*18000))*12</f>
        <v>5760000</v>
      </c>
      <c r="D11">
        <f>C11*0.15</f>
        <v>864000</v>
      </c>
      <c r="E11">
        <f>D11+D11*0.02</f>
        <v>881280</v>
      </c>
      <c r="F11">
        <f t="shared" ref="F11:F15" si="3">E11+E11*0.02</f>
        <v>898905.59999999998</v>
      </c>
      <c r="G11">
        <f t="shared" ref="G11:G15" si="4">F11+F11*0.02</f>
        <v>916883.71199999994</v>
      </c>
      <c r="H11">
        <f t="shared" ref="H11:H15" si="5">G11+G11*0.02</f>
        <v>935221.38623999991</v>
      </c>
      <c r="I11">
        <f t="shared" ref="I11:I15" si="6">H11+H11*0.02</f>
        <v>953925.81396479986</v>
      </c>
      <c r="J11">
        <f t="shared" ref="J11:J15" si="7">I11+I11*0.02</f>
        <v>973004.33024409588</v>
      </c>
      <c r="K11">
        <f t="shared" ref="K11:K15" si="8">J11+J11*0.02</f>
        <v>992464.41684897779</v>
      </c>
      <c r="L11">
        <f t="shared" ref="L11:L15" si="9">K11+K11*0.02</f>
        <v>1012313.7051859574</v>
      </c>
      <c r="M11">
        <f t="shared" ref="M11:M15" si="10">L11+L11*0.02</f>
        <v>1032559.9792896765</v>
      </c>
      <c r="N11">
        <f t="shared" ref="N11:N15" si="11">M11+M11*0.02</f>
        <v>1053211.1788754701</v>
      </c>
      <c r="O11">
        <f t="shared" ref="O11:O15" si="12">N11+N11*0.02</f>
        <v>1074275.4024529795</v>
      </c>
      <c r="P11">
        <f t="shared" ref="P11:P15" si="13">O11+O11*0.02</f>
        <v>1095760.9105020391</v>
      </c>
      <c r="Q11">
        <f t="shared" ref="Q11:Q15" si="14">P11+P11*0.02</f>
        <v>1117676.12871208</v>
      </c>
      <c r="R11">
        <f t="shared" ref="R11:R15" si="15">Q11+Q11*0.02</f>
        <v>1140029.6512863215</v>
      </c>
      <c r="S11">
        <f t="shared" ref="S11:S15" si="16">R11+R11*0.02</f>
        <v>1162830.244312048</v>
      </c>
      <c r="T11">
        <f t="shared" ref="T11:T15" si="17">S11+S11*0.02</f>
        <v>1186086.849198289</v>
      </c>
      <c r="U11">
        <f t="shared" ref="U11:U15" si="18">T11+T11*0.02</f>
        <v>1209808.5861822548</v>
      </c>
      <c r="V11">
        <f t="shared" ref="V11:V15" si="19">U11+U11*0.02</f>
        <v>1234004.7579059</v>
      </c>
      <c r="W11">
        <f t="shared" ref="W11:W15" si="20">V11+V11*0.02</f>
        <v>1258684.8530640181</v>
      </c>
    </row>
    <row r="12" spans="1:23" x14ac:dyDescent="0.25">
      <c r="A12" t="s">
        <v>84</v>
      </c>
      <c r="C12">
        <f>(2*15000+2500*3*2+2500*22*2)*6</f>
        <v>930000</v>
      </c>
      <c r="D12">
        <f>(2*15000+2500*3*2+2500*22*2)*6</f>
        <v>930000</v>
      </c>
      <c r="E12">
        <f>D12+D12*0.02</f>
        <v>948600</v>
      </c>
      <c r="F12">
        <f t="shared" si="3"/>
        <v>967572</v>
      </c>
      <c r="G12">
        <f t="shared" si="4"/>
        <v>986923.44</v>
      </c>
      <c r="H12">
        <f t="shared" si="5"/>
        <v>1006661.9088</v>
      </c>
      <c r="I12">
        <f t="shared" si="6"/>
        <v>1026795.1469759999</v>
      </c>
      <c r="J12">
        <f t="shared" si="7"/>
        <v>1047331.0499155199</v>
      </c>
      <c r="K12">
        <f t="shared" si="8"/>
        <v>1068277.6709138304</v>
      </c>
      <c r="L12">
        <f t="shared" si="9"/>
        <v>1089643.224332107</v>
      </c>
      <c r="M12">
        <f t="shared" si="10"/>
        <v>1111436.0888187492</v>
      </c>
      <c r="N12">
        <f t="shared" si="11"/>
        <v>1133664.8105951243</v>
      </c>
      <c r="O12">
        <f t="shared" si="12"/>
        <v>1156338.1068070268</v>
      </c>
      <c r="P12">
        <f t="shared" si="13"/>
        <v>1179464.8689431674</v>
      </c>
      <c r="Q12">
        <f t="shared" si="14"/>
        <v>1203054.1663220308</v>
      </c>
      <c r="R12">
        <f t="shared" si="15"/>
        <v>1227115.2496484714</v>
      </c>
      <c r="S12">
        <f t="shared" si="16"/>
        <v>1251657.5546414407</v>
      </c>
      <c r="T12">
        <f t="shared" si="17"/>
        <v>1276690.7057342695</v>
      </c>
      <c r="U12">
        <f t="shared" si="18"/>
        <v>1302224.5198489549</v>
      </c>
      <c r="V12">
        <f t="shared" si="19"/>
        <v>1328269.0102459339</v>
      </c>
      <c r="W12">
        <f t="shared" si="20"/>
        <v>1354834.3904508525</v>
      </c>
    </row>
    <row r="13" spans="1:23" x14ac:dyDescent="0.25">
      <c r="A13" t="s">
        <v>85</v>
      </c>
      <c r="C13">
        <f>26*20000</f>
        <v>520000</v>
      </c>
      <c r="D13">
        <f>26*20000</f>
        <v>520000</v>
      </c>
      <c r="E13">
        <f>D13+D13*0.02</f>
        <v>530400</v>
      </c>
      <c r="F13">
        <f t="shared" si="3"/>
        <v>541008</v>
      </c>
      <c r="G13">
        <f t="shared" si="4"/>
        <v>551828.16</v>
      </c>
      <c r="H13">
        <f t="shared" si="5"/>
        <v>562864.72320000001</v>
      </c>
      <c r="I13">
        <f t="shared" si="6"/>
        <v>574122.01766400004</v>
      </c>
      <c r="J13">
        <f t="shared" si="7"/>
        <v>585604.45801728009</v>
      </c>
      <c r="K13">
        <f t="shared" si="8"/>
        <v>597316.5471776257</v>
      </c>
      <c r="L13">
        <f t="shared" si="9"/>
        <v>609262.87812117825</v>
      </c>
      <c r="M13">
        <f t="shared" si="10"/>
        <v>621448.13568360184</v>
      </c>
      <c r="N13">
        <f t="shared" si="11"/>
        <v>633877.09839727392</v>
      </c>
      <c r="O13">
        <f t="shared" si="12"/>
        <v>646554.64036521944</v>
      </c>
      <c r="P13">
        <f t="shared" si="13"/>
        <v>659485.73317252379</v>
      </c>
      <c r="Q13">
        <f t="shared" si="14"/>
        <v>672675.44783597428</v>
      </c>
      <c r="R13">
        <f t="shared" si="15"/>
        <v>686128.95679269382</v>
      </c>
      <c r="S13">
        <f t="shared" si="16"/>
        <v>699851.53592854773</v>
      </c>
      <c r="T13">
        <f t="shared" si="17"/>
        <v>713848.56664711866</v>
      </c>
      <c r="U13">
        <f t="shared" si="18"/>
        <v>728125.53798006102</v>
      </c>
      <c r="V13">
        <f t="shared" si="19"/>
        <v>742688.04873966228</v>
      </c>
      <c r="W13">
        <f t="shared" si="20"/>
        <v>757541.80971445551</v>
      </c>
    </row>
    <row r="14" spans="1:23" x14ac:dyDescent="0.25">
      <c r="A14" t="s">
        <v>86</v>
      </c>
      <c r="D14">
        <f>(1000+(25*600))*12</f>
        <v>192000</v>
      </c>
      <c r="E14">
        <f>D14+D14*0.02</f>
        <v>195840</v>
      </c>
      <c r="F14">
        <f t="shared" si="3"/>
        <v>199756.79999999999</v>
      </c>
      <c r="G14">
        <f t="shared" si="4"/>
        <v>203751.93599999999</v>
      </c>
      <c r="H14">
        <f t="shared" si="5"/>
        <v>207826.97472</v>
      </c>
      <c r="I14">
        <f t="shared" si="6"/>
        <v>211983.5142144</v>
      </c>
      <c r="J14">
        <f t="shared" si="7"/>
        <v>216223.184498688</v>
      </c>
      <c r="K14">
        <f t="shared" si="8"/>
        <v>220547.64818866175</v>
      </c>
      <c r="L14">
        <f t="shared" si="9"/>
        <v>224958.601152435</v>
      </c>
      <c r="M14">
        <f t="shared" si="10"/>
        <v>229457.77317548372</v>
      </c>
      <c r="N14">
        <f t="shared" si="11"/>
        <v>234046.92863899338</v>
      </c>
      <c r="O14">
        <f t="shared" si="12"/>
        <v>238727.86721177326</v>
      </c>
      <c r="P14">
        <f t="shared" si="13"/>
        <v>243502.42455600871</v>
      </c>
      <c r="Q14">
        <f t="shared" si="14"/>
        <v>248372.47304712888</v>
      </c>
      <c r="R14">
        <f t="shared" si="15"/>
        <v>253339.92250807147</v>
      </c>
      <c r="S14">
        <f t="shared" si="16"/>
        <v>258406.72095823291</v>
      </c>
      <c r="T14">
        <f t="shared" si="17"/>
        <v>263574.85537739756</v>
      </c>
      <c r="U14">
        <f t="shared" si="18"/>
        <v>268846.3524849455</v>
      </c>
      <c r="V14">
        <f t="shared" si="19"/>
        <v>274223.27953464439</v>
      </c>
      <c r="W14">
        <f t="shared" si="20"/>
        <v>279707.74512533727</v>
      </c>
    </row>
    <row r="15" spans="1:23" x14ac:dyDescent="0.25">
      <c r="A15" t="s">
        <v>87</v>
      </c>
      <c r="D15">
        <v>200000</v>
      </c>
      <c r="E15">
        <f>D15+D15*0.02</f>
        <v>204000</v>
      </c>
      <c r="F15">
        <f t="shared" si="3"/>
        <v>208080</v>
      </c>
      <c r="G15">
        <f t="shared" si="4"/>
        <v>212241.6</v>
      </c>
      <c r="H15">
        <f t="shared" si="5"/>
        <v>216486.432</v>
      </c>
      <c r="I15">
        <f t="shared" si="6"/>
        <v>220816.16063999999</v>
      </c>
      <c r="J15">
        <f t="shared" si="7"/>
        <v>225232.48385279998</v>
      </c>
      <c r="K15">
        <f t="shared" si="8"/>
        <v>229737.13352985599</v>
      </c>
      <c r="L15">
        <f t="shared" si="9"/>
        <v>234331.87620045312</v>
      </c>
      <c r="M15">
        <f t="shared" si="10"/>
        <v>239018.51372446219</v>
      </c>
      <c r="N15">
        <f t="shared" si="11"/>
        <v>243798.88399895144</v>
      </c>
      <c r="O15">
        <f t="shared" si="12"/>
        <v>248674.86167893047</v>
      </c>
      <c r="P15">
        <f t="shared" si="13"/>
        <v>253648.35891250908</v>
      </c>
      <c r="Q15">
        <f t="shared" si="14"/>
        <v>258721.32609075925</v>
      </c>
      <c r="R15">
        <f t="shared" si="15"/>
        <v>263895.75261257443</v>
      </c>
      <c r="S15">
        <f t="shared" si="16"/>
        <v>269173.66766482592</v>
      </c>
      <c r="T15">
        <f t="shared" si="17"/>
        <v>274557.14101812243</v>
      </c>
      <c r="U15">
        <f t="shared" si="18"/>
        <v>280048.2838384849</v>
      </c>
      <c r="V15">
        <f t="shared" si="19"/>
        <v>285649.24951525457</v>
      </c>
      <c r="W15">
        <f t="shared" si="20"/>
        <v>291362.23450555967</v>
      </c>
    </row>
    <row r="17" spans="1:23" s="5" customFormat="1" x14ac:dyDescent="0.25">
      <c r="A17" s="5" t="s">
        <v>82</v>
      </c>
      <c r="D17" s="5">
        <f>SUM(D11:D15)</f>
        <v>2706000</v>
      </c>
      <c r="E17" s="5">
        <f t="shared" ref="E17:W17" si="21">SUM(E11:E15)</f>
        <v>2760120</v>
      </c>
      <c r="F17" s="5">
        <f t="shared" si="21"/>
        <v>2815322.4</v>
      </c>
      <c r="G17" s="5">
        <f t="shared" si="21"/>
        <v>2871628.8479999998</v>
      </c>
      <c r="H17" s="5">
        <f t="shared" si="21"/>
        <v>2929061.4249599995</v>
      </c>
      <c r="I17" s="5">
        <f t="shared" si="21"/>
        <v>2987642.6534591997</v>
      </c>
      <c r="J17" s="5">
        <f t="shared" si="21"/>
        <v>3047395.5065283841</v>
      </c>
      <c r="K17" s="5">
        <f t="shared" si="21"/>
        <v>3108343.4166589514</v>
      </c>
      <c r="L17" s="5">
        <f t="shared" si="21"/>
        <v>3170510.2849921305</v>
      </c>
      <c r="M17" s="5">
        <f t="shared" si="21"/>
        <v>3233920.4906919729</v>
      </c>
      <c r="N17" s="5">
        <f t="shared" si="21"/>
        <v>3298598.9005058133</v>
      </c>
      <c r="O17" s="5">
        <f t="shared" si="21"/>
        <v>3364570.8785159294</v>
      </c>
      <c r="P17" s="5">
        <f t="shared" si="21"/>
        <v>3431862.296086248</v>
      </c>
      <c r="Q17" s="5">
        <f t="shared" si="21"/>
        <v>3500499.542007973</v>
      </c>
      <c r="R17" s="5">
        <f t="shared" si="21"/>
        <v>3570509.5328481328</v>
      </c>
      <c r="S17" s="5">
        <f t="shared" si="21"/>
        <v>3641919.7235050951</v>
      </c>
      <c r="T17" s="5">
        <f t="shared" si="21"/>
        <v>3714758.1179751968</v>
      </c>
      <c r="U17" s="5">
        <f t="shared" si="21"/>
        <v>3789053.2803347013</v>
      </c>
      <c r="V17" s="5">
        <f t="shared" si="21"/>
        <v>3864834.345941395</v>
      </c>
      <c r="W17" s="5">
        <f t="shared" si="21"/>
        <v>3942131.0328602227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E6A6-B2B8-46FD-A7A0-79FFD191D01C}">
  <dimension ref="A1:AN19"/>
  <sheetViews>
    <sheetView topLeftCell="H1" workbookViewId="0">
      <selection activeCell="C9" sqref="C9:V9"/>
    </sheetView>
  </sheetViews>
  <sheetFormatPr defaultRowHeight="15" x14ac:dyDescent="0.25"/>
  <cols>
    <col min="1" max="1" width="22.28515625" customWidth="1"/>
    <col min="2" max="2" width="13.85546875" customWidth="1"/>
    <col min="3" max="3" width="12.5703125" customWidth="1"/>
  </cols>
  <sheetData>
    <row r="1" spans="1:40" s="5" customFormat="1" x14ac:dyDescent="0.25">
      <c r="A1" s="8" t="s">
        <v>88</v>
      </c>
      <c r="B1" s="8" t="s">
        <v>89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</row>
    <row r="2" spans="1:4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40" x14ac:dyDescent="0.25">
      <c r="A3" s="7" t="s">
        <v>90</v>
      </c>
      <c r="B3" s="7">
        <f>20*35000</f>
        <v>700000</v>
      </c>
      <c r="C3" s="7">
        <f>0.3*(B3/2)</f>
        <v>105000</v>
      </c>
      <c r="D3" s="7">
        <f xml:space="preserve"> 0.3*($B$3-C3)</f>
        <v>178500</v>
      </c>
      <c r="E3" s="7">
        <f xml:space="preserve"> 0.3*($B$3-SUM($C$3:D3))</f>
        <v>124950</v>
      </c>
      <c r="F3" s="7">
        <f xml:space="preserve"> 0.3*($B$3-SUM($C$3:E3))</f>
        <v>87465</v>
      </c>
      <c r="G3" s="7">
        <f xml:space="preserve"> 0.3*($B$3-SUM($C$3:F3))</f>
        <v>61225.5</v>
      </c>
      <c r="H3" s="7">
        <f xml:space="preserve"> 0.3*($B$3-SUM($C$3:G3))</f>
        <v>42857.85</v>
      </c>
      <c r="I3" s="7">
        <f xml:space="preserve"> 0.3*($B$3-SUM($C$3:H3))</f>
        <v>30000.495000000006</v>
      </c>
      <c r="J3" s="7">
        <f xml:space="preserve"> 0.3*($B$3-SUM($C$3:I3))</f>
        <v>21000.346500000007</v>
      </c>
      <c r="K3" s="7">
        <f xml:space="preserve"> 0.3*($B$3-SUM($C$3:J3))</f>
        <v>14700.242550000012</v>
      </c>
      <c r="L3" s="7">
        <f xml:space="preserve"> 0.3*($B$3-SUM($C$3:K3))</f>
        <v>10290.169785000022</v>
      </c>
      <c r="M3" s="7">
        <f xml:space="preserve"> 0.3*($B$3-SUM($C$3:L3))</f>
        <v>7203.1188495000124</v>
      </c>
      <c r="N3" s="7">
        <f xml:space="preserve"> 0.3*($B$3-SUM($C$3:M3))</f>
        <v>5042.1831946500224</v>
      </c>
      <c r="O3" s="7">
        <f xml:space="preserve"> 0.3*($B$3-SUM($C$3:N3))</f>
        <v>3529.5282362550265</v>
      </c>
      <c r="P3" s="7">
        <f xml:space="preserve"> 0.3*($B$3-SUM($C$3:O3))</f>
        <v>2470.6697653785113</v>
      </c>
      <c r="Q3" s="7">
        <f xml:space="preserve"> 0.3*($B$3-SUM($C$3:P3))</f>
        <v>1729.468835764972</v>
      </c>
      <c r="R3" s="7">
        <f xml:space="preserve"> 0.3*($B$3-SUM($C$3:Q3))</f>
        <v>1210.6281850354978</v>
      </c>
      <c r="S3" s="7">
        <f xml:space="preserve"> 0.3*($B$3-SUM($C$3:R3))</f>
        <v>847.43972952483455</v>
      </c>
      <c r="T3" s="7">
        <f xml:space="preserve"> 0.3*($B$3-SUM($C$3:S3))</f>
        <v>593.20781066736674</v>
      </c>
      <c r="U3" s="7">
        <f xml:space="preserve"> 0.3*($B$3-SUM($C$3:T3))</f>
        <v>415.24546746716368</v>
      </c>
      <c r="V3" s="7">
        <f xml:space="preserve"> 0.3*($B$3-SUM($C$3:U3))</f>
        <v>290.67182722702853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40" x14ac:dyDescent="0.25">
      <c r="A4" s="7" t="s">
        <v>91</v>
      </c>
      <c r="B4" s="7">
        <f>2500*250</f>
        <v>625000</v>
      </c>
      <c r="C4" s="7">
        <f>0.2*(B4/2)</f>
        <v>62500</v>
      </c>
      <c r="D4" s="7">
        <f xml:space="preserve"> 0.2*($B$4-C4)</f>
        <v>112500</v>
      </c>
      <c r="E4" s="7">
        <f xml:space="preserve"> 0.2*($B$4-SUM($C$4:D4))</f>
        <v>90000</v>
      </c>
      <c r="F4" s="7">
        <f xml:space="preserve"> 0.2*($B$4-SUM($C$4:E4))</f>
        <v>72000</v>
      </c>
      <c r="G4" s="7">
        <f xml:space="preserve"> 0.2*($B$4-SUM($C$4:F4))</f>
        <v>57600</v>
      </c>
      <c r="H4" s="7">
        <f xml:space="preserve"> 0.2*($B$4-SUM($C$4:G4))</f>
        <v>46080</v>
      </c>
      <c r="I4" s="7">
        <f xml:space="preserve"> 0.2*($B$4-SUM($C$4:H4))</f>
        <v>36864</v>
      </c>
      <c r="J4" s="7">
        <f xml:space="preserve"> 0.2*($B$4-SUM($C$4:I4))</f>
        <v>29491.200000000001</v>
      </c>
      <c r="K4" s="7">
        <f xml:space="preserve"> 0.2*($B$4-SUM($C$4:J4))</f>
        <v>23592.959999999999</v>
      </c>
      <c r="L4" s="7">
        <f xml:space="preserve"> 0.2*($B$4-SUM($C$4:K4))</f>
        <v>18874.367999999995</v>
      </c>
      <c r="M4" s="7">
        <f xml:space="preserve"> 0.2*($B$4-SUM($C$4:L4))</f>
        <v>15099.49439999999</v>
      </c>
      <c r="N4" s="7">
        <f xml:space="preserve"> 0.2*($B$4-SUM($C$4:M4))</f>
        <v>12079.595519999997</v>
      </c>
      <c r="O4" s="7">
        <f xml:space="preserve"> 0.2*($B$4-SUM($C$4:N4))</f>
        <v>9663.6764160000021</v>
      </c>
      <c r="P4" s="7">
        <f xml:space="preserve"> 0.2*($B$4-SUM($C$4:O4))</f>
        <v>7730.9411328000024</v>
      </c>
      <c r="Q4" s="7">
        <f xml:space="preserve"> 0.2*($B$4-SUM($C$4:P4))</f>
        <v>6184.7529062400108</v>
      </c>
      <c r="R4" s="7">
        <f xml:space="preserve"> 0.2*($B$4-SUM($C$4:Q4))</f>
        <v>4947.8023249919997</v>
      </c>
      <c r="S4" s="7">
        <f xml:space="preserve"> 0.2*($B$4-SUM($C$4:R4))</f>
        <v>3958.241859993595</v>
      </c>
      <c r="T4" s="7">
        <f xml:space="preserve"> 0.2*($B$4-SUM($C$4:S4))</f>
        <v>3166.5934879948854</v>
      </c>
      <c r="U4" s="7">
        <f xml:space="preserve"> 0.2*($B$4-SUM($C$4:T4))</f>
        <v>2533.274790395913</v>
      </c>
      <c r="V4" s="7">
        <f xml:space="preserve"> 0.2*($B$4-SUM($C$4:U4))</f>
        <v>2026.6198323167396</v>
      </c>
    </row>
    <row r="5" spans="1:40" x14ac:dyDescent="0.25">
      <c r="A5" s="7" t="s">
        <v>92</v>
      </c>
      <c r="B5" s="7">
        <f>3000*300</f>
        <v>900000</v>
      </c>
      <c r="C5" s="7"/>
      <c r="D5" s="7"/>
      <c r="E5" s="7"/>
      <c r="F5" s="7"/>
      <c r="G5" s="7"/>
      <c r="H5" s="7"/>
      <c r="I5" s="7"/>
      <c r="J5" s="7"/>
      <c r="K5" s="7"/>
      <c r="L5" s="7"/>
      <c r="M5" s="7">
        <f>0.2*(B5/2)</f>
        <v>90000</v>
      </c>
      <c r="N5" s="7">
        <f xml:space="preserve"> 0.2*($B$5-M5)</f>
        <v>162000</v>
      </c>
      <c r="O5" s="7">
        <f xml:space="preserve"> 0.2*($B$5-SUM($M$5:N5))</f>
        <v>129600</v>
      </c>
      <c r="P5" s="7">
        <f xml:space="preserve"> 0.2*($B$5-SUM($M$5:O5))</f>
        <v>103680</v>
      </c>
      <c r="Q5" s="7">
        <f xml:space="preserve"> 0.2*($B$5-SUM($M$5:P5))</f>
        <v>82944</v>
      </c>
      <c r="R5" s="7">
        <f xml:space="preserve"> 0.2*($B$5-SUM($M$5:Q5))</f>
        <v>66355.199999999997</v>
      </c>
      <c r="S5" s="7">
        <f xml:space="preserve"> 0.2*($B$5-SUM($M$5:R5))</f>
        <v>53084.160000000011</v>
      </c>
      <c r="T5" s="7">
        <f xml:space="preserve"> 0.2*($B$5-SUM($M$5:S5))</f>
        <v>42467.328000000009</v>
      </c>
      <c r="U5" s="7">
        <f xml:space="preserve"> 0.2*($B$5-SUM($M$5:T5))</f>
        <v>33973.862400000005</v>
      </c>
      <c r="V5" s="7">
        <f xml:space="preserve"> 0.2*($B$5-SUM($M$5:U5))</f>
        <v>27179.089920000013</v>
      </c>
    </row>
    <row r="6" spans="1:40" x14ac:dyDescent="0.25">
      <c r="A6" s="7" t="s">
        <v>93</v>
      </c>
      <c r="B6" s="7">
        <v>1500000</v>
      </c>
      <c r="C6" s="7">
        <f>0.55*(B6/2)</f>
        <v>412500.00000000006</v>
      </c>
      <c r="D6" s="7">
        <f xml:space="preserve"> 0.55*($B$6-C6)</f>
        <v>598125</v>
      </c>
      <c r="E6" s="7">
        <f xml:space="preserve"> 0.55*($B$6-SUM($C$6:D6))</f>
        <v>269156.25</v>
      </c>
      <c r="F6" s="7">
        <f xml:space="preserve"> 0.55*($B$6-SUM($C$6:E6))</f>
        <v>121120.31250000001</v>
      </c>
      <c r="G6" s="7">
        <f xml:space="preserve"> 0.55*($B$6-SUM($C$6:F6))</f>
        <v>54504.140625000007</v>
      </c>
      <c r="H6" s="7">
        <f xml:space="preserve"> 0.55*($B$6-SUM($C$6:G6))</f>
        <v>24526.863281250004</v>
      </c>
      <c r="I6" s="7">
        <f xml:space="preserve"> 0.55*($B$6-SUM($C$6:H6))</f>
        <v>11037.088476562501</v>
      </c>
      <c r="J6" s="7">
        <f xml:space="preserve"> 0.55*($B$6-SUM($C$6:I6))</f>
        <v>4966.689814453177</v>
      </c>
      <c r="K6" s="7">
        <f xml:space="preserve"> 0.55*($B$6-SUM($C$6:J6))</f>
        <v>2235.0104165038911</v>
      </c>
      <c r="L6" s="7">
        <f xml:space="preserve"> 0.55*($B$6-SUM($C$6:K6))</f>
        <v>1005.7546874266934</v>
      </c>
      <c r="M6" s="7">
        <f xml:space="preserve"> 0.55*($B$6-SUM($C$6:L6))</f>
        <v>452.5896093420568</v>
      </c>
      <c r="N6" s="7">
        <f xml:space="preserve"> 0.55*($B$6-SUM($C$6:M6))</f>
        <v>203.66532420386795</v>
      </c>
      <c r="O6" s="7">
        <f xml:space="preserve"> 0.55*($B$6-SUM($C$6:N6))</f>
        <v>91.649395891721369</v>
      </c>
      <c r="P6" s="7">
        <f xml:space="preserve"> 0.55*($B$6-SUM($C$6:O6))</f>
        <v>41.242228151287421</v>
      </c>
      <c r="Q6" s="7">
        <f xml:space="preserve"> 0.55*($B$6-SUM($C$6:P6))</f>
        <v>18.559002668072935</v>
      </c>
      <c r="R6" s="7">
        <f xml:space="preserve"> 0.55*($B$6-SUM($C$6:Q6))</f>
        <v>8.3515512006008077</v>
      </c>
      <c r="S6" s="7">
        <f xml:space="preserve"> 0.55*($B$6-SUM($C$6:R6))</f>
        <v>3.7581980403279887</v>
      </c>
      <c r="T6" s="7">
        <f xml:space="preserve"> 0.55*($B$6-SUM($C$6:S6))</f>
        <v>1.6911891181604006</v>
      </c>
      <c r="U6" s="7">
        <f xml:space="preserve"> 0.55*($B$6-SUM($C$6:T6))</f>
        <v>0.76103510315297174</v>
      </c>
      <c r="V6" s="7">
        <f xml:space="preserve"> 0.55*($B$6-SUM($C$6:U6))</f>
        <v>0.34246579643804581</v>
      </c>
    </row>
    <row r="7" spans="1:40" x14ac:dyDescent="0.25">
      <c r="A7" s="7" t="s">
        <v>94</v>
      </c>
      <c r="B7" s="7">
        <f>250*2000</f>
        <v>500000</v>
      </c>
      <c r="C7" s="7"/>
      <c r="D7" s="7"/>
      <c r="E7" s="7"/>
      <c r="F7" s="7"/>
      <c r="G7" s="7"/>
      <c r="H7" s="7">
        <f>0.55*(B7/2)</f>
        <v>137500</v>
      </c>
      <c r="I7" s="7">
        <f xml:space="preserve"> 0.55*($B$7-H7)</f>
        <v>199375.00000000003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</row>
    <row r="8" spans="1:40" x14ac:dyDescent="0.25">
      <c r="A8" s="7" t="s">
        <v>95</v>
      </c>
      <c r="B8" s="7">
        <f>250*2000</f>
        <v>500000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>
        <f>0.55*(B8/2)</f>
        <v>137500</v>
      </c>
      <c r="P8" s="7">
        <f xml:space="preserve"> 0.55*($B$8-O8)</f>
        <v>199375.00000000003</v>
      </c>
      <c r="Q8" s="7">
        <v>0</v>
      </c>
      <c r="R8" s="7"/>
      <c r="S8" s="7"/>
      <c r="T8" s="7"/>
      <c r="U8" s="7"/>
      <c r="V8" s="7"/>
    </row>
    <row r="9" spans="1:40" x14ac:dyDescent="0.25">
      <c r="A9" s="7" t="s">
        <v>96</v>
      </c>
      <c r="B9" s="7"/>
      <c r="C9" s="7">
        <f>SUM(C6:C8)</f>
        <v>412500.00000000006</v>
      </c>
      <c r="D9" s="7">
        <f t="shared" ref="D9:V9" si="0">SUM(D6:D8)</f>
        <v>598125</v>
      </c>
      <c r="E9" s="7">
        <f t="shared" si="0"/>
        <v>269156.25</v>
      </c>
      <c r="F9" s="7">
        <f t="shared" si="0"/>
        <v>121120.31250000001</v>
      </c>
      <c r="G9" s="7">
        <f t="shared" si="0"/>
        <v>54504.140625000007</v>
      </c>
      <c r="H9" s="7">
        <f t="shared" si="0"/>
        <v>162026.86328125</v>
      </c>
      <c r="I9" s="7">
        <f t="shared" si="0"/>
        <v>210412.08847656252</v>
      </c>
      <c r="J9" s="7">
        <f t="shared" si="0"/>
        <v>4966.689814453177</v>
      </c>
      <c r="K9" s="7">
        <f t="shared" si="0"/>
        <v>2235.0104165038911</v>
      </c>
      <c r="L9" s="7">
        <f t="shared" si="0"/>
        <v>1005.7546874266934</v>
      </c>
      <c r="M9" s="7">
        <f t="shared" si="0"/>
        <v>452.5896093420568</v>
      </c>
      <c r="N9" s="7">
        <f t="shared" si="0"/>
        <v>203.66532420386795</v>
      </c>
      <c r="O9" s="7">
        <f t="shared" si="0"/>
        <v>137591.64939589173</v>
      </c>
      <c r="P9" s="7">
        <f t="shared" si="0"/>
        <v>199416.24222815133</v>
      </c>
      <c r="Q9" s="7">
        <f t="shared" si="0"/>
        <v>18.559002668072935</v>
      </c>
      <c r="R9" s="7">
        <f t="shared" si="0"/>
        <v>8.3515512006008077</v>
      </c>
      <c r="S9" s="7">
        <f t="shared" si="0"/>
        <v>3.7581980403279887</v>
      </c>
      <c r="T9" s="7">
        <f t="shared" si="0"/>
        <v>1.6911891181604006</v>
      </c>
      <c r="U9" s="7">
        <f t="shared" si="0"/>
        <v>0.76103510315297174</v>
      </c>
      <c r="V9" s="7">
        <f t="shared" si="0"/>
        <v>0.34246579643804581</v>
      </c>
    </row>
    <row r="10" spans="1:40" x14ac:dyDescent="0.25">
      <c r="A10" s="7" t="s">
        <v>97</v>
      </c>
      <c r="B10" s="7">
        <v>500000</v>
      </c>
      <c r="C10" s="7">
        <f>1*(B10/2)</f>
        <v>250000</v>
      </c>
      <c r="D10" s="7">
        <f xml:space="preserve"> 1*($B$10-C10)</f>
        <v>250000</v>
      </c>
      <c r="E10" s="7">
        <f xml:space="preserve"> 1*($B$10-SUM($C$10:D10))</f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40" x14ac:dyDescent="0.25">
      <c r="A11" s="7" t="s">
        <v>98</v>
      </c>
      <c r="B11" s="7">
        <f>250*50000</f>
        <v>12500000</v>
      </c>
      <c r="C11" s="7">
        <f>$B$11/5</f>
        <v>2500000</v>
      </c>
      <c r="D11" s="7">
        <f t="shared" ref="D11:G11" si="1">$B$11/5</f>
        <v>2500000</v>
      </c>
      <c r="E11" s="7">
        <f t="shared" si="1"/>
        <v>2500000</v>
      </c>
      <c r="F11" s="7">
        <f t="shared" si="1"/>
        <v>2500000</v>
      </c>
      <c r="G11" s="7">
        <f t="shared" si="1"/>
        <v>2500000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40" x14ac:dyDescent="0.25">
      <c r="A12" s="7" t="s">
        <v>99</v>
      </c>
      <c r="B12" s="7">
        <f>1700*40000 + 25*1500*25000</f>
        <v>1005500000</v>
      </c>
      <c r="C12" s="7">
        <f>B12*0.04*0.5</f>
        <v>20110000</v>
      </c>
      <c r="D12" s="7">
        <f>(B12-C12)*0.04</f>
        <v>39415600</v>
      </c>
      <c r="E12" s="7">
        <f xml:space="preserve"> 0.04*($B$12-SUM($C$12:D12))</f>
        <v>37838976</v>
      </c>
      <c r="F12" s="7">
        <f xml:space="preserve"> 0.04*($B$12-SUM($C$12:E12))</f>
        <v>36325416.960000001</v>
      </c>
      <c r="G12" s="7">
        <f xml:space="preserve"> 0.04*($B$12-SUM($C$12:F12))</f>
        <v>34872400.281599998</v>
      </c>
      <c r="H12" s="7">
        <f xml:space="preserve"> 0.04*($B$12-SUM($C$12:G12))</f>
        <v>33477504.270335998</v>
      </c>
      <c r="I12" s="7">
        <f xml:space="preserve"> 0.04*($B$12-SUM($C$12:H12))</f>
        <v>32138404.099522561</v>
      </c>
      <c r="J12" s="7">
        <f xml:space="preserve"> 0.04*($B$12-SUM($C$12:I12))</f>
        <v>30852867.93554166</v>
      </c>
      <c r="K12" s="7">
        <f xml:space="preserve"> 0.04*($B$12-SUM($C$12:J12))</f>
        <v>29618753.218119994</v>
      </c>
      <c r="L12" s="7">
        <f xml:space="preserve"> 0.04*($B$12-SUM($C$12:K12))</f>
        <v>28434003.089395192</v>
      </c>
      <c r="M12" s="7">
        <f xml:space="preserve"> 0.04*($B$12-SUM($C$12:L12))</f>
        <v>27296642.965819389</v>
      </c>
      <c r="N12" s="7">
        <f xml:space="preserve"> 0.04*($B$12-SUM($C$12:M12))</f>
        <v>26204777.247186609</v>
      </c>
      <c r="O12" s="7">
        <f xml:space="preserve"> 0.04*($B$12-SUM($C$12:N12))</f>
        <v>25156586.157299146</v>
      </c>
      <c r="P12" s="7">
        <f xml:space="preserve"> 0.04*($B$12-SUM($C$12:O12))</f>
        <v>24150322.711007174</v>
      </c>
      <c r="Q12" s="7">
        <f xml:space="preserve"> 0.04*($B$12-SUM($C$12:P12))</f>
        <v>23184309.80256689</v>
      </c>
      <c r="R12" s="7">
        <f xml:space="preserve"> 0.04*($B$12-SUM($C$12:Q12))</f>
        <v>22256937.410464216</v>
      </c>
      <c r="S12" s="7">
        <f xml:space="preserve"> 0.04*($B$12-SUM($C$12:R12))</f>
        <v>21366659.914045647</v>
      </c>
      <c r="T12" s="7">
        <f xml:space="preserve"> 0.04*($B$12-SUM($C$12:S12))</f>
        <v>20511993.517483823</v>
      </c>
      <c r="U12" s="7">
        <f xml:space="preserve"> 0.04*($B$12-SUM($C$12:T12))</f>
        <v>19691513.776784468</v>
      </c>
      <c r="V12" s="7">
        <f xml:space="preserve"> 0.04*($B$12-SUM($C$12:U12))</f>
        <v>18903853.225713089</v>
      </c>
    </row>
    <row r="13" spans="1:4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f xml:space="preserve"> 0.3*($B$13-SUM($C$13:AC13))</f>
        <v>0</v>
      </c>
      <c r="AE13" s="7">
        <f xml:space="preserve"> 0.3*($B$13-SUM($C$13:AD13))</f>
        <v>0</v>
      </c>
      <c r="AF13" s="7">
        <f xml:space="preserve"> 0.3*($B$13-SUM($C$13:AE13))</f>
        <v>0</v>
      </c>
      <c r="AG13" s="7">
        <f xml:space="preserve"> 0.3*($B$13-SUM($C$13:AF13))</f>
        <v>0</v>
      </c>
      <c r="AH13" s="7">
        <f xml:space="preserve"> 0.3*($B$13-SUM($C$13:AG13))</f>
        <v>0</v>
      </c>
      <c r="AI13" s="7">
        <f xml:space="preserve"> 0.3*($B$13-SUM($C$13:AH13))</f>
        <v>0</v>
      </c>
      <c r="AJ13" s="7">
        <f xml:space="preserve"> 0.3*($B$13-SUM($C$13:AI13))</f>
        <v>0</v>
      </c>
      <c r="AK13" s="7">
        <f xml:space="preserve"> 0.3*($B$13-SUM($C$13:AJ13))</f>
        <v>0</v>
      </c>
      <c r="AL13" s="7">
        <f xml:space="preserve"> 0.3*($B$13-SUM($C$13:AK13))</f>
        <v>0</v>
      </c>
      <c r="AM13" s="7">
        <f xml:space="preserve"> 0.3*($B$13-SUM($C$13:AL13))</f>
        <v>0</v>
      </c>
      <c r="AN13" s="7">
        <f xml:space="preserve"> 0.3*($B$13-SUM($C$13:AM13))</f>
        <v>0</v>
      </c>
    </row>
    <row r="14" spans="1:4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4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4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s="5" customFormat="1" x14ac:dyDescent="0.25">
      <c r="A19" s="8" t="s">
        <v>82</v>
      </c>
      <c r="B19" s="8">
        <f t="shared" ref="B19:V19" si="2">SUM(B3:B18)</f>
        <v>1023225000</v>
      </c>
      <c r="C19" s="8">
        <f t="shared" si="2"/>
        <v>23852500</v>
      </c>
      <c r="D19" s="8">
        <f t="shared" si="2"/>
        <v>43652850</v>
      </c>
      <c r="E19" s="8">
        <f t="shared" si="2"/>
        <v>41092238.5</v>
      </c>
      <c r="F19" s="8">
        <f t="shared" si="2"/>
        <v>39227122.585000001</v>
      </c>
      <c r="G19" s="8">
        <f t="shared" si="2"/>
        <v>37600234.062849998</v>
      </c>
      <c r="H19" s="8">
        <f t="shared" si="2"/>
        <v>33890495.846898496</v>
      </c>
      <c r="I19" s="8">
        <f t="shared" si="2"/>
        <v>32626092.771475688</v>
      </c>
      <c r="J19" s="8">
        <f t="shared" si="2"/>
        <v>30913292.861670565</v>
      </c>
      <c r="K19" s="8">
        <f t="shared" si="2"/>
        <v>29661516.441503003</v>
      </c>
      <c r="L19" s="8">
        <f t="shared" si="2"/>
        <v>28465179.136555046</v>
      </c>
      <c r="M19" s="8">
        <f t="shared" si="2"/>
        <v>27409850.758287571</v>
      </c>
      <c r="N19" s="8">
        <f t="shared" si="2"/>
        <v>26384306.356549665</v>
      </c>
      <c r="O19" s="8">
        <f t="shared" si="2"/>
        <v>25574562.660743184</v>
      </c>
      <c r="P19" s="8">
        <f t="shared" si="2"/>
        <v>24663036.806361657</v>
      </c>
      <c r="Q19" s="8">
        <f t="shared" si="2"/>
        <v>23275205.142314229</v>
      </c>
      <c r="R19" s="8">
        <f t="shared" si="2"/>
        <v>22329467.744076643</v>
      </c>
      <c r="S19" s="8">
        <f t="shared" si="2"/>
        <v>21424557.272031248</v>
      </c>
      <c r="T19" s="8">
        <f t="shared" si="2"/>
        <v>20558224.029160723</v>
      </c>
      <c r="U19" s="8">
        <f t="shared" si="2"/>
        <v>19728437.681512538</v>
      </c>
      <c r="V19" s="8">
        <f t="shared" si="2"/>
        <v>18933350.292224225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0C35-7B6C-4D6F-993C-E3882E60B0AA}">
  <dimension ref="A1:K5"/>
  <sheetViews>
    <sheetView workbookViewId="0"/>
  </sheetViews>
  <sheetFormatPr defaultRowHeight="15" x14ac:dyDescent="0.25"/>
  <cols>
    <col min="1" max="1" width="32" customWidth="1"/>
    <col min="2" max="3" width="9.85546875" bestFit="1" customWidth="1"/>
  </cols>
  <sheetData>
    <row r="1" spans="1:11" x14ac:dyDescent="0.25">
      <c r="A1" s="5" t="s">
        <v>100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11" x14ac:dyDescent="0.25">
      <c r="A2" t="s">
        <v>101</v>
      </c>
      <c r="B2" s="9">
        <v>3000000</v>
      </c>
      <c r="C2">
        <v>0</v>
      </c>
      <c r="D2">
        <v>0</v>
      </c>
      <c r="E2">
        <v>0</v>
      </c>
      <c r="F2">
        <v>0</v>
      </c>
    </row>
    <row r="3" spans="1:11" x14ac:dyDescent="0.25">
      <c r="A3" t="s">
        <v>102</v>
      </c>
      <c r="B3" s="9">
        <v>7000000</v>
      </c>
      <c r="C3">
        <v>0</v>
      </c>
      <c r="D3">
        <v>0</v>
      </c>
      <c r="E3">
        <v>0</v>
      </c>
      <c r="F3">
        <v>0</v>
      </c>
    </row>
    <row r="4" spans="1:11" x14ac:dyDescent="0.25">
      <c r="A4" t="s">
        <v>70</v>
      </c>
      <c r="B4" s="9">
        <v>3000000</v>
      </c>
      <c r="C4" s="9">
        <v>1000000</v>
      </c>
      <c r="D4" s="9">
        <v>500000</v>
      </c>
      <c r="E4" s="9">
        <v>500000</v>
      </c>
      <c r="F4" s="9">
        <v>300000</v>
      </c>
      <c r="G4" s="9">
        <v>300000</v>
      </c>
      <c r="H4" s="9">
        <v>200000</v>
      </c>
      <c r="I4" s="9">
        <v>200000</v>
      </c>
      <c r="J4" s="9">
        <v>200000</v>
      </c>
      <c r="K4" s="9">
        <v>200000</v>
      </c>
    </row>
    <row r="5" spans="1:11" x14ac:dyDescent="0.25">
      <c r="A5" t="s">
        <v>33</v>
      </c>
      <c r="B5" s="9">
        <v>3000000</v>
      </c>
      <c r="C5" s="9">
        <v>1000000</v>
      </c>
      <c r="D5" s="9">
        <v>500000</v>
      </c>
      <c r="E5" s="9">
        <v>500000</v>
      </c>
      <c r="F5" s="9">
        <v>200000</v>
      </c>
      <c r="G5" s="9">
        <v>200000</v>
      </c>
      <c r="H5" s="9">
        <v>100000</v>
      </c>
      <c r="I5" s="9">
        <v>100000</v>
      </c>
      <c r="J5" s="9">
        <v>100000</v>
      </c>
      <c r="K5" s="9">
        <v>100000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E7EB-4D59-4263-B86C-6BBC78D96F7A}">
  <dimension ref="A1:U11"/>
  <sheetViews>
    <sheetView workbookViewId="0">
      <selection activeCell="C14" sqref="C14"/>
    </sheetView>
  </sheetViews>
  <sheetFormatPr defaultRowHeight="15" x14ac:dyDescent="0.25"/>
  <cols>
    <col min="1" max="1" width="53.7109375" customWidth="1"/>
  </cols>
  <sheetData>
    <row r="1" spans="1:21" x14ac:dyDescent="0.25">
      <c r="A1" s="6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x14ac:dyDescent="0.25">
      <c r="A2" s="4" t="s">
        <v>103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2" t="s">
        <v>104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2" t="s">
        <v>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2" t="s">
        <v>105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2" t="s">
        <v>106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2" t="s">
        <v>70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2" t="s">
        <v>107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2" t="s">
        <v>33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2" t="s">
        <v>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2" t="s">
        <v>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DF76-DA17-41AA-9070-DC5F1E007C53}">
  <dimension ref="A1:X24"/>
  <sheetViews>
    <sheetView topLeftCell="A8" workbookViewId="0">
      <selection activeCell="B11" sqref="B11"/>
    </sheetView>
  </sheetViews>
  <sheetFormatPr defaultRowHeight="15" x14ac:dyDescent="0.25"/>
  <cols>
    <col min="1" max="1" width="31.140625" customWidth="1"/>
    <col min="2" max="2" width="12.42578125" style="11" customWidth="1"/>
    <col min="3" max="3" width="33.28515625" style="11" customWidth="1"/>
    <col min="4" max="23" width="10.42578125" customWidth="1"/>
  </cols>
  <sheetData>
    <row r="1" spans="1:23" s="5" customFormat="1" ht="30" x14ac:dyDescent="0.25">
      <c r="A1" s="8" t="s">
        <v>110</v>
      </c>
      <c r="B1" s="16" t="s">
        <v>111</v>
      </c>
      <c r="C1" s="16"/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</row>
    <row r="2" spans="1:23" x14ac:dyDescent="0.25">
      <c r="A2" s="7" t="s">
        <v>112</v>
      </c>
      <c r="B2" s="17">
        <v>1</v>
      </c>
      <c r="C2" s="17"/>
      <c r="D2" s="7">
        <f>80000*12</f>
        <v>960000</v>
      </c>
      <c r="E2" s="7">
        <f>D2+(D2*0.03)</f>
        <v>988800</v>
      </c>
      <c r="F2" s="7">
        <f t="shared" ref="F2:W2" si="0">E2+(E2*0.03)</f>
        <v>1018464</v>
      </c>
      <c r="G2" s="7">
        <f t="shared" si="0"/>
        <v>1049017.92</v>
      </c>
      <c r="H2" s="7">
        <f t="shared" si="0"/>
        <v>1080488.4575999998</v>
      </c>
      <c r="I2" s="7">
        <f t="shared" si="0"/>
        <v>1112903.1113279997</v>
      </c>
      <c r="J2" s="7">
        <f t="shared" si="0"/>
        <v>1146290.2046678397</v>
      </c>
      <c r="K2" s="7">
        <f t="shared" si="0"/>
        <v>1180678.910807875</v>
      </c>
      <c r="L2" s="7">
        <f t="shared" si="0"/>
        <v>1216099.2781321113</v>
      </c>
      <c r="M2" s="7">
        <f t="shared" si="0"/>
        <v>1252582.2564760747</v>
      </c>
      <c r="N2" s="7">
        <f t="shared" si="0"/>
        <v>1290159.724170357</v>
      </c>
      <c r="O2" s="7">
        <f t="shared" si="0"/>
        <v>1328864.5158954677</v>
      </c>
      <c r="P2" s="7">
        <f t="shared" si="0"/>
        <v>1368730.4513723317</v>
      </c>
      <c r="Q2" s="7">
        <f t="shared" si="0"/>
        <v>1409792.3649135015</v>
      </c>
      <c r="R2" s="7">
        <f t="shared" si="0"/>
        <v>1452086.1358609067</v>
      </c>
      <c r="S2" s="7">
        <f t="shared" si="0"/>
        <v>1495648.7199367338</v>
      </c>
      <c r="T2" s="7">
        <f t="shared" si="0"/>
        <v>1540518.1815348358</v>
      </c>
      <c r="U2" s="7">
        <f t="shared" si="0"/>
        <v>1586733.7269808808</v>
      </c>
      <c r="V2" s="7">
        <f t="shared" si="0"/>
        <v>1634335.7387903072</v>
      </c>
      <c r="W2" s="7">
        <f t="shared" si="0"/>
        <v>1683365.8109540164</v>
      </c>
    </row>
    <row r="3" spans="1:23" x14ac:dyDescent="0.25">
      <c r="A3" s="7" t="s">
        <v>113</v>
      </c>
      <c r="B3" s="17">
        <v>1</v>
      </c>
      <c r="C3" s="17"/>
      <c r="D3" s="7">
        <f>35000*12</f>
        <v>420000</v>
      </c>
      <c r="E3" s="7">
        <f>D3+(D3*0.04)</f>
        <v>436800</v>
      </c>
      <c r="F3" s="7">
        <f t="shared" ref="F3:W7" si="1">E3+(E3*0.04)</f>
        <v>454272</v>
      </c>
      <c r="G3" s="7">
        <f t="shared" si="1"/>
        <v>472442.88</v>
      </c>
      <c r="H3" s="7">
        <f t="shared" si="1"/>
        <v>491340.59519999998</v>
      </c>
      <c r="I3" s="7">
        <f t="shared" si="1"/>
        <v>510994.21900799999</v>
      </c>
      <c r="J3" s="7">
        <f t="shared" si="1"/>
        <v>531433.98776832002</v>
      </c>
      <c r="K3" s="7">
        <f t="shared" si="1"/>
        <v>552691.34727905283</v>
      </c>
      <c r="L3" s="7">
        <f t="shared" si="1"/>
        <v>574799.00117021496</v>
      </c>
      <c r="M3" s="7">
        <f t="shared" si="1"/>
        <v>597790.96121702355</v>
      </c>
      <c r="N3" s="7">
        <f t="shared" si="1"/>
        <v>621702.59966570453</v>
      </c>
      <c r="O3" s="7">
        <f t="shared" si="1"/>
        <v>646570.70365233277</v>
      </c>
      <c r="P3" s="7">
        <f t="shared" si="1"/>
        <v>672433.53179842606</v>
      </c>
      <c r="Q3" s="7">
        <f t="shared" si="1"/>
        <v>699330.87307036307</v>
      </c>
      <c r="R3" s="7">
        <f t="shared" si="1"/>
        <v>727304.1079931776</v>
      </c>
      <c r="S3" s="7">
        <f t="shared" si="1"/>
        <v>756396.27231290471</v>
      </c>
      <c r="T3" s="7">
        <f t="shared" si="1"/>
        <v>786652.12320542091</v>
      </c>
      <c r="U3" s="7">
        <f t="shared" si="1"/>
        <v>818118.20813363779</v>
      </c>
      <c r="V3" s="7">
        <f t="shared" si="1"/>
        <v>850842.93645898334</v>
      </c>
      <c r="W3" s="7">
        <f t="shared" si="1"/>
        <v>884876.65391734266</v>
      </c>
    </row>
    <row r="4" spans="1:23" x14ac:dyDescent="0.25">
      <c r="A4" s="7" t="s">
        <v>114</v>
      </c>
      <c r="B4" s="17">
        <v>1</v>
      </c>
      <c r="C4" s="17"/>
      <c r="D4" s="7">
        <f>35000*12</f>
        <v>420000</v>
      </c>
      <c r="E4" s="7">
        <f t="shared" ref="E4:T7" si="2">D4+(D4*0.04)</f>
        <v>436800</v>
      </c>
      <c r="F4" s="7">
        <f t="shared" si="2"/>
        <v>454272</v>
      </c>
      <c r="G4" s="7">
        <f t="shared" si="2"/>
        <v>472442.88</v>
      </c>
      <c r="H4" s="7">
        <f t="shared" si="2"/>
        <v>491340.59519999998</v>
      </c>
      <c r="I4" s="7">
        <f t="shared" si="2"/>
        <v>510994.21900799999</v>
      </c>
      <c r="J4" s="7">
        <f t="shared" si="2"/>
        <v>531433.98776832002</v>
      </c>
      <c r="K4" s="7">
        <f t="shared" si="2"/>
        <v>552691.34727905283</v>
      </c>
      <c r="L4" s="7">
        <f t="shared" si="2"/>
        <v>574799.00117021496</v>
      </c>
      <c r="M4" s="7">
        <f t="shared" si="2"/>
        <v>597790.96121702355</v>
      </c>
      <c r="N4" s="7">
        <f t="shared" si="2"/>
        <v>621702.59966570453</v>
      </c>
      <c r="O4" s="7">
        <f t="shared" si="2"/>
        <v>646570.70365233277</v>
      </c>
      <c r="P4" s="7">
        <f t="shared" si="2"/>
        <v>672433.53179842606</v>
      </c>
      <c r="Q4" s="7">
        <f t="shared" si="2"/>
        <v>699330.87307036307</v>
      </c>
      <c r="R4" s="7">
        <f t="shared" si="2"/>
        <v>727304.1079931776</v>
      </c>
      <c r="S4" s="7">
        <f t="shared" si="2"/>
        <v>756396.27231290471</v>
      </c>
      <c r="T4" s="7">
        <f t="shared" si="2"/>
        <v>786652.12320542091</v>
      </c>
      <c r="U4" s="7">
        <f t="shared" si="1"/>
        <v>818118.20813363779</v>
      </c>
      <c r="V4" s="7">
        <f t="shared" si="1"/>
        <v>850842.93645898334</v>
      </c>
      <c r="W4" s="7">
        <f t="shared" si="1"/>
        <v>884876.65391734266</v>
      </c>
    </row>
    <row r="5" spans="1:23" x14ac:dyDescent="0.25">
      <c r="A5" s="7" t="s">
        <v>115</v>
      </c>
      <c r="B5" s="17">
        <v>1</v>
      </c>
      <c r="C5" s="17"/>
      <c r="D5" s="7">
        <f>35000*12</f>
        <v>420000</v>
      </c>
      <c r="E5" s="7">
        <f t="shared" si="2"/>
        <v>436800</v>
      </c>
      <c r="F5" s="7">
        <f t="shared" si="2"/>
        <v>454272</v>
      </c>
      <c r="G5" s="7">
        <f t="shared" si="2"/>
        <v>472442.88</v>
      </c>
      <c r="H5" s="7">
        <f t="shared" si="2"/>
        <v>491340.59519999998</v>
      </c>
      <c r="I5" s="7">
        <f t="shared" si="2"/>
        <v>510994.21900799999</v>
      </c>
      <c r="J5" s="7">
        <f t="shared" si="2"/>
        <v>531433.98776832002</v>
      </c>
      <c r="K5" s="7">
        <f t="shared" si="2"/>
        <v>552691.34727905283</v>
      </c>
      <c r="L5" s="7">
        <f t="shared" si="2"/>
        <v>574799.00117021496</v>
      </c>
      <c r="M5" s="7">
        <f t="shared" si="2"/>
        <v>597790.96121702355</v>
      </c>
      <c r="N5" s="7">
        <f t="shared" si="2"/>
        <v>621702.59966570453</v>
      </c>
      <c r="O5" s="7">
        <f t="shared" si="2"/>
        <v>646570.70365233277</v>
      </c>
      <c r="P5" s="7">
        <f t="shared" si="2"/>
        <v>672433.53179842606</v>
      </c>
      <c r="Q5" s="7">
        <f t="shared" si="2"/>
        <v>699330.87307036307</v>
      </c>
      <c r="R5" s="7">
        <f t="shared" si="2"/>
        <v>727304.1079931776</v>
      </c>
      <c r="S5" s="7">
        <f t="shared" si="2"/>
        <v>756396.27231290471</v>
      </c>
      <c r="T5" s="7">
        <f t="shared" si="2"/>
        <v>786652.12320542091</v>
      </c>
      <c r="U5" s="7">
        <f t="shared" si="1"/>
        <v>818118.20813363779</v>
      </c>
      <c r="V5" s="7">
        <f t="shared" si="1"/>
        <v>850842.93645898334</v>
      </c>
      <c r="W5" s="7">
        <f t="shared" si="1"/>
        <v>884876.65391734266</v>
      </c>
    </row>
    <row r="6" spans="1:23" x14ac:dyDescent="0.25">
      <c r="A6" s="7" t="s">
        <v>116</v>
      </c>
      <c r="B6" s="17">
        <v>1</v>
      </c>
      <c r="C6" s="17"/>
      <c r="D6" s="7">
        <f>35000*12</f>
        <v>420000</v>
      </c>
      <c r="E6" s="7">
        <f t="shared" si="2"/>
        <v>436800</v>
      </c>
      <c r="F6" s="7">
        <f t="shared" si="2"/>
        <v>454272</v>
      </c>
      <c r="G6" s="7">
        <f t="shared" si="2"/>
        <v>472442.88</v>
      </c>
      <c r="H6" s="7">
        <f t="shared" si="2"/>
        <v>491340.59519999998</v>
      </c>
      <c r="I6" s="7">
        <f t="shared" si="2"/>
        <v>510994.21900799999</v>
      </c>
      <c r="J6" s="7">
        <f t="shared" si="2"/>
        <v>531433.98776832002</v>
      </c>
      <c r="K6" s="7">
        <f t="shared" si="2"/>
        <v>552691.34727905283</v>
      </c>
      <c r="L6" s="7">
        <f t="shared" si="2"/>
        <v>574799.00117021496</v>
      </c>
      <c r="M6" s="7">
        <f t="shared" si="2"/>
        <v>597790.96121702355</v>
      </c>
      <c r="N6" s="7">
        <f t="shared" si="2"/>
        <v>621702.59966570453</v>
      </c>
      <c r="O6" s="7">
        <f t="shared" si="2"/>
        <v>646570.70365233277</v>
      </c>
      <c r="P6" s="7">
        <f t="shared" si="2"/>
        <v>672433.53179842606</v>
      </c>
      <c r="Q6" s="7">
        <f t="shared" si="2"/>
        <v>699330.87307036307</v>
      </c>
      <c r="R6" s="7">
        <f t="shared" si="2"/>
        <v>727304.1079931776</v>
      </c>
      <c r="S6" s="7">
        <f t="shared" si="2"/>
        <v>756396.27231290471</v>
      </c>
      <c r="T6" s="7">
        <f t="shared" si="2"/>
        <v>786652.12320542091</v>
      </c>
      <c r="U6" s="7">
        <f t="shared" si="1"/>
        <v>818118.20813363779</v>
      </c>
      <c r="V6" s="7">
        <f t="shared" si="1"/>
        <v>850842.93645898334</v>
      </c>
      <c r="W6" s="7">
        <f t="shared" si="1"/>
        <v>884876.65391734266</v>
      </c>
    </row>
    <row r="7" spans="1:23" x14ac:dyDescent="0.25">
      <c r="A7" s="7" t="s">
        <v>117</v>
      </c>
      <c r="B7" s="17">
        <v>1</v>
      </c>
      <c r="C7" s="17"/>
      <c r="D7" s="7">
        <f>35000*12</f>
        <v>420000</v>
      </c>
      <c r="E7" s="7">
        <f t="shared" si="2"/>
        <v>436800</v>
      </c>
      <c r="F7" s="7">
        <f t="shared" si="2"/>
        <v>454272</v>
      </c>
      <c r="G7" s="7">
        <f t="shared" si="2"/>
        <v>472442.88</v>
      </c>
      <c r="H7" s="7">
        <f t="shared" si="2"/>
        <v>491340.59519999998</v>
      </c>
      <c r="I7" s="7">
        <f t="shared" si="2"/>
        <v>510994.21900799999</v>
      </c>
      <c r="J7" s="7">
        <f t="shared" si="2"/>
        <v>531433.98776832002</v>
      </c>
      <c r="K7" s="7">
        <f t="shared" si="2"/>
        <v>552691.34727905283</v>
      </c>
      <c r="L7" s="7">
        <f t="shared" si="2"/>
        <v>574799.00117021496</v>
      </c>
      <c r="M7" s="7">
        <f t="shared" si="2"/>
        <v>597790.96121702355</v>
      </c>
      <c r="N7" s="7">
        <f t="shared" si="2"/>
        <v>621702.59966570453</v>
      </c>
      <c r="O7" s="7">
        <f t="shared" si="2"/>
        <v>646570.70365233277</v>
      </c>
      <c r="P7" s="7">
        <f t="shared" si="2"/>
        <v>672433.53179842606</v>
      </c>
      <c r="Q7" s="7">
        <f t="shared" si="2"/>
        <v>699330.87307036307</v>
      </c>
      <c r="R7" s="7">
        <f t="shared" si="2"/>
        <v>727304.1079931776</v>
      </c>
      <c r="S7" s="7">
        <f t="shared" si="2"/>
        <v>756396.27231290471</v>
      </c>
      <c r="T7" s="7">
        <f t="shared" si="2"/>
        <v>786652.12320542091</v>
      </c>
      <c r="U7" s="7">
        <f t="shared" si="1"/>
        <v>818118.20813363779</v>
      </c>
      <c r="V7" s="7">
        <f t="shared" si="1"/>
        <v>850842.93645898334</v>
      </c>
      <c r="W7" s="7">
        <f t="shared" si="1"/>
        <v>884876.65391734266</v>
      </c>
    </row>
    <row r="8" spans="1:23" x14ac:dyDescent="0.25">
      <c r="A8" s="7"/>
      <c r="B8" s="17"/>
      <c r="C8" s="1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5">
      <c r="A9" s="7" t="s">
        <v>118</v>
      </c>
      <c r="B9" s="17">
        <v>1</v>
      </c>
      <c r="C9" s="17"/>
      <c r="D9" s="7">
        <f>20000*12</f>
        <v>240000</v>
      </c>
      <c r="E9" s="7">
        <f>D9+(D9*0.05)</f>
        <v>252000</v>
      </c>
      <c r="F9" s="7">
        <f t="shared" ref="F9:W9" si="3">E9+(E9*0.05)</f>
        <v>264600</v>
      </c>
      <c r="G9" s="7">
        <f t="shared" si="3"/>
        <v>277830</v>
      </c>
      <c r="H9" s="7">
        <f t="shared" si="3"/>
        <v>291721.5</v>
      </c>
      <c r="I9" s="7">
        <f t="shared" si="3"/>
        <v>306307.57500000001</v>
      </c>
      <c r="J9" s="7">
        <f t="shared" si="3"/>
        <v>321622.95374999999</v>
      </c>
      <c r="K9" s="7">
        <f t="shared" si="3"/>
        <v>337704.10143749998</v>
      </c>
      <c r="L9" s="7">
        <f t="shared" si="3"/>
        <v>354589.30650937499</v>
      </c>
      <c r="M9" s="7">
        <f t="shared" si="3"/>
        <v>372318.77183484373</v>
      </c>
      <c r="N9" s="7">
        <f t="shared" si="3"/>
        <v>390934.71042658592</v>
      </c>
      <c r="O9" s="7">
        <f t="shared" si="3"/>
        <v>410481.4459479152</v>
      </c>
      <c r="P9" s="7">
        <f t="shared" si="3"/>
        <v>431005.51824531099</v>
      </c>
      <c r="Q9" s="7">
        <f t="shared" si="3"/>
        <v>452555.79415757651</v>
      </c>
      <c r="R9" s="7">
        <f t="shared" si="3"/>
        <v>475183.58386545535</v>
      </c>
      <c r="S9" s="7">
        <f t="shared" si="3"/>
        <v>498942.76305872813</v>
      </c>
      <c r="T9" s="7">
        <f t="shared" si="3"/>
        <v>523889.90121166455</v>
      </c>
      <c r="U9" s="7">
        <f t="shared" si="3"/>
        <v>550084.39627224777</v>
      </c>
      <c r="V9" s="7">
        <f t="shared" si="3"/>
        <v>577588.61608586018</v>
      </c>
      <c r="W9" s="7">
        <f t="shared" si="3"/>
        <v>606468.0468901532</v>
      </c>
    </row>
    <row r="10" spans="1:23" ht="75" x14ac:dyDescent="0.25">
      <c r="A10" s="7" t="s">
        <v>119</v>
      </c>
      <c r="B10" s="17">
        <v>3</v>
      </c>
      <c r="C10" s="18" t="s">
        <v>120</v>
      </c>
      <c r="D10" s="7">
        <f>14000*12*3</f>
        <v>504000</v>
      </c>
      <c r="E10" s="7">
        <f>D10+(D10*0.05)</f>
        <v>529200</v>
      </c>
      <c r="F10" s="7">
        <f t="shared" ref="F10:W10" si="4">E10+(E10*0.05)</f>
        <v>555660</v>
      </c>
      <c r="G10" s="7">
        <f t="shared" si="4"/>
        <v>583443</v>
      </c>
      <c r="H10" s="7">
        <f t="shared" si="4"/>
        <v>612615.15</v>
      </c>
      <c r="I10" s="7">
        <f t="shared" si="4"/>
        <v>643245.90749999997</v>
      </c>
      <c r="J10" s="7">
        <f t="shared" si="4"/>
        <v>675408.20287499996</v>
      </c>
      <c r="K10" s="7">
        <f t="shared" si="4"/>
        <v>709178.61301874998</v>
      </c>
      <c r="L10" s="7">
        <f t="shared" si="4"/>
        <v>744637.54366968747</v>
      </c>
      <c r="M10" s="7">
        <f t="shared" si="4"/>
        <v>781869.42085317185</v>
      </c>
      <c r="N10" s="7">
        <f t="shared" si="4"/>
        <v>820962.8918958304</v>
      </c>
      <c r="O10" s="7">
        <f t="shared" si="4"/>
        <v>862011.03649062198</v>
      </c>
      <c r="P10" s="7">
        <f t="shared" si="4"/>
        <v>905111.58831515303</v>
      </c>
      <c r="Q10" s="7">
        <f t="shared" si="4"/>
        <v>950367.1677309107</v>
      </c>
      <c r="R10" s="7">
        <f t="shared" si="4"/>
        <v>997885.52611745626</v>
      </c>
      <c r="S10" s="7">
        <f t="shared" si="4"/>
        <v>1047779.8024233291</v>
      </c>
      <c r="T10" s="7">
        <f t="shared" si="4"/>
        <v>1100168.7925444955</v>
      </c>
      <c r="U10" s="7">
        <f t="shared" si="4"/>
        <v>1155177.2321717204</v>
      </c>
      <c r="V10" s="7">
        <f t="shared" si="4"/>
        <v>1212936.0937803064</v>
      </c>
      <c r="W10" s="7">
        <f t="shared" si="4"/>
        <v>1273582.8984693217</v>
      </c>
    </row>
    <row r="11" spans="1:23" ht="105" x14ac:dyDescent="0.25">
      <c r="A11" s="7" t="s">
        <v>121</v>
      </c>
      <c r="B11" s="17">
        <v>25</v>
      </c>
      <c r="C11" s="17" t="s">
        <v>122</v>
      </c>
      <c r="D11" s="7">
        <f>7500*12*25</f>
        <v>2250000</v>
      </c>
      <c r="E11" s="7">
        <f>D11+(D11*0.1)</f>
        <v>2475000</v>
      </c>
      <c r="F11" s="7">
        <f t="shared" ref="F11:W11" si="5">E11+(E11*0.1)</f>
        <v>2722500</v>
      </c>
      <c r="G11" s="7">
        <f t="shared" si="5"/>
        <v>2994750</v>
      </c>
      <c r="H11" s="7">
        <f t="shared" si="5"/>
        <v>3294225</v>
      </c>
      <c r="I11" s="7">
        <f t="shared" si="5"/>
        <v>3623647.5</v>
      </c>
      <c r="J11" s="7">
        <f t="shared" si="5"/>
        <v>3986012.25</v>
      </c>
      <c r="K11" s="7">
        <f t="shared" si="5"/>
        <v>4384613.4749999996</v>
      </c>
      <c r="L11" s="7">
        <f t="shared" si="5"/>
        <v>4823074.8224999998</v>
      </c>
      <c r="M11" s="7">
        <f t="shared" si="5"/>
        <v>5305382.3047500001</v>
      </c>
      <c r="N11" s="7">
        <f t="shared" si="5"/>
        <v>5835920.5352250002</v>
      </c>
      <c r="O11" s="7">
        <f t="shared" si="5"/>
        <v>6419512.5887475004</v>
      </c>
      <c r="P11" s="7">
        <f t="shared" si="5"/>
        <v>7061463.8476222502</v>
      </c>
      <c r="Q11" s="7">
        <f t="shared" si="5"/>
        <v>7767610.2323844749</v>
      </c>
      <c r="R11" s="7">
        <f t="shared" si="5"/>
        <v>8544371.2556229234</v>
      </c>
      <c r="S11" s="7">
        <f t="shared" si="5"/>
        <v>9398808.381185215</v>
      </c>
      <c r="T11" s="7">
        <f t="shared" si="5"/>
        <v>10338689.219303736</v>
      </c>
      <c r="U11" s="7">
        <f t="shared" si="5"/>
        <v>11372558.141234111</v>
      </c>
      <c r="V11" s="7">
        <f t="shared" si="5"/>
        <v>12509813.955357522</v>
      </c>
      <c r="W11" s="7">
        <f t="shared" si="5"/>
        <v>13760795.350893274</v>
      </c>
    </row>
    <row r="12" spans="1:23" x14ac:dyDescent="0.25">
      <c r="A12" s="7" t="s">
        <v>123</v>
      </c>
      <c r="B12" s="17">
        <v>50</v>
      </c>
      <c r="C12" s="17"/>
      <c r="D12" s="7">
        <f>6000*12*50</f>
        <v>3600000</v>
      </c>
      <c r="E12" s="7">
        <f>D12+(D12*0.1)</f>
        <v>3960000</v>
      </c>
      <c r="F12" s="7">
        <f t="shared" ref="F12:W12" si="6">E12+(E12*0.1)</f>
        <v>4356000</v>
      </c>
      <c r="G12" s="7">
        <f t="shared" si="6"/>
        <v>4791600</v>
      </c>
      <c r="H12" s="7">
        <f t="shared" si="6"/>
        <v>5270760</v>
      </c>
      <c r="I12" s="7">
        <f t="shared" si="6"/>
        <v>5797836</v>
      </c>
      <c r="J12" s="7">
        <f t="shared" si="6"/>
        <v>6377619.5999999996</v>
      </c>
      <c r="K12" s="7">
        <f t="shared" si="6"/>
        <v>7015381.5599999996</v>
      </c>
      <c r="L12" s="7">
        <f t="shared" si="6"/>
        <v>7716919.716</v>
      </c>
      <c r="M12" s="7">
        <f t="shared" si="6"/>
        <v>8488611.6875999998</v>
      </c>
      <c r="N12" s="7">
        <f t="shared" si="6"/>
        <v>9337472.8563599996</v>
      </c>
      <c r="O12" s="7">
        <f t="shared" si="6"/>
        <v>10271220.141996</v>
      </c>
      <c r="P12" s="7">
        <f t="shared" si="6"/>
        <v>11298342.1561956</v>
      </c>
      <c r="Q12" s="7">
        <f t="shared" si="6"/>
        <v>12428176.37181516</v>
      </c>
      <c r="R12" s="7">
        <f t="shared" si="6"/>
        <v>13670994.008996677</v>
      </c>
      <c r="S12" s="7">
        <f t="shared" si="6"/>
        <v>15038093.409896344</v>
      </c>
      <c r="T12" s="7">
        <f t="shared" si="6"/>
        <v>16541902.750885978</v>
      </c>
      <c r="U12" s="7">
        <f t="shared" si="6"/>
        <v>18196093.025974575</v>
      </c>
      <c r="V12" s="7">
        <f t="shared" si="6"/>
        <v>20015702.328572035</v>
      </c>
      <c r="W12" s="7">
        <f t="shared" si="6"/>
        <v>22017272.56142924</v>
      </c>
    </row>
    <row r="13" spans="1:23" x14ac:dyDescent="0.25">
      <c r="A13" s="7" t="s">
        <v>124</v>
      </c>
      <c r="B13" s="17">
        <v>25</v>
      </c>
      <c r="C13" s="17"/>
      <c r="D13" s="7">
        <f>6500*12*25</f>
        <v>1950000</v>
      </c>
      <c r="E13" s="7">
        <f>D13+(D13*0.1)</f>
        <v>2145000</v>
      </c>
      <c r="F13" s="7">
        <f t="shared" ref="F13:W13" si="7">E13+(E13*0.1)</f>
        <v>2359500</v>
      </c>
      <c r="G13" s="7">
        <f t="shared" si="7"/>
        <v>2595450</v>
      </c>
      <c r="H13" s="7">
        <f t="shared" si="7"/>
        <v>2854995</v>
      </c>
      <c r="I13" s="7">
        <f t="shared" si="7"/>
        <v>3140494.5</v>
      </c>
      <c r="J13" s="7">
        <f t="shared" si="7"/>
        <v>3454543.95</v>
      </c>
      <c r="K13" s="7">
        <f t="shared" si="7"/>
        <v>3799998.3450000002</v>
      </c>
      <c r="L13" s="7">
        <f t="shared" si="7"/>
        <v>4179998.1795000001</v>
      </c>
      <c r="M13" s="7">
        <f t="shared" si="7"/>
        <v>4597997.9974499997</v>
      </c>
      <c r="N13" s="7">
        <f t="shared" si="7"/>
        <v>5057797.7971949996</v>
      </c>
      <c r="O13" s="7">
        <f t="shared" si="7"/>
        <v>5563577.5769144995</v>
      </c>
      <c r="P13" s="7">
        <f t="shared" si="7"/>
        <v>6119935.334605949</v>
      </c>
      <c r="Q13" s="7">
        <f t="shared" si="7"/>
        <v>6731928.8680665437</v>
      </c>
      <c r="R13" s="7">
        <f t="shared" si="7"/>
        <v>7405121.7548731985</v>
      </c>
      <c r="S13" s="7">
        <f t="shared" si="7"/>
        <v>8145633.9303605184</v>
      </c>
      <c r="T13" s="7">
        <f t="shared" si="7"/>
        <v>8960197.323396571</v>
      </c>
      <c r="U13" s="7">
        <f t="shared" si="7"/>
        <v>9856217.0557362288</v>
      </c>
      <c r="V13" s="7">
        <f t="shared" si="7"/>
        <v>10841838.761309851</v>
      </c>
      <c r="W13" s="7">
        <f t="shared" si="7"/>
        <v>11926022.637440836</v>
      </c>
    </row>
    <row r="14" spans="1:23" x14ac:dyDescent="0.25">
      <c r="A14" s="7" t="s">
        <v>125</v>
      </c>
      <c r="B14" s="17">
        <v>25</v>
      </c>
      <c r="C14" s="17"/>
      <c r="D14" s="7">
        <f>5000*12*25</f>
        <v>1500000</v>
      </c>
      <c r="E14" s="7">
        <f>D14+(D14*0.1)</f>
        <v>1650000</v>
      </c>
      <c r="F14" s="7">
        <f t="shared" ref="F14:W14" si="8">E14+(E14*0.1)</f>
        <v>1815000</v>
      </c>
      <c r="G14" s="7">
        <f t="shared" si="8"/>
        <v>1996500</v>
      </c>
      <c r="H14" s="7">
        <f t="shared" si="8"/>
        <v>2196150</v>
      </c>
      <c r="I14" s="7">
        <f t="shared" si="8"/>
        <v>2415765</v>
      </c>
      <c r="J14" s="7">
        <f t="shared" si="8"/>
        <v>2657341.5</v>
      </c>
      <c r="K14" s="7">
        <f t="shared" si="8"/>
        <v>2923075.65</v>
      </c>
      <c r="L14" s="7">
        <f t="shared" si="8"/>
        <v>3215383.2149999999</v>
      </c>
      <c r="M14" s="7">
        <f t="shared" si="8"/>
        <v>3536921.5364999999</v>
      </c>
      <c r="N14" s="7">
        <f t="shared" si="8"/>
        <v>3890613.6901500002</v>
      </c>
      <c r="O14" s="7">
        <f t="shared" si="8"/>
        <v>4279675.059165</v>
      </c>
      <c r="P14" s="7">
        <f t="shared" si="8"/>
        <v>4707642.5650814995</v>
      </c>
      <c r="Q14" s="7">
        <f t="shared" si="8"/>
        <v>5178406.8215896497</v>
      </c>
      <c r="R14" s="7">
        <f t="shared" si="8"/>
        <v>5696247.5037486143</v>
      </c>
      <c r="S14" s="7">
        <f t="shared" si="8"/>
        <v>6265872.2541234754</v>
      </c>
      <c r="T14" s="7">
        <f t="shared" si="8"/>
        <v>6892459.4795358228</v>
      </c>
      <c r="U14" s="7">
        <f t="shared" si="8"/>
        <v>7581705.4274894055</v>
      </c>
      <c r="V14" s="7">
        <f t="shared" si="8"/>
        <v>8339875.9702383466</v>
      </c>
      <c r="W14" s="7">
        <f t="shared" si="8"/>
        <v>9173863.567262182</v>
      </c>
    </row>
    <row r="15" spans="1:23" x14ac:dyDescent="0.25">
      <c r="A15" s="7"/>
      <c r="B15" s="17"/>
      <c r="C15" s="1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A16" s="7"/>
      <c r="B16" s="17"/>
      <c r="C16" s="1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4" s="5" customFormat="1" ht="30" x14ac:dyDescent="0.25">
      <c r="A17" s="8" t="s">
        <v>126</v>
      </c>
      <c r="B17" s="16"/>
      <c r="C17" s="16" t="s">
        <v>127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4" x14ac:dyDescent="0.25">
      <c r="A18" s="7"/>
      <c r="B18" s="17"/>
      <c r="C18" s="1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4" x14ac:dyDescent="0.25">
      <c r="A19" s="7" t="s">
        <v>128</v>
      </c>
      <c r="B19" s="17">
        <v>20</v>
      </c>
      <c r="C19" s="17"/>
      <c r="D19" s="7">
        <f>75000*20</f>
        <v>1500000</v>
      </c>
      <c r="E19" s="7">
        <f>D19+D19*0.1</f>
        <v>1650000</v>
      </c>
      <c r="F19" s="7">
        <f t="shared" ref="F19:W23" si="9">E19+E19*0.1</f>
        <v>1815000</v>
      </c>
      <c r="G19" s="7">
        <f t="shared" si="9"/>
        <v>1996500</v>
      </c>
      <c r="H19" s="7">
        <f t="shared" si="9"/>
        <v>2196150</v>
      </c>
      <c r="I19" s="7">
        <f t="shared" si="9"/>
        <v>2415765</v>
      </c>
      <c r="J19" s="7">
        <f t="shared" si="9"/>
        <v>2657341.5</v>
      </c>
      <c r="K19" s="7">
        <f t="shared" si="9"/>
        <v>2923075.65</v>
      </c>
      <c r="L19" s="7">
        <f t="shared" si="9"/>
        <v>3215383.2149999999</v>
      </c>
      <c r="M19" s="7">
        <f t="shared" si="9"/>
        <v>3536921.5364999999</v>
      </c>
      <c r="N19" s="7">
        <f t="shared" si="9"/>
        <v>3890613.6901500002</v>
      </c>
      <c r="O19" s="7">
        <f t="shared" si="9"/>
        <v>4279675.059165</v>
      </c>
      <c r="P19" s="7">
        <f t="shared" si="9"/>
        <v>4707642.5650814995</v>
      </c>
      <c r="Q19" s="7">
        <f t="shared" si="9"/>
        <v>5178406.8215896497</v>
      </c>
      <c r="R19" s="7">
        <f t="shared" si="9"/>
        <v>5696247.5037486143</v>
      </c>
      <c r="S19" s="7">
        <f t="shared" si="9"/>
        <v>6265872.2541234754</v>
      </c>
      <c r="T19" s="7">
        <f t="shared" si="9"/>
        <v>6892459.4795358228</v>
      </c>
      <c r="U19" s="7">
        <f t="shared" si="9"/>
        <v>7581705.4274894055</v>
      </c>
      <c r="V19" s="7">
        <f t="shared" si="9"/>
        <v>8339875.9702383466</v>
      </c>
      <c r="W19" s="7">
        <f t="shared" si="9"/>
        <v>9173863.567262182</v>
      </c>
    </row>
    <row r="20" spans="1:24" x14ac:dyDescent="0.25">
      <c r="A20" s="7" t="s">
        <v>129</v>
      </c>
      <c r="B20" s="17">
        <v>10</v>
      </c>
      <c r="C20" s="17"/>
      <c r="D20" s="7">
        <f>85000*10</f>
        <v>850000</v>
      </c>
      <c r="E20" s="7">
        <f t="shared" ref="E20:T23" si="10">D20+D20*0.1</f>
        <v>935000</v>
      </c>
      <c r="F20" s="7">
        <f t="shared" si="10"/>
        <v>1028500</v>
      </c>
      <c r="G20" s="7">
        <f t="shared" si="10"/>
        <v>1131350</v>
      </c>
      <c r="H20" s="7">
        <f t="shared" si="10"/>
        <v>1244485</v>
      </c>
      <c r="I20" s="7">
        <f t="shared" si="10"/>
        <v>1368933.5</v>
      </c>
      <c r="J20" s="7">
        <f t="shared" si="10"/>
        <v>1505826.85</v>
      </c>
      <c r="K20" s="7">
        <f t="shared" si="10"/>
        <v>1656409.5350000001</v>
      </c>
      <c r="L20" s="7">
        <f t="shared" si="10"/>
        <v>1822050.4885000002</v>
      </c>
      <c r="M20" s="7">
        <f t="shared" si="10"/>
        <v>2004255.5373500003</v>
      </c>
      <c r="N20" s="7">
        <f t="shared" si="10"/>
        <v>2204681.0910850004</v>
      </c>
      <c r="O20" s="7">
        <f t="shared" si="10"/>
        <v>2425149.2001935006</v>
      </c>
      <c r="P20" s="7">
        <f t="shared" si="10"/>
        <v>2667664.1202128506</v>
      </c>
      <c r="Q20" s="7">
        <f t="shared" si="10"/>
        <v>2934430.5322341355</v>
      </c>
      <c r="R20" s="7">
        <f t="shared" si="10"/>
        <v>3227873.585457549</v>
      </c>
      <c r="S20" s="7">
        <f t="shared" si="10"/>
        <v>3550660.944003304</v>
      </c>
      <c r="T20" s="7">
        <f t="shared" si="10"/>
        <v>3905727.0384036344</v>
      </c>
      <c r="U20" s="7">
        <f t="shared" si="9"/>
        <v>4296299.7422439978</v>
      </c>
      <c r="V20" s="7">
        <f t="shared" si="9"/>
        <v>4725929.7164683975</v>
      </c>
      <c r="W20" s="7">
        <f t="shared" si="9"/>
        <v>5198522.6881152373</v>
      </c>
    </row>
    <row r="21" spans="1:24" x14ac:dyDescent="0.25">
      <c r="A21" s="7" t="s">
        <v>130</v>
      </c>
      <c r="B21" s="17">
        <v>20</v>
      </c>
      <c r="C21" s="17"/>
      <c r="D21" s="7">
        <f>20*85000</f>
        <v>1700000</v>
      </c>
      <c r="E21" s="7">
        <f t="shared" si="10"/>
        <v>1870000</v>
      </c>
      <c r="F21" s="7">
        <f t="shared" si="10"/>
        <v>2057000</v>
      </c>
      <c r="G21" s="7">
        <f t="shared" si="10"/>
        <v>2262700</v>
      </c>
      <c r="H21" s="7">
        <f t="shared" si="10"/>
        <v>2488970</v>
      </c>
      <c r="I21" s="7">
        <f t="shared" si="10"/>
        <v>2737867</v>
      </c>
      <c r="J21" s="7">
        <f t="shared" si="10"/>
        <v>3011653.7</v>
      </c>
      <c r="K21" s="7">
        <f t="shared" si="10"/>
        <v>3312819.0700000003</v>
      </c>
      <c r="L21" s="7">
        <f t="shared" si="10"/>
        <v>3644100.9770000004</v>
      </c>
      <c r="M21" s="7">
        <f t="shared" si="10"/>
        <v>4008511.0747000007</v>
      </c>
      <c r="N21" s="7">
        <f t="shared" si="10"/>
        <v>4409362.1821700009</v>
      </c>
      <c r="O21" s="7">
        <f t="shared" si="10"/>
        <v>4850298.4003870012</v>
      </c>
      <c r="P21" s="7">
        <f t="shared" si="10"/>
        <v>5335328.2404257013</v>
      </c>
      <c r="Q21" s="7">
        <f t="shared" si="10"/>
        <v>5868861.0644682711</v>
      </c>
      <c r="R21" s="7">
        <f t="shared" si="10"/>
        <v>6455747.1709150979</v>
      </c>
      <c r="S21" s="7">
        <f t="shared" si="10"/>
        <v>7101321.888006608</v>
      </c>
      <c r="T21" s="7">
        <f t="shared" si="10"/>
        <v>7811454.0768072689</v>
      </c>
      <c r="U21" s="7">
        <f t="shared" si="9"/>
        <v>8592599.4844879955</v>
      </c>
      <c r="V21" s="7">
        <f t="shared" si="9"/>
        <v>9451859.4329367951</v>
      </c>
      <c r="W21" s="7">
        <f t="shared" si="9"/>
        <v>10397045.376230475</v>
      </c>
    </row>
    <row r="22" spans="1:24" x14ac:dyDescent="0.25">
      <c r="A22" s="7" t="s">
        <v>131</v>
      </c>
      <c r="B22" s="17">
        <v>15</v>
      </c>
      <c r="C22" s="17"/>
      <c r="D22" s="7">
        <f>15*80000</f>
        <v>1200000</v>
      </c>
      <c r="E22" s="7">
        <f t="shared" si="10"/>
        <v>1320000</v>
      </c>
      <c r="F22" s="7">
        <f t="shared" si="10"/>
        <v>1452000</v>
      </c>
      <c r="G22" s="7">
        <f t="shared" si="10"/>
        <v>1597200</v>
      </c>
      <c r="H22" s="7">
        <f t="shared" si="10"/>
        <v>1756920</v>
      </c>
      <c r="I22" s="7">
        <f t="shared" si="10"/>
        <v>1932612</v>
      </c>
      <c r="J22" s="7">
        <f t="shared" si="10"/>
        <v>2125873.2000000002</v>
      </c>
      <c r="K22" s="7">
        <f t="shared" si="10"/>
        <v>2338460.52</v>
      </c>
      <c r="L22" s="7">
        <f t="shared" si="10"/>
        <v>2572306.5720000002</v>
      </c>
      <c r="M22" s="7">
        <f t="shared" si="10"/>
        <v>2829537.2291999999</v>
      </c>
      <c r="N22" s="7">
        <f t="shared" si="10"/>
        <v>3112490.95212</v>
      </c>
      <c r="O22" s="7">
        <f t="shared" si="10"/>
        <v>3423740.047332</v>
      </c>
      <c r="P22" s="7">
        <f t="shared" si="10"/>
        <v>3766114.0520652002</v>
      </c>
      <c r="Q22" s="7">
        <f t="shared" si="10"/>
        <v>4142725.4572717203</v>
      </c>
      <c r="R22" s="7">
        <f t="shared" si="10"/>
        <v>4556998.0029988922</v>
      </c>
      <c r="S22" s="7">
        <f t="shared" si="10"/>
        <v>5012697.8032987816</v>
      </c>
      <c r="T22" s="7">
        <f t="shared" si="10"/>
        <v>5513967.5836286601</v>
      </c>
      <c r="U22" s="7">
        <f t="shared" si="9"/>
        <v>6065364.3419915261</v>
      </c>
      <c r="V22" s="7">
        <f t="shared" si="9"/>
        <v>6671900.7761906786</v>
      </c>
      <c r="W22" s="7">
        <f t="shared" si="9"/>
        <v>7339090.853809746</v>
      </c>
    </row>
    <row r="23" spans="1:24" x14ac:dyDescent="0.25">
      <c r="A23" s="7" t="s">
        <v>132</v>
      </c>
      <c r="B23" s="17">
        <v>15</v>
      </c>
      <c r="C23" s="17"/>
      <c r="D23" s="7">
        <f>85000*15</f>
        <v>1275000</v>
      </c>
      <c r="E23" s="7">
        <f t="shared" si="10"/>
        <v>1402500</v>
      </c>
      <c r="F23" s="7">
        <f t="shared" si="10"/>
        <v>1542750</v>
      </c>
      <c r="G23" s="7">
        <f t="shared" si="10"/>
        <v>1697025</v>
      </c>
      <c r="H23" s="7">
        <f t="shared" si="10"/>
        <v>1866727.5</v>
      </c>
      <c r="I23" s="7">
        <f t="shared" si="10"/>
        <v>2053400.25</v>
      </c>
      <c r="J23" s="7">
        <f t="shared" si="10"/>
        <v>2258740.2749999999</v>
      </c>
      <c r="K23" s="7">
        <f t="shared" si="10"/>
        <v>2484614.3024999998</v>
      </c>
      <c r="L23" s="7">
        <f t="shared" si="10"/>
        <v>2733075.7327499995</v>
      </c>
      <c r="M23" s="7">
        <f t="shared" si="10"/>
        <v>3006383.3060249994</v>
      </c>
      <c r="N23" s="7">
        <f t="shared" si="10"/>
        <v>3307021.6366274995</v>
      </c>
      <c r="O23" s="7">
        <f t="shared" si="10"/>
        <v>3637723.8002902493</v>
      </c>
      <c r="P23" s="7">
        <f t="shared" si="10"/>
        <v>4001496.1803192743</v>
      </c>
      <c r="Q23" s="7">
        <f t="shared" si="10"/>
        <v>4401645.7983512022</v>
      </c>
      <c r="R23" s="7">
        <f t="shared" si="10"/>
        <v>4841810.3781863227</v>
      </c>
      <c r="S23" s="7">
        <f t="shared" si="10"/>
        <v>5325991.4160049548</v>
      </c>
      <c r="T23" s="7">
        <f t="shared" si="10"/>
        <v>5858590.55760545</v>
      </c>
      <c r="U23" s="7">
        <f t="shared" si="9"/>
        <v>6444449.6133659948</v>
      </c>
      <c r="V23" s="7">
        <f t="shared" si="9"/>
        <v>7088894.5747025944</v>
      </c>
      <c r="W23" s="7">
        <f t="shared" si="9"/>
        <v>7797784.0321728541</v>
      </c>
    </row>
    <row r="24" spans="1:24" s="5" customFormat="1" x14ac:dyDescent="0.25">
      <c r="A24" s="8" t="s">
        <v>82</v>
      </c>
      <c r="B24" s="16">
        <f>SUM(B2:B23)</f>
        <v>215</v>
      </c>
      <c r="C24" s="16"/>
      <c r="D24" s="16">
        <f t="shared" ref="D24:W24" si="11">SUM(D2:D23)</f>
        <v>19629000</v>
      </c>
      <c r="E24" s="16">
        <f t="shared" si="11"/>
        <v>21361500</v>
      </c>
      <c r="F24" s="16">
        <f t="shared" si="11"/>
        <v>23258334</v>
      </c>
      <c r="G24" s="16">
        <f t="shared" si="11"/>
        <v>25335580.32</v>
      </c>
      <c r="H24" s="16">
        <f t="shared" si="11"/>
        <v>27610910.5836</v>
      </c>
      <c r="I24" s="16">
        <f t="shared" si="11"/>
        <v>30103748.438868001</v>
      </c>
      <c r="J24" s="16">
        <f t="shared" si="11"/>
        <v>32835444.125134438</v>
      </c>
      <c r="K24" s="16">
        <f t="shared" si="11"/>
        <v>35829466.469159387</v>
      </c>
      <c r="L24" s="16">
        <f t="shared" si="11"/>
        <v>39111614.052412242</v>
      </c>
      <c r="M24" s="16">
        <f t="shared" si="11"/>
        <v>42710247.465324201</v>
      </c>
      <c r="N24" s="16">
        <f t="shared" si="11"/>
        <v>46656544.755903803</v>
      </c>
      <c r="O24" s="16">
        <f t="shared" si="11"/>
        <v>50984782.390786417</v>
      </c>
      <c r="P24" s="16">
        <f t="shared" si="11"/>
        <v>55732644.278534748</v>
      </c>
      <c r="Q24" s="16">
        <f t="shared" si="11"/>
        <v>60941561.659924597</v>
      </c>
      <c r="R24" s="16">
        <f t="shared" si="11"/>
        <v>66657086.950357594</v>
      </c>
      <c r="S24" s="16">
        <f t="shared" si="11"/>
        <v>72929304.927985996</v>
      </c>
      <c r="T24" s="16">
        <f t="shared" si="11"/>
        <v>79813285.000421047</v>
      </c>
      <c r="U24" s="16">
        <f t="shared" si="11"/>
        <v>87369578.656106293</v>
      </c>
      <c r="V24" s="16">
        <f t="shared" si="11"/>
        <v>95664766.616965935</v>
      </c>
      <c r="W24" s="16">
        <f t="shared" si="11"/>
        <v>104772060.66051625</v>
      </c>
      <c r="X24" s="10"/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428902-249d-4232-a63b-3794fead8dd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AFB71B4667BF41AA59AF49B000CC5D" ma:contentTypeVersion="14" ma:contentTypeDescription="Create a new document." ma:contentTypeScope="" ma:versionID="60b1f1cb484f4df65e390aa7aa8a3cbd">
  <xsd:schema xmlns:xsd="http://www.w3.org/2001/XMLSchema" xmlns:xs="http://www.w3.org/2001/XMLSchema" xmlns:p="http://schemas.microsoft.com/office/2006/metadata/properties" xmlns:ns3="15428902-249d-4232-a63b-3794fead8dd0" xmlns:ns4="4d0f1269-31a6-4374-bed8-ac5790ae34c6" targetNamespace="http://schemas.microsoft.com/office/2006/metadata/properties" ma:root="true" ma:fieldsID="d82b2d1e93790d7b47f5efab177a7588" ns3:_="" ns4:_="">
    <xsd:import namespace="15428902-249d-4232-a63b-3794fead8dd0"/>
    <xsd:import namespace="4d0f1269-31a6-4374-bed8-ac5790ae34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28902-249d-4232-a63b-3794fead8d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f1269-31a6-4374-bed8-ac5790ae34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EA23C1-CCA1-4DC9-9F9C-684E5EF03D4B}">
  <ds:schemaRefs>
    <ds:schemaRef ds:uri="http://schemas.microsoft.com/office/2006/metadata/properties"/>
    <ds:schemaRef ds:uri="http://schemas.microsoft.com/office/infopath/2007/PartnerControls"/>
    <ds:schemaRef ds:uri="15428902-249d-4232-a63b-3794fead8dd0"/>
  </ds:schemaRefs>
</ds:datastoreItem>
</file>

<file path=customXml/itemProps2.xml><?xml version="1.0" encoding="utf-8"?>
<ds:datastoreItem xmlns:ds="http://schemas.openxmlformats.org/officeDocument/2006/customXml" ds:itemID="{C8222388-5286-481F-8093-C4F29E3F34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9A0296-714A-4BCE-8ACE-61E3CDAE1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28902-249d-4232-a63b-3794fead8dd0"/>
    <ds:schemaRef ds:uri="4d0f1269-31a6-4374-bed8-ac5790ae34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ddd393a-e98a-4404-841f-c4becdd925a5}" enabled="0" method="" siteId="{4ddd393a-e98a-4404-841f-c4becdd925a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Feasibility</vt:lpstr>
      <vt:lpstr>List of costs</vt:lpstr>
      <vt:lpstr>Marketing</vt:lpstr>
      <vt:lpstr>Loan Default Mgt</vt:lpstr>
      <vt:lpstr>Rent &amp; Utilities</vt:lpstr>
      <vt:lpstr>CCA</vt:lpstr>
      <vt:lpstr>Initial setup costs</vt:lpstr>
      <vt:lpstr>Sheet 1</vt:lpstr>
      <vt:lpstr>Salaries</vt:lpstr>
      <vt:lpstr>Income</vt:lpstr>
      <vt:lpstr>Revenue 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RENJITH MATHEWS</dc:creator>
  <cp:keywords/>
  <dc:description/>
  <cp:lastModifiedBy>Shwetang Shantaram Dalvi</cp:lastModifiedBy>
  <cp:revision/>
  <dcterms:created xsi:type="dcterms:W3CDTF">2015-06-05T18:17:20Z</dcterms:created>
  <dcterms:modified xsi:type="dcterms:W3CDTF">2024-12-03T00:22:58Z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0x010100FDAFB71B4667BF41AA59AF49B000CC5D</vt:lpwstr>
  </property>
</Properties>
</file>