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C:\Users\shyam\Documents\Deoxyribonucleic Acids\"/>
    </mc:Choice>
  </mc:AlternateContent>
  <xr:revisionPtr revIDLastSave="0" documentId="13_ncr:1_{AE66B156-725F-405D-9F62-ADA0DA64A172}" xr6:coauthVersionLast="47" xr6:coauthVersionMax="47" xr10:uidLastSave="{00000000-0000-0000-0000-000000000000}"/>
  <bookViews>
    <workbookView xWindow="-93" yWindow="-93" windowWidth="25786" windowHeight="13986" tabRatio="684" xr2:uid="{00000000-000D-0000-FFFF-FFFF00000000}"/>
  </bookViews>
  <sheets>
    <sheet name="PCR" sheetId="1" r:id="rId1"/>
    <sheet name="Golden Gate" sheetId="22" r:id="rId2"/>
    <sheet name="DNA Digest, PO₄" sheetId="19" r:id="rId3"/>
    <sheet name="Transformations" sheetId="18" r:id="rId4"/>
    <sheet name="Sequencing" sheetId="20" r:id="rId5"/>
    <sheet name="DNA Conc" sheetId="16" r:id="rId6"/>
    <sheet name="Reagent Prep" sheetId="9" r:id="rId7"/>
    <sheet name="Serial Dilution" sheetId="10" r:id="rId8"/>
    <sheet name="Nonserial Dilution" sheetId="23" r:id="rId9"/>
    <sheet name="Change Log" sheetId="21" r:id="rId10"/>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20" i="23" l="1"/>
  <c r="AX20" i="23" s="1"/>
  <c r="AU20" i="23"/>
  <c r="AV20" i="23" s="1"/>
  <c r="AS20" i="23"/>
  <c r="AT20" i="23" s="1"/>
  <c r="AQ20" i="23"/>
  <c r="AN20" i="23"/>
  <c r="AY19" i="23"/>
  <c r="AZ19" i="23" s="1"/>
  <c r="AU19" i="23"/>
  <c r="AV19" i="23" s="1"/>
  <c r="AS19" i="23"/>
  <c r="AW19" i="23" s="1"/>
  <c r="AX19" i="23" s="1"/>
  <c r="AQ19" i="23"/>
  <c r="AN19" i="23"/>
  <c r="AU18" i="23"/>
  <c r="AV18" i="23" s="1"/>
  <c r="AS18" i="23"/>
  <c r="AY18" i="23" s="1"/>
  <c r="AZ18" i="23" s="1"/>
  <c r="AQ18" i="23"/>
  <c r="AN18" i="23"/>
  <c r="AY17" i="23"/>
  <c r="AZ17" i="23" s="1"/>
  <c r="AU17" i="23"/>
  <c r="AV17" i="23" s="1"/>
  <c r="AS17" i="23"/>
  <c r="AT17" i="23" s="1"/>
  <c r="AQ17" i="23"/>
  <c r="AN17" i="23"/>
  <c r="AW16" i="23"/>
  <c r="AX16" i="23" s="1"/>
  <c r="AU16" i="23"/>
  <c r="AV16" i="23" s="1"/>
  <c r="AS16" i="23"/>
  <c r="AT16" i="23" s="1"/>
  <c r="AQ16" i="23"/>
  <c r="AN16" i="23"/>
  <c r="AY15" i="23"/>
  <c r="AZ15" i="23" s="1"/>
  <c r="AU15" i="23"/>
  <c r="AV15" i="23" s="1"/>
  <c r="AS15" i="23"/>
  <c r="AW15" i="23" s="1"/>
  <c r="AX15" i="23" s="1"/>
  <c r="AQ15" i="23"/>
  <c r="AN15" i="23"/>
  <c r="AU14" i="23"/>
  <c r="AV14" i="23" s="1"/>
  <c r="AS14" i="23"/>
  <c r="AY14" i="23" s="1"/>
  <c r="AZ14" i="23" s="1"/>
  <c r="AQ14" i="23"/>
  <c r="AN14" i="23"/>
  <c r="AY13" i="23"/>
  <c r="AZ13" i="23" s="1"/>
  <c r="AW13" i="23"/>
  <c r="AX13" i="23" s="1"/>
  <c r="AU13" i="23"/>
  <c r="AV13" i="23" s="1"/>
  <c r="AS13" i="23"/>
  <c r="AT13" i="23" s="1"/>
  <c r="AQ13" i="23"/>
  <c r="AN13" i="23"/>
  <c r="AW12" i="23"/>
  <c r="AX12" i="23" s="1"/>
  <c r="AU12" i="23"/>
  <c r="AV12" i="23" s="1"/>
  <c r="AS12" i="23"/>
  <c r="AT12" i="23" s="1"/>
  <c r="AQ12" i="23"/>
  <c r="AN12" i="23"/>
  <c r="AY11" i="23"/>
  <c r="AZ11" i="23" s="1"/>
  <c r="AU11" i="23"/>
  <c r="AV11" i="23" s="1"/>
  <c r="AS11" i="23"/>
  <c r="AW11" i="23" s="1"/>
  <c r="AX11" i="23" s="1"/>
  <c r="AQ11" i="23"/>
  <c r="AN11" i="23"/>
  <c r="AU10" i="23"/>
  <c r="AV10" i="23" s="1"/>
  <c r="AS10" i="23"/>
  <c r="AY10" i="23" s="1"/>
  <c r="AZ10" i="23" s="1"/>
  <c r="AQ10" i="23"/>
  <c r="AN10" i="23"/>
  <c r="AY9" i="23"/>
  <c r="AZ9" i="23" s="1"/>
  <c r="AW9" i="23"/>
  <c r="AX9" i="23" s="1"/>
  <c r="AU9" i="23"/>
  <c r="AV9" i="23" s="1"/>
  <c r="AS9" i="23"/>
  <c r="AT9" i="23" s="1"/>
  <c r="AQ9" i="23"/>
  <c r="AN9" i="23"/>
  <c r="AW8" i="23"/>
  <c r="AX8" i="23" s="1"/>
  <c r="AU8" i="23"/>
  <c r="AV8" i="23" s="1"/>
  <c r="AS8" i="23"/>
  <c r="AT8" i="23" s="1"/>
  <c r="AQ8" i="23"/>
  <c r="AN8" i="23"/>
  <c r="AY7" i="23"/>
  <c r="AZ7" i="23" s="1"/>
  <c r="AU7" i="23"/>
  <c r="AV7" i="23" s="1"/>
  <c r="AS7" i="23"/>
  <c r="AW7" i="23" s="1"/>
  <c r="AX7" i="23" s="1"/>
  <c r="AQ7" i="23"/>
  <c r="AN7" i="23"/>
  <c r="AU6" i="23"/>
  <c r="AV6" i="23" s="1"/>
  <c r="AS6" i="23"/>
  <c r="AY6" i="23" s="1"/>
  <c r="AZ6" i="23" s="1"/>
  <c r="AN6" i="23"/>
  <c r="AW5" i="23"/>
  <c r="AV4" i="23"/>
  <c r="AZ4" i="23" s="1"/>
  <c r="AU4" i="23"/>
  <c r="AT4" i="23"/>
  <c r="AS4" i="23"/>
  <c r="AM4" i="23"/>
  <c r="AN4" i="23" s="1"/>
  <c r="AY3" i="23"/>
  <c r="AW3" i="23"/>
  <c r="AE20" i="23"/>
  <c r="AF20" i="23" s="1"/>
  <c r="AC20" i="23"/>
  <c r="AD20" i="23" s="1"/>
  <c r="AA20" i="23"/>
  <c r="AB20" i="23" s="1"/>
  <c r="Y20" i="23"/>
  <c r="V20" i="23"/>
  <c r="AG19" i="23"/>
  <c r="AH19" i="23" s="1"/>
  <c r="AC19" i="23"/>
  <c r="AD19" i="23" s="1"/>
  <c r="AA19" i="23"/>
  <c r="AE19" i="23" s="1"/>
  <c r="AF19" i="23" s="1"/>
  <c r="Y19" i="23"/>
  <c r="V19" i="23"/>
  <c r="AC18" i="23"/>
  <c r="AD18" i="23" s="1"/>
  <c r="AA18" i="23"/>
  <c r="AG18" i="23" s="1"/>
  <c r="AH18" i="23" s="1"/>
  <c r="Y18" i="23"/>
  <c r="V18" i="23"/>
  <c r="AE17" i="23"/>
  <c r="AF17" i="23" s="1"/>
  <c r="AC17" i="23"/>
  <c r="AD17" i="23" s="1"/>
  <c r="AA17" i="23"/>
  <c r="AB17" i="23" s="1"/>
  <c r="Y17" i="23"/>
  <c r="V17" i="23"/>
  <c r="AG16" i="23"/>
  <c r="AH16" i="23" s="1"/>
  <c r="AE16" i="23"/>
  <c r="AF16" i="23" s="1"/>
  <c r="AC16" i="23"/>
  <c r="AD16" i="23" s="1"/>
  <c r="AB16" i="23"/>
  <c r="AA16" i="23"/>
  <c r="Y16" i="23"/>
  <c r="V16" i="23"/>
  <c r="AG15" i="23"/>
  <c r="AH15" i="23" s="1"/>
  <c r="AD15" i="23"/>
  <c r="AC15" i="23"/>
  <c r="AA15" i="23"/>
  <c r="AE15" i="23" s="1"/>
  <c r="AF15" i="23" s="1"/>
  <c r="Y15" i="23"/>
  <c r="V15" i="23"/>
  <c r="AC14" i="23"/>
  <c r="AD14" i="23" s="1"/>
  <c r="AA14" i="23"/>
  <c r="AG14" i="23" s="1"/>
  <c r="AH14" i="23" s="1"/>
  <c r="Y14" i="23"/>
  <c r="V14" i="23"/>
  <c r="AE13" i="23"/>
  <c r="AF13" i="23" s="1"/>
  <c r="AC13" i="23"/>
  <c r="AD13" i="23" s="1"/>
  <c r="AA13" i="23"/>
  <c r="AB13" i="23" s="1"/>
  <c r="Y13" i="23"/>
  <c r="V13" i="23"/>
  <c r="AG12" i="23"/>
  <c r="AH12" i="23" s="1"/>
  <c r="AE12" i="23"/>
  <c r="AF12" i="23" s="1"/>
  <c r="AC12" i="23"/>
  <c r="AD12" i="23" s="1"/>
  <c r="AB12" i="23"/>
  <c r="AA12" i="23"/>
  <c r="Y12" i="23"/>
  <c r="V12" i="23"/>
  <c r="AC11" i="23"/>
  <c r="AA11" i="23"/>
  <c r="Y11" i="23"/>
  <c r="V11" i="23"/>
  <c r="AC10" i="23"/>
  <c r="AD10" i="23" s="1"/>
  <c r="AA10" i="23"/>
  <c r="Y10" i="23"/>
  <c r="V10" i="23"/>
  <c r="AC9" i="23"/>
  <c r="AA9" i="23"/>
  <c r="AB9" i="23" s="1"/>
  <c r="Y9" i="23"/>
  <c r="V9" i="23"/>
  <c r="AC8" i="23"/>
  <c r="AD8" i="23" s="1"/>
  <c r="AA8" i="23"/>
  <c r="Y8" i="23"/>
  <c r="V8" i="23"/>
  <c r="AB8" i="23" s="1"/>
  <c r="AC7" i="23"/>
  <c r="AA7" i="23"/>
  <c r="Y7" i="23"/>
  <c r="V7" i="23"/>
  <c r="AC6" i="23"/>
  <c r="AD6" i="23" s="1"/>
  <c r="AA6" i="23"/>
  <c r="V6" i="23"/>
  <c r="AE5" i="23"/>
  <c r="AD4" i="23"/>
  <c r="AH4" i="23" s="1"/>
  <c r="AG3" i="23"/>
  <c r="AE3" i="23"/>
  <c r="K45" i="23"/>
  <c r="L45" i="23" s="1"/>
  <c r="I45" i="23"/>
  <c r="O45" i="23" s="1"/>
  <c r="P45" i="23" s="1"/>
  <c r="K44" i="23"/>
  <c r="L44" i="23" s="1"/>
  <c r="I44" i="23"/>
  <c r="O44" i="23" s="1"/>
  <c r="P44" i="23" s="1"/>
  <c r="K43" i="23"/>
  <c r="L43" i="23" s="1"/>
  <c r="I43" i="23"/>
  <c r="O43" i="23" s="1"/>
  <c r="P43" i="23" s="1"/>
  <c r="K42" i="23"/>
  <c r="L42" i="23" s="1"/>
  <c r="I42" i="23"/>
  <c r="O42" i="23" s="1"/>
  <c r="P42" i="23" s="1"/>
  <c r="K41" i="23"/>
  <c r="L41" i="23" s="1"/>
  <c r="I41" i="23"/>
  <c r="O41" i="23" s="1"/>
  <c r="P41" i="23" s="1"/>
  <c r="K40" i="23"/>
  <c r="L40" i="23" s="1"/>
  <c r="I40" i="23"/>
  <c r="O40" i="23" s="1"/>
  <c r="P40" i="23" s="1"/>
  <c r="K39" i="23"/>
  <c r="L39" i="23" s="1"/>
  <c r="I39" i="23"/>
  <c r="O39" i="23" s="1"/>
  <c r="P39" i="23" s="1"/>
  <c r="K38" i="23"/>
  <c r="L38" i="23" s="1"/>
  <c r="I38" i="23"/>
  <c r="O38" i="23" s="1"/>
  <c r="P38" i="23" s="1"/>
  <c r="K37" i="23"/>
  <c r="L37" i="23" s="1"/>
  <c r="I37" i="23"/>
  <c r="O37" i="23" s="1"/>
  <c r="P37" i="23" s="1"/>
  <c r="K36" i="23"/>
  <c r="L36" i="23" s="1"/>
  <c r="I36" i="23"/>
  <c r="K35" i="23"/>
  <c r="L35" i="23" s="1"/>
  <c r="I35" i="23"/>
  <c r="K34" i="23"/>
  <c r="L34" i="23" s="1"/>
  <c r="I34" i="23"/>
  <c r="K33" i="23"/>
  <c r="L33" i="23" s="1"/>
  <c r="I33" i="23"/>
  <c r="K32" i="23"/>
  <c r="L32" i="23" s="1"/>
  <c r="I32" i="23"/>
  <c r="K31" i="23"/>
  <c r="L31" i="23" s="1"/>
  <c r="I31" i="23"/>
  <c r="L29" i="23"/>
  <c r="P29" i="23" s="1"/>
  <c r="M30" i="23"/>
  <c r="D31" i="23"/>
  <c r="D32" i="23"/>
  <c r="G32" i="23"/>
  <c r="D33" i="23"/>
  <c r="G33" i="23"/>
  <c r="D34" i="23"/>
  <c r="G34" i="23"/>
  <c r="D35" i="23"/>
  <c r="G35" i="23"/>
  <c r="D36" i="23"/>
  <c r="G36" i="23"/>
  <c r="D37" i="23"/>
  <c r="G37" i="23"/>
  <c r="D38" i="23"/>
  <c r="G38" i="23"/>
  <c r="D39" i="23"/>
  <c r="G39" i="23"/>
  <c r="D40" i="23"/>
  <c r="G40" i="23"/>
  <c r="D41" i="23"/>
  <c r="G41" i="23"/>
  <c r="D42" i="23"/>
  <c r="G42" i="23"/>
  <c r="D43" i="23"/>
  <c r="G43" i="23"/>
  <c r="D44" i="23"/>
  <c r="G44" i="23"/>
  <c r="D45" i="23"/>
  <c r="G45" i="23"/>
  <c r="M20" i="23"/>
  <c r="K20" i="23"/>
  <c r="D20" i="23"/>
  <c r="M19" i="23"/>
  <c r="K19" i="23"/>
  <c r="D19" i="23"/>
  <c r="M18" i="23"/>
  <c r="K18" i="23"/>
  <c r="D18" i="23"/>
  <c r="M17" i="23"/>
  <c r="K17" i="23"/>
  <c r="D17" i="23"/>
  <c r="M16" i="23"/>
  <c r="K16" i="23"/>
  <c r="D16" i="23"/>
  <c r="M15" i="23"/>
  <c r="K15" i="23"/>
  <c r="D15" i="23"/>
  <c r="M14" i="23"/>
  <c r="K14" i="23"/>
  <c r="D14" i="23"/>
  <c r="M13" i="23"/>
  <c r="K13" i="23"/>
  <c r="D13" i="23"/>
  <c r="K12" i="23"/>
  <c r="D12" i="23"/>
  <c r="K11" i="23"/>
  <c r="D11" i="23"/>
  <c r="K10" i="23"/>
  <c r="D10" i="23"/>
  <c r="K9" i="23"/>
  <c r="D9" i="23"/>
  <c r="K8" i="23"/>
  <c r="D8" i="23"/>
  <c r="K7" i="23"/>
  <c r="D7" i="23"/>
  <c r="K6" i="23"/>
  <c r="D6" i="23"/>
  <c r="D37" i="1"/>
  <c r="K37" i="1"/>
  <c r="K12" i="1"/>
  <c r="D12" i="1"/>
  <c r="AT6" i="23" l="1"/>
  <c r="AT10" i="23"/>
  <c r="AT14" i="23"/>
  <c r="AT18" i="23"/>
  <c r="AW4" i="23"/>
  <c r="AX4" i="23" s="1"/>
  <c r="AY8" i="23"/>
  <c r="AZ8" i="23" s="1"/>
  <c r="AY12" i="23"/>
  <c r="AZ12" i="23" s="1"/>
  <c r="AY16" i="23"/>
  <c r="AZ16" i="23" s="1"/>
  <c r="AW17" i="23"/>
  <c r="AX17" i="23" s="1"/>
  <c r="AY20" i="23"/>
  <c r="AZ20" i="23" s="1"/>
  <c r="AT7" i="23"/>
  <c r="AT11" i="23"/>
  <c r="AT15" i="23"/>
  <c r="AT19" i="23"/>
  <c r="AY4" i="23"/>
  <c r="AY21" i="23" s="1"/>
  <c r="AZ21" i="23" s="1"/>
  <c r="AW6" i="23"/>
  <c r="AX6" i="23" s="1"/>
  <c r="AW10" i="23"/>
  <c r="AX10" i="23" s="1"/>
  <c r="AW14" i="23"/>
  <c r="AX14" i="23" s="1"/>
  <c r="AW18" i="23"/>
  <c r="AX18" i="23" s="1"/>
  <c r="AD7" i="23"/>
  <c r="AD11" i="23"/>
  <c r="AB6" i="23"/>
  <c r="AD9" i="23"/>
  <c r="AB10" i="23"/>
  <c r="AB14" i="23"/>
  <c r="AB18" i="23"/>
  <c r="AG20" i="23"/>
  <c r="AH20" i="23" s="1"/>
  <c r="AB7" i="23"/>
  <c r="AB11" i="23"/>
  <c r="AB15" i="23"/>
  <c r="AB19" i="23"/>
  <c r="U4" i="23"/>
  <c r="AG13" i="23"/>
  <c r="AH13" i="23" s="1"/>
  <c r="AE14" i="23"/>
  <c r="AF14" i="23" s="1"/>
  <c r="AG17" i="23"/>
  <c r="AH17" i="23" s="1"/>
  <c r="AE18" i="23"/>
  <c r="AF18" i="23" s="1"/>
  <c r="O33" i="23"/>
  <c r="P33" i="23" s="1"/>
  <c r="J31" i="23"/>
  <c r="J32" i="23"/>
  <c r="J33" i="23"/>
  <c r="J34" i="23"/>
  <c r="J35" i="23"/>
  <c r="J36" i="23"/>
  <c r="J37" i="23"/>
  <c r="J38" i="23"/>
  <c r="J39" i="23"/>
  <c r="J40" i="23"/>
  <c r="J41" i="23"/>
  <c r="J42" i="23"/>
  <c r="J43" i="23"/>
  <c r="J44" i="23"/>
  <c r="J45" i="23"/>
  <c r="M31" i="23"/>
  <c r="N31" i="23" s="1"/>
  <c r="M33" i="23"/>
  <c r="N33" i="23" s="1"/>
  <c r="M37" i="23"/>
  <c r="N37" i="23" s="1"/>
  <c r="M38" i="23"/>
  <c r="N38" i="23" s="1"/>
  <c r="M39" i="23"/>
  <c r="N39" i="23" s="1"/>
  <c r="M40" i="23"/>
  <c r="N40" i="23" s="1"/>
  <c r="M41" i="23"/>
  <c r="N41" i="23" s="1"/>
  <c r="M42" i="23"/>
  <c r="N42" i="23" s="1"/>
  <c r="M43" i="23"/>
  <c r="N43" i="23" s="1"/>
  <c r="M44" i="23"/>
  <c r="N44" i="23" s="1"/>
  <c r="M45" i="23"/>
  <c r="N45" i="23" s="1"/>
  <c r="C29" i="23"/>
  <c r="M34" i="23" s="1"/>
  <c r="D29" i="23"/>
  <c r="J29" i="23" s="1"/>
  <c r="AW22" i="23" l="1"/>
  <c r="AX22" i="23" s="1"/>
  <c r="AA4" i="23"/>
  <c r="V4" i="23"/>
  <c r="AB4" i="23" s="1"/>
  <c r="AE8" i="23"/>
  <c r="AE9" i="23"/>
  <c r="AE11" i="23"/>
  <c r="AE10" i="23"/>
  <c r="AE7" i="23"/>
  <c r="AE6" i="23"/>
  <c r="N34" i="23"/>
  <c r="O34" i="23"/>
  <c r="P34" i="23" s="1"/>
  <c r="I29" i="23"/>
  <c r="M32" i="23"/>
  <c r="M36" i="23"/>
  <c r="M35" i="23"/>
  <c r="K29" i="23" s="1"/>
  <c r="O31" i="23"/>
  <c r="P31" i="23" s="1"/>
  <c r="W5" i="16"/>
  <c r="W6" i="16"/>
  <c r="X6" i="16" s="1"/>
  <c r="W7" i="16"/>
  <c r="W8" i="16"/>
  <c r="W9" i="16"/>
  <c r="W10" i="16"/>
  <c r="X10" i="16" s="1"/>
  <c r="W11" i="16"/>
  <c r="X11" i="16" s="1"/>
  <c r="W12" i="16"/>
  <c r="W13" i="16"/>
  <c r="X13" i="16" s="1"/>
  <c r="W14" i="16"/>
  <c r="X14" i="16" s="1"/>
  <c r="W15" i="16"/>
  <c r="W16" i="16"/>
  <c r="X16" i="16" s="1"/>
  <c r="W17" i="16"/>
  <c r="W18" i="16"/>
  <c r="X18" i="16" s="1"/>
  <c r="W19" i="16"/>
  <c r="W20" i="16"/>
  <c r="Y20" i="16" s="1"/>
  <c r="W21" i="16"/>
  <c r="Y21" i="16" s="1"/>
  <c r="W22" i="16"/>
  <c r="W23" i="16"/>
  <c r="W24" i="16"/>
  <c r="X24" i="16" s="1"/>
  <c r="W25" i="16"/>
  <c r="W26" i="16"/>
  <c r="X26" i="16" s="1"/>
  <c r="W27" i="16"/>
  <c r="X27" i="16" s="1"/>
  <c r="W28" i="16"/>
  <c r="X28" i="16" s="1"/>
  <c r="W29" i="16"/>
  <c r="W30" i="16"/>
  <c r="X30" i="16" s="1"/>
  <c r="W31" i="16"/>
  <c r="W32" i="16"/>
  <c r="W33" i="16"/>
  <c r="W34" i="16"/>
  <c r="X34" i="16" s="1"/>
  <c r="W35" i="16"/>
  <c r="X35" i="16" s="1"/>
  <c r="W36" i="16"/>
  <c r="X36" i="16" s="1"/>
  <c r="W37" i="16"/>
  <c r="Y37" i="16" s="1"/>
  <c r="W38" i="16"/>
  <c r="X38" i="16" s="1"/>
  <c r="W39" i="16"/>
  <c r="Y39" i="16" s="1"/>
  <c r="W40" i="16"/>
  <c r="X40" i="16" s="1"/>
  <c r="W41" i="16"/>
  <c r="W42" i="16"/>
  <c r="X42" i="16" s="1"/>
  <c r="W43" i="16"/>
  <c r="X43" i="16" s="1"/>
  <c r="W44" i="16"/>
  <c r="X44" i="16" s="1"/>
  <c r="W45" i="16"/>
  <c r="X45" i="16" s="1"/>
  <c r="W46" i="16"/>
  <c r="W47" i="16"/>
  <c r="Y47" i="16" s="1"/>
  <c r="W48" i="16"/>
  <c r="X48" i="16" s="1"/>
  <c r="W49" i="16"/>
  <c r="W50" i="16"/>
  <c r="X50" i="16" s="1"/>
  <c r="W51" i="16"/>
  <c r="X51" i="16" s="1"/>
  <c r="W52" i="16"/>
  <c r="X52" i="16" s="1"/>
  <c r="W53" i="16"/>
  <c r="X53" i="16" s="1"/>
  <c r="W4"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4" i="16"/>
  <c r="Q5" i="16"/>
  <c r="Q6" i="16"/>
  <c r="Q71" i="16"/>
  <c r="Q72" i="16"/>
  <c r="S72" i="16" s="1"/>
  <c r="Q73" i="16"/>
  <c r="S73" i="16" s="1"/>
  <c r="Q74" i="16"/>
  <c r="R74" i="16" s="1"/>
  <c r="Q70" i="16"/>
  <c r="R70" i="16" s="1"/>
  <c r="Q7" i="16"/>
  <c r="I5" i="16"/>
  <c r="J5" i="16" s="1"/>
  <c r="I6" i="16"/>
  <c r="J6" i="16" s="1"/>
  <c r="K6" i="16" s="1"/>
  <c r="I7" i="16"/>
  <c r="J7" i="16" s="1"/>
  <c r="K7" i="16" s="1"/>
  <c r="I8" i="16"/>
  <c r="J8" i="16" s="1"/>
  <c r="K8" i="16" s="1"/>
  <c r="I9" i="16"/>
  <c r="J9" i="16" s="1"/>
  <c r="K9" i="16" s="1"/>
  <c r="I10" i="16"/>
  <c r="J10" i="16" s="1"/>
  <c r="K10" i="16" s="1"/>
  <c r="I11" i="16"/>
  <c r="J11" i="16" s="1"/>
  <c r="I12" i="16"/>
  <c r="M12" i="16" s="1"/>
  <c r="N12" i="16" s="1"/>
  <c r="I13" i="16"/>
  <c r="J13" i="16" s="1"/>
  <c r="K13" i="16" s="1"/>
  <c r="I14" i="16"/>
  <c r="J14" i="16" s="1"/>
  <c r="K14" i="16" s="1"/>
  <c r="I15" i="16"/>
  <c r="M15" i="16" s="1"/>
  <c r="N15" i="16" s="1"/>
  <c r="I16" i="16"/>
  <c r="J16" i="16" s="1"/>
  <c r="K16" i="16" s="1"/>
  <c r="I17" i="16"/>
  <c r="J17" i="16" s="1"/>
  <c r="K17" i="16" s="1"/>
  <c r="I18" i="16"/>
  <c r="J18" i="16" s="1"/>
  <c r="K18" i="16" s="1"/>
  <c r="I19" i="16"/>
  <c r="J19" i="16" s="1"/>
  <c r="I20" i="16"/>
  <c r="M20" i="16" s="1"/>
  <c r="N20" i="16" s="1"/>
  <c r="I21" i="16"/>
  <c r="J21" i="16" s="1"/>
  <c r="I22" i="16"/>
  <c r="J22" i="16" s="1"/>
  <c r="K22" i="16" s="1"/>
  <c r="I23" i="16"/>
  <c r="M23" i="16" s="1"/>
  <c r="N23" i="16" s="1"/>
  <c r="I24" i="16"/>
  <c r="J24" i="16" s="1"/>
  <c r="K24" i="16" s="1"/>
  <c r="I25" i="16"/>
  <c r="J25" i="16" s="1"/>
  <c r="K25" i="16" s="1"/>
  <c r="I26" i="16"/>
  <c r="J26" i="16" s="1"/>
  <c r="K26" i="16" s="1"/>
  <c r="I27" i="16"/>
  <c r="J27" i="16" s="1"/>
  <c r="K27" i="16" s="1"/>
  <c r="I28" i="16"/>
  <c r="J28" i="16" s="1"/>
  <c r="K28" i="16" s="1"/>
  <c r="I29" i="16"/>
  <c r="J29" i="16" s="1"/>
  <c r="K29" i="16" s="1"/>
  <c r="I30" i="16"/>
  <c r="J30" i="16" s="1"/>
  <c r="K30" i="16" s="1"/>
  <c r="I31" i="16"/>
  <c r="J31" i="16" s="1"/>
  <c r="I32" i="16"/>
  <c r="J32" i="16" s="1"/>
  <c r="K32" i="16" s="1"/>
  <c r="I33" i="16"/>
  <c r="J33" i="16" s="1"/>
  <c r="K33" i="16" s="1"/>
  <c r="I34" i="16"/>
  <c r="J34" i="16" s="1"/>
  <c r="K34" i="16" s="1"/>
  <c r="I35" i="16"/>
  <c r="J35" i="16" s="1"/>
  <c r="I36" i="16"/>
  <c r="J36" i="16" s="1"/>
  <c r="K36" i="16" s="1"/>
  <c r="I37" i="16"/>
  <c r="J37" i="16" s="1"/>
  <c r="K37" i="16" s="1"/>
  <c r="I38" i="16"/>
  <c r="J38" i="16" s="1"/>
  <c r="K38" i="16" s="1"/>
  <c r="I39" i="16"/>
  <c r="J39" i="16" s="1"/>
  <c r="K39" i="16" s="1"/>
  <c r="I40" i="16"/>
  <c r="J40" i="16" s="1"/>
  <c r="K40" i="16" s="1"/>
  <c r="I41" i="16"/>
  <c r="J41" i="16" s="1"/>
  <c r="K41" i="16" s="1"/>
  <c r="I42" i="16"/>
  <c r="J42" i="16" s="1"/>
  <c r="K42" i="16" s="1"/>
  <c r="I43" i="16"/>
  <c r="J43" i="16" s="1"/>
  <c r="K43" i="16" s="1"/>
  <c r="I44" i="16"/>
  <c r="M44" i="16" s="1"/>
  <c r="N44" i="16" s="1"/>
  <c r="I45" i="16"/>
  <c r="J45" i="16" s="1"/>
  <c r="K45" i="16" s="1"/>
  <c r="I46" i="16"/>
  <c r="J46" i="16" s="1"/>
  <c r="K46" i="16" s="1"/>
  <c r="I47" i="16"/>
  <c r="J47" i="16" s="1"/>
  <c r="K47" i="16" s="1"/>
  <c r="I48" i="16"/>
  <c r="J48" i="16" s="1"/>
  <c r="K48" i="16" s="1"/>
  <c r="I49" i="16"/>
  <c r="J49" i="16" s="1"/>
  <c r="K49" i="16" s="1"/>
  <c r="I50" i="16"/>
  <c r="J50" i="16" s="1"/>
  <c r="K50" i="16" s="1"/>
  <c r="I51" i="16"/>
  <c r="J51" i="16" s="1"/>
  <c r="K51" i="16" s="1"/>
  <c r="I52" i="16"/>
  <c r="J52" i="16" s="1"/>
  <c r="K52" i="16" s="1"/>
  <c r="I53" i="16"/>
  <c r="J53" i="16" s="1"/>
  <c r="K53" i="16" s="1"/>
  <c r="AC74" i="16"/>
  <c r="AE74" i="16" s="1"/>
  <c r="W74" i="16"/>
  <c r="Y74" i="16" s="1"/>
  <c r="I74" i="16"/>
  <c r="M74" i="16" s="1"/>
  <c r="N74" i="16" s="1"/>
  <c r="AC73" i="16"/>
  <c r="AD73" i="16" s="1"/>
  <c r="W73" i="16"/>
  <c r="Y73" i="16" s="1"/>
  <c r="I73" i="16"/>
  <c r="J73" i="16" s="1"/>
  <c r="K73" i="16" s="1"/>
  <c r="AC72" i="16"/>
  <c r="AE72" i="16" s="1"/>
  <c r="W72" i="16"/>
  <c r="Y72" i="16" s="1"/>
  <c r="I72" i="16"/>
  <c r="AC71" i="16"/>
  <c r="AE71" i="16" s="1"/>
  <c r="W71" i="16"/>
  <c r="X71" i="16" s="1"/>
  <c r="R71" i="16"/>
  <c r="I71" i="16"/>
  <c r="M71" i="16" s="1"/>
  <c r="N71" i="16" s="1"/>
  <c r="AC70" i="16"/>
  <c r="AE70" i="16" s="1"/>
  <c r="W70" i="16"/>
  <c r="Y70" i="16" s="1"/>
  <c r="I70" i="16"/>
  <c r="M70" i="16" s="1"/>
  <c r="N70" i="16" s="1"/>
  <c r="K69" i="16"/>
  <c r="N67" i="16"/>
  <c r="AC5" i="16"/>
  <c r="AD5" i="16" s="1"/>
  <c r="AC6" i="16"/>
  <c r="AD6" i="16" s="1"/>
  <c r="AC7" i="16"/>
  <c r="AE7" i="16" s="1"/>
  <c r="AC8" i="16"/>
  <c r="AD8" i="16" s="1"/>
  <c r="AC9" i="16"/>
  <c r="AD9" i="16" s="1"/>
  <c r="AC10" i="16"/>
  <c r="AD10" i="16" s="1"/>
  <c r="AC11" i="16"/>
  <c r="AD11" i="16" s="1"/>
  <c r="AC12" i="16"/>
  <c r="AD12" i="16" s="1"/>
  <c r="AC13" i="16"/>
  <c r="AD13" i="16" s="1"/>
  <c r="AC14" i="16"/>
  <c r="AD14" i="16" s="1"/>
  <c r="AC15" i="16"/>
  <c r="AE15" i="16" s="1"/>
  <c r="AC16" i="16"/>
  <c r="AD16" i="16" s="1"/>
  <c r="AC17" i="16"/>
  <c r="AE17" i="16" s="1"/>
  <c r="AC18" i="16"/>
  <c r="AD18" i="16" s="1"/>
  <c r="AC19" i="16"/>
  <c r="AD19" i="16" s="1"/>
  <c r="AC20" i="16"/>
  <c r="AD20" i="16" s="1"/>
  <c r="AC21" i="16"/>
  <c r="AD21" i="16" s="1"/>
  <c r="AC22" i="16"/>
  <c r="AD22" i="16" s="1"/>
  <c r="AC23" i="16"/>
  <c r="AE23" i="16" s="1"/>
  <c r="AC24" i="16"/>
  <c r="AD24" i="16" s="1"/>
  <c r="AC25" i="16"/>
  <c r="AE25" i="16" s="1"/>
  <c r="AC26" i="16"/>
  <c r="AD26" i="16" s="1"/>
  <c r="AC27" i="16"/>
  <c r="AD27" i="16" s="1"/>
  <c r="AC28" i="16"/>
  <c r="AD28" i="16" s="1"/>
  <c r="AC29" i="16"/>
  <c r="AD29" i="16" s="1"/>
  <c r="AC30" i="16"/>
  <c r="AD30" i="16" s="1"/>
  <c r="AC31" i="16"/>
  <c r="AE31" i="16" s="1"/>
  <c r="AC32" i="16"/>
  <c r="AD32" i="16" s="1"/>
  <c r="AC33" i="16"/>
  <c r="AD33" i="16" s="1"/>
  <c r="AC34" i="16"/>
  <c r="AD34" i="16" s="1"/>
  <c r="AC35" i="16"/>
  <c r="AD35" i="16" s="1"/>
  <c r="AC36" i="16"/>
  <c r="AE36" i="16" s="1"/>
  <c r="AC37" i="16"/>
  <c r="AD37" i="16" s="1"/>
  <c r="AC38" i="16"/>
  <c r="AD38" i="16" s="1"/>
  <c r="AC39" i="16"/>
  <c r="AE39" i="16" s="1"/>
  <c r="AC40" i="16"/>
  <c r="AD40" i="16" s="1"/>
  <c r="AC41" i="16"/>
  <c r="AD41" i="16" s="1"/>
  <c r="AC42" i="16"/>
  <c r="AD42" i="16" s="1"/>
  <c r="AC43" i="16"/>
  <c r="AE43" i="16" s="1"/>
  <c r="AC44" i="16"/>
  <c r="AE44" i="16" s="1"/>
  <c r="AC45" i="16"/>
  <c r="AD45" i="16" s="1"/>
  <c r="AC46" i="16"/>
  <c r="AD46" i="16" s="1"/>
  <c r="AC47" i="16"/>
  <c r="AE47" i="16" s="1"/>
  <c r="AC48" i="16"/>
  <c r="AE48" i="16" s="1"/>
  <c r="AC49" i="16"/>
  <c r="AD49" i="16" s="1"/>
  <c r="AC50" i="16"/>
  <c r="AD50" i="16" s="1"/>
  <c r="AC51" i="16"/>
  <c r="AE51" i="16" s="1"/>
  <c r="AC52" i="16"/>
  <c r="AD52" i="16" s="1"/>
  <c r="AC53" i="16"/>
  <c r="AD53" i="16" s="1"/>
  <c r="X5" i="16"/>
  <c r="Y7" i="16"/>
  <c r="X8" i="16"/>
  <c r="X9" i="16"/>
  <c r="Y12" i="16"/>
  <c r="Y15" i="16"/>
  <c r="X15" i="16"/>
  <c r="X17" i="16"/>
  <c r="X19" i="16"/>
  <c r="X21" i="16"/>
  <c r="X22" i="16"/>
  <c r="X23" i="16"/>
  <c r="X25" i="16"/>
  <c r="X29" i="16"/>
  <c r="X31" i="16"/>
  <c r="X32" i="16"/>
  <c r="X33" i="16"/>
  <c r="Y41" i="16"/>
  <c r="X41" i="16"/>
  <c r="X46" i="16"/>
  <c r="X49" i="16"/>
  <c r="M11" i="16"/>
  <c r="N11" i="16" s="1"/>
  <c r="AF6" i="23" l="1"/>
  <c r="AC4" i="23"/>
  <c r="AG6" i="23"/>
  <c r="AH6" i="23" s="1"/>
  <c r="AF7" i="23"/>
  <c r="AG7" i="23"/>
  <c r="AH7" i="23" s="1"/>
  <c r="AF10" i="23"/>
  <c r="AG10" i="23"/>
  <c r="AH10" i="23" s="1"/>
  <c r="AF11" i="23"/>
  <c r="AG11" i="23"/>
  <c r="AH11" i="23" s="1"/>
  <c r="AF9" i="23"/>
  <c r="AG9" i="23"/>
  <c r="AH9" i="23" s="1"/>
  <c r="AG8" i="23"/>
  <c r="AH8" i="23" s="1"/>
  <c r="AF8" i="23"/>
  <c r="N35" i="23"/>
  <c r="O35" i="23"/>
  <c r="P35" i="23" s="1"/>
  <c r="N36" i="23"/>
  <c r="O36" i="23"/>
  <c r="P36" i="23" s="1"/>
  <c r="N32" i="23"/>
  <c r="O32" i="23"/>
  <c r="P32" i="23" s="1"/>
  <c r="M47" i="23"/>
  <c r="N47" i="23" s="1"/>
  <c r="M29" i="23"/>
  <c r="N29" i="23" s="1"/>
  <c r="M35" i="16"/>
  <c r="N35" i="16" s="1"/>
  <c r="M19" i="16"/>
  <c r="N19" i="16" s="1"/>
  <c r="J15" i="16"/>
  <c r="K15" i="16" s="1"/>
  <c r="M21" i="16"/>
  <c r="N21" i="16" s="1"/>
  <c r="M31" i="16"/>
  <c r="N31" i="16" s="1"/>
  <c r="AD17" i="16"/>
  <c r="J23" i="16"/>
  <c r="K23" i="16" s="1"/>
  <c r="M5" i="16"/>
  <c r="N5" i="16" s="1"/>
  <c r="M72" i="16"/>
  <c r="N72" i="16" s="1"/>
  <c r="J44" i="16"/>
  <c r="K44" i="16" s="1"/>
  <c r="J20" i="16"/>
  <c r="K20" i="16" s="1"/>
  <c r="J12" i="16"/>
  <c r="K12" i="16" s="1"/>
  <c r="M7" i="16"/>
  <c r="N7" i="16" s="1"/>
  <c r="Y23" i="16"/>
  <c r="X12" i="16"/>
  <c r="X37" i="16"/>
  <c r="AE30" i="16"/>
  <c r="AD25" i="16"/>
  <c r="M43" i="16"/>
  <c r="N43" i="16" s="1"/>
  <c r="Y49" i="16"/>
  <c r="AD36" i="16"/>
  <c r="AE11" i="16"/>
  <c r="M34" i="16"/>
  <c r="N34" i="16" s="1"/>
  <c r="AE28" i="16"/>
  <c r="M13" i="16"/>
  <c r="N13" i="16" s="1"/>
  <c r="X20" i="16"/>
  <c r="AE22" i="16"/>
  <c r="Y71" i="16"/>
  <c r="R73" i="16"/>
  <c r="M39" i="16"/>
  <c r="N39" i="16" s="1"/>
  <c r="M16" i="16"/>
  <c r="N16" i="16" s="1"/>
  <c r="Y45" i="16"/>
  <c r="AE49" i="16"/>
  <c r="X73" i="16"/>
  <c r="AD74" i="16"/>
  <c r="M14" i="16"/>
  <c r="N14" i="16" s="1"/>
  <c r="AD44" i="16"/>
  <c r="AE38" i="16"/>
  <c r="AE32" i="16"/>
  <c r="AD7" i="16"/>
  <c r="X72" i="16"/>
  <c r="K11" i="16"/>
  <c r="K5" i="16"/>
  <c r="M29" i="16"/>
  <c r="N29" i="16" s="1"/>
  <c r="M9" i="16"/>
  <c r="N9" i="16" s="1"/>
  <c r="AD48" i="16"/>
  <c r="AE20" i="16"/>
  <c r="AE6" i="16"/>
  <c r="AD72" i="16"/>
  <c r="M27" i="16"/>
  <c r="N27" i="16" s="1"/>
  <c r="M48" i="16"/>
  <c r="N48" i="16" s="1"/>
  <c r="M25" i="16"/>
  <c r="N25" i="16" s="1"/>
  <c r="Y52" i="16"/>
  <c r="X47" i="16"/>
  <c r="Y13" i="16"/>
  <c r="AD51" i="16"/>
  <c r="AE19" i="16"/>
  <c r="AD15" i="16"/>
  <c r="J71" i="16"/>
  <c r="K71" i="16" s="1"/>
  <c r="J72" i="16"/>
  <c r="K72" i="16" s="1"/>
  <c r="S74" i="16"/>
  <c r="K35" i="16"/>
  <c r="Y28" i="16"/>
  <c r="Y17" i="16"/>
  <c r="X7" i="16"/>
  <c r="AE46" i="16"/>
  <c r="AE40" i="16"/>
  <c r="AE9" i="16"/>
  <c r="M53" i="16"/>
  <c r="N53" i="16" s="1"/>
  <c r="M47" i="16"/>
  <c r="N47" i="16" s="1"/>
  <c r="M38" i="16"/>
  <c r="N38" i="16" s="1"/>
  <c r="M33" i="16"/>
  <c r="N33" i="16" s="1"/>
  <c r="M24" i="16"/>
  <c r="N24" i="16" s="1"/>
  <c r="M6" i="16"/>
  <c r="N6" i="16" s="1"/>
  <c r="Y36" i="16"/>
  <c r="Y31" i="16"/>
  <c r="AD47" i="16"/>
  <c r="AD43" i="16"/>
  <c r="AD39" i="16"/>
  <c r="AE35" i="16"/>
  <c r="AE24" i="16"/>
  <c r="AE12" i="16"/>
  <c r="AD70" i="16"/>
  <c r="S71" i="16"/>
  <c r="AE73" i="16"/>
  <c r="K19" i="16"/>
  <c r="M42" i="16"/>
  <c r="N42" i="16" s="1"/>
  <c r="M37" i="16"/>
  <c r="N37" i="16" s="1"/>
  <c r="M28" i="16"/>
  <c r="N28" i="16" s="1"/>
  <c r="M10" i="16"/>
  <c r="N10" i="16" s="1"/>
  <c r="Y44" i="16"/>
  <c r="AD31" i="16"/>
  <c r="AE27" i="16"/>
  <c r="AE16" i="16"/>
  <c r="M73" i="16"/>
  <c r="N73" i="16" s="1"/>
  <c r="M52" i="16"/>
  <c r="N52" i="16" s="1"/>
  <c r="M46" i="16"/>
  <c r="N46" i="16" s="1"/>
  <c r="M41" i="16"/>
  <c r="N41" i="16" s="1"/>
  <c r="M32" i="16"/>
  <c r="N32" i="16" s="1"/>
  <c r="X39" i="16"/>
  <c r="Y9" i="16"/>
  <c r="AD23" i="16"/>
  <c r="AE8" i="16"/>
  <c r="M51" i="16"/>
  <c r="N51" i="16" s="1"/>
  <c r="M45" i="16"/>
  <c r="N45" i="16" s="1"/>
  <c r="M36" i="16"/>
  <c r="N36" i="16" s="1"/>
  <c r="M18" i="16"/>
  <c r="N18" i="16" s="1"/>
  <c r="AE41" i="16"/>
  <c r="M30" i="16"/>
  <c r="N30" i="16" s="1"/>
  <c r="K31" i="16"/>
  <c r="K21" i="16"/>
  <c r="M49" i="16"/>
  <c r="N49" i="16" s="1"/>
  <c r="M40" i="16"/>
  <c r="N40" i="16" s="1"/>
  <c r="M22" i="16"/>
  <c r="N22" i="16" s="1"/>
  <c r="M17" i="16"/>
  <c r="N17" i="16" s="1"/>
  <c r="M8" i="16"/>
  <c r="N8" i="16" s="1"/>
  <c r="Y29" i="16"/>
  <c r="Y25" i="16"/>
  <c r="AE52" i="16"/>
  <c r="AE33" i="16"/>
  <c r="M26" i="16"/>
  <c r="N26" i="16" s="1"/>
  <c r="Y33" i="16"/>
  <c r="AE14" i="16"/>
  <c r="S70" i="16"/>
  <c r="J70" i="16"/>
  <c r="K70" i="16" s="1"/>
  <c r="X70" i="16"/>
  <c r="J74" i="16"/>
  <c r="K74" i="16" s="1"/>
  <c r="X74" i="16"/>
  <c r="AD71" i="16"/>
  <c r="R72" i="16"/>
  <c r="M50" i="16"/>
  <c r="N50" i="16" s="1"/>
  <c r="AE53" i="16"/>
  <c r="AE45" i="16"/>
  <c r="AE37" i="16"/>
  <c r="AE29" i="16"/>
  <c r="AE21" i="16"/>
  <c r="AE13" i="16"/>
  <c r="AE5" i="16"/>
  <c r="AE50" i="16"/>
  <c r="AE42" i="16"/>
  <c r="AE34" i="16"/>
  <c r="AE26" i="16"/>
  <c r="AE18" i="16"/>
  <c r="AE10" i="16"/>
  <c r="Y53" i="16"/>
  <c r="Y46" i="16"/>
  <c r="Y38" i="16"/>
  <c r="Y30" i="16"/>
  <c r="Y22" i="16"/>
  <c r="Y14" i="16"/>
  <c r="Y6" i="16"/>
  <c r="Y51" i="16"/>
  <c r="Y43" i="16"/>
  <c r="Y35" i="16"/>
  <c r="Y27" i="16"/>
  <c r="Y19" i="16"/>
  <c r="Y11" i="16"/>
  <c r="Y48" i="16"/>
  <c r="Y40" i="16"/>
  <c r="Y32" i="16"/>
  <c r="Y24" i="16"/>
  <c r="Y16" i="16"/>
  <c r="Y8" i="16"/>
  <c r="Y5" i="16"/>
  <c r="Y50" i="16"/>
  <c r="Y42" i="16"/>
  <c r="Y34" i="16"/>
  <c r="Y26" i="16"/>
  <c r="Y18" i="16"/>
  <c r="Y10" i="16"/>
  <c r="AT20" i="10"/>
  <c r="AS19" i="10"/>
  <c r="AR19" i="10"/>
  <c r="AQ19" i="10"/>
  <c r="AP19" i="10"/>
  <c r="AO19" i="10"/>
  <c r="AN19" i="10"/>
  <c r="AL19" i="10"/>
  <c r="AT19" i="10" s="1"/>
  <c r="AJ19" i="10"/>
  <c r="AS18" i="10"/>
  <c r="AR18" i="10"/>
  <c r="AQ18" i="10"/>
  <c r="AP18" i="10"/>
  <c r="AO18" i="10"/>
  <c r="AN18" i="10"/>
  <c r="AL18" i="10"/>
  <c r="AT18" i="10" s="1"/>
  <c r="AJ18" i="10"/>
  <c r="AS17" i="10"/>
  <c r="AR17" i="10"/>
  <c r="AQ17" i="10"/>
  <c r="AP17" i="10"/>
  <c r="AO17" i="10"/>
  <c r="AN17" i="10"/>
  <c r="AL17" i="10"/>
  <c r="AT17" i="10" s="1"/>
  <c r="AJ17" i="10"/>
  <c r="AS16" i="10"/>
  <c r="AR16" i="10"/>
  <c r="AQ16" i="10"/>
  <c r="AP16" i="10"/>
  <c r="AO16" i="10"/>
  <c r="AN16" i="10"/>
  <c r="AL16" i="10"/>
  <c r="AT16" i="10" s="1"/>
  <c r="AJ16" i="10"/>
  <c r="AS15" i="10"/>
  <c r="AR15" i="10"/>
  <c r="AQ15" i="10"/>
  <c r="AP15" i="10"/>
  <c r="AO15" i="10"/>
  <c r="AN15" i="10"/>
  <c r="AL15" i="10"/>
  <c r="AT15" i="10" s="1"/>
  <c r="AJ15" i="10"/>
  <c r="AS14" i="10"/>
  <c r="AR14" i="10"/>
  <c r="AQ14" i="10"/>
  <c r="AP14" i="10"/>
  <c r="AO14" i="10"/>
  <c r="AN14" i="10"/>
  <c r="AL14" i="10"/>
  <c r="AT14" i="10" s="1"/>
  <c r="AJ14" i="10"/>
  <c r="AS13" i="10"/>
  <c r="AR13" i="10"/>
  <c r="AQ13" i="10"/>
  <c r="AP13" i="10"/>
  <c r="AO13" i="10"/>
  <c r="AN13" i="10"/>
  <c r="AL13" i="10"/>
  <c r="AT13" i="10" s="1"/>
  <c r="AJ13" i="10"/>
  <c r="AS12" i="10"/>
  <c r="AR12" i="10"/>
  <c r="AQ12" i="10"/>
  <c r="AP12" i="10"/>
  <c r="AO12" i="10"/>
  <c r="AN12" i="10"/>
  <c r="AL12" i="10"/>
  <c r="AT12" i="10" s="1"/>
  <c r="AJ12" i="10"/>
  <c r="AS11" i="10"/>
  <c r="AR11" i="10"/>
  <c r="AQ11" i="10"/>
  <c r="AP11" i="10"/>
  <c r="AO11" i="10"/>
  <c r="AN11" i="10"/>
  <c r="AL11" i="10"/>
  <c r="AT11" i="10" s="1"/>
  <c r="AJ11" i="10"/>
  <c r="AS10" i="10"/>
  <c r="AR10" i="10"/>
  <c r="AQ10" i="10"/>
  <c r="AP10" i="10"/>
  <c r="AO10" i="10"/>
  <c r="AN10" i="10"/>
  <c r="AL10" i="10"/>
  <c r="AT10" i="10" s="1"/>
  <c r="AJ10" i="10"/>
  <c r="AS9" i="10"/>
  <c r="AR9" i="10"/>
  <c r="AQ9" i="10"/>
  <c r="AP9" i="10"/>
  <c r="AO9" i="10"/>
  <c r="AN9" i="10"/>
  <c r="AL9" i="10"/>
  <c r="AT9" i="10" s="1"/>
  <c r="AJ9" i="10"/>
  <c r="AS8" i="10"/>
  <c r="AR8" i="10"/>
  <c r="AQ8" i="10"/>
  <c r="AP8" i="10"/>
  <c r="AO8" i="10"/>
  <c r="AN8" i="10"/>
  <c r="AL8" i="10"/>
  <c r="AT8" i="10" s="1"/>
  <c r="AJ8" i="10"/>
  <c r="AS7" i="10"/>
  <c r="AR7" i="10"/>
  <c r="AQ7" i="10"/>
  <c r="AP7" i="10"/>
  <c r="AO7" i="10"/>
  <c r="AN7" i="10"/>
  <c r="AL7" i="10"/>
  <c r="AT7" i="10" s="1"/>
  <c r="AJ7" i="10"/>
  <c r="AS6" i="10"/>
  <c r="AR6" i="10"/>
  <c r="AQ6" i="10"/>
  <c r="AP6" i="10"/>
  <c r="AO6" i="10"/>
  <c r="AN6" i="10"/>
  <c r="AL6" i="10"/>
  <c r="AT6" i="10" s="1"/>
  <c r="AJ6" i="10"/>
  <c r="AT5" i="10"/>
  <c r="AS5" i="10"/>
  <c r="AR5" i="10"/>
  <c r="AO5" i="10"/>
  <c r="AN5" i="10"/>
  <c r="AD20" i="10"/>
  <c r="AC19" i="10"/>
  <c r="AB19" i="10"/>
  <c r="AA19" i="10"/>
  <c r="Z19" i="10"/>
  <c r="Y19" i="10"/>
  <c r="X19" i="10"/>
  <c r="V19" i="10"/>
  <c r="AD19" i="10" s="1"/>
  <c r="T19" i="10"/>
  <c r="AC18" i="10"/>
  <c r="AB18" i="10"/>
  <c r="AA18" i="10"/>
  <c r="Z18" i="10"/>
  <c r="Y18" i="10"/>
  <c r="X18" i="10"/>
  <c r="V18" i="10"/>
  <c r="AD18" i="10" s="1"/>
  <c r="T18" i="10"/>
  <c r="AC17" i="10"/>
  <c r="AB17" i="10"/>
  <c r="AA17" i="10"/>
  <c r="Z17" i="10"/>
  <c r="Y17" i="10"/>
  <c r="X17" i="10"/>
  <c r="V17" i="10"/>
  <c r="AD17" i="10" s="1"/>
  <c r="T17" i="10"/>
  <c r="AC16" i="10"/>
  <c r="AB16" i="10"/>
  <c r="AA16" i="10"/>
  <c r="Z16" i="10"/>
  <c r="Y16" i="10"/>
  <c r="X16" i="10"/>
  <c r="V16" i="10"/>
  <c r="AD16" i="10" s="1"/>
  <c r="T16" i="10"/>
  <c r="AC15" i="10"/>
  <c r="AB15" i="10"/>
  <c r="AA15" i="10"/>
  <c r="Z15" i="10"/>
  <c r="Y15" i="10"/>
  <c r="X15" i="10"/>
  <c r="V15" i="10"/>
  <c r="AD15" i="10" s="1"/>
  <c r="T15" i="10"/>
  <c r="AC14" i="10"/>
  <c r="AB14" i="10"/>
  <c r="AA14" i="10"/>
  <c r="Z14" i="10"/>
  <c r="Y14" i="10"/>
  <c r="X14" i="10"/>
  <c r="V14" i="10"/>
  <c r="AD14" i="10" s="1"/>
  <c r="T14" i="10"/>
  <c r="AC13" i="10"/>
  <c r="AB13" i="10"/>
  <c r="AA13" i="10"/>
  <c r="Z13" i="10"/>
  <c r="Y13" i="10"/>
  <c r="X13" i="10"/>
  <c r="V13" i="10"/>
  <c r="AD13" i="10" s="1"/>
  <c r="T13" i="10"/>
  <c r="AC12" i="10"/>
  <c r="AB12" i="10"/>
  <c r="AA12" i="10"/>
  <c r="X11" i="10" s="1"/>
  <c r="Z12" i="10"/>
  <c r="Y12" i="10"/>
  <c r="X12" i="10"/>
  <c r="V12" i="10"/>
  <c r="AD12" i="10" s="1"/>
  <c r="T12" i="10"/>
  <c r="Z11" i="10"/>
  <c r="V11" i="10"/>
  <c r="AD11" i="10" s="1"/>
  <c r="T11" i="10"/>
  <c r="AB10" i="10"/>
  <c r="Z10" i="10"/>
  <c r="V10" i="10"/>
  <c r="AD10" i="10" s="1"/>
  <c r="T10" i="10"/>
  <c r="Z9" i="10"/>
  <c r="V9" i="10"/>
  <c r="AD9" i="10" s="1"/>
  <c r="T9" i="10"/>
  <c r="Z8" i="10"/>
  <c r="V8" i="10"/>
  <c r="AD8" i="10" s="1"/>
  <c r="T8" i="10"/>
  <c r="Z7" i="10"/>
  <c r="V7" i="10"/>
  <c r="AD7" i="10" s="1"/>
  <c r="T7" i="10"/>
  <c r="AB6" i="10"/>
  <c r="Z6" i="10"/>
  <c r="V6" i="10"/>
  <c r="Y6" i="10" s="1"/>
  <c r="T6" i="10"/>
  <c r="AD5" i="10"/>
  <c r="AB5" i="10"/>
  <c r="Y5" i="10"/>
  <c r="L5" i="10"/>
  <c r="M3" i="23"/>
  <c r="O3" i="23"/>
  <c r="AE22" i="23" l="1"/>
  <c r="AF22" i="23" s="1"/>
  <c r="AE4" i="23"/>
  <c r="AF4" i="23" s="1"/>
  <c r="O29" i="23"/>
  <c r="O46" i="23" s="1"/>
  <c r="P46" i="23" s="1"/>
  <c r="AS20" i="10"/>
  <c r="AB8" i="10"/>
  <c r="Y10" i="10"/>
  <c r="AB9" i="10"/>
  <c r="Y11" i="10"/>
  <c r="AD6" i="10"/>
  <c r="Y8" i="10"/>
  <c r="AB11" i="10"/>
  <c r="AB7" i="10"/>
  <c r="Y7" i="10"/>
  <c r="Y9" i="10"/>
  <c r="AA11" i="10"/>
  <c r="X10" i="10" s="1"/>
  <c r="R19" i="22"/>
  <c r="R18" i="22"/>
  <c r="R17" i="22"/>
  <c r="R16" i="22"/>
  <c r="K19" i="22"/>
  <c r="K18" i="22"/>
  <c r="K17" i="22"/>
  <c r="K16" i="22"/>
  <c r="B16" i="22"/>
  <c r="C16" i="22"/>
  <c r="D16" i="22"/>
  <c r="B17" i="22"/>
  <c r="C17" i="22"/>
  <c r="D17" i="22"/>
  <c r="B18" i="22"/>
  <c r="C18" i="22"/>
  <c r="D18" i="22"/>
  <c r="B19" i="22"/>
  <c r="C19" i="22"/>
  <c r="D19" i="22"/>
  <c r="D20" i="22"/>
  <c r="AG4" i="23" l="1"/>
  <c r="AG21" i="23" s="1"/>
  <c r="AH21" i="23" s="1"/>
  <c r="AA10" i="10"/>
  <c r="X9" i="10" s="1"/>
  <c r="AC11" i="10"/>
  <c r="AA9" i="10" l="1"/>
  <c r="X8" i="10" s="1"/>
  <c r="AC10" i="10"/>
  <c r="M5" i="23"/>
  <c r="I6" i="23"/>
  <c r="I7" i="23"/>
  <c r="I8" i="23"/>
  <c r="I9" i="23"/>
  <c r="I10" i="23"/>
  <c r="I11" i="23"/>
  <c r="I12" i="23"/>
  <c r="M12" i="23" s="1"/>
  <c r="I13" i="23"/>
  <c r="N13" i="23" s="1"/>
  <c r="I14" i="23"/>
  <c r="J14" i="23" s="1"/>
  <c r="I15" i="23"/>
  <c r="J15" i="23" s="1"/>
  <c r="I16" i="23"/>
  <c r="J16" i="23" s="1"/>
  <c r="I17" i="23"/>
  <c r="O17" i="23" s="1"/>
  <c r="P17" i="23" s="1"/>
  <c r="I18" i="23"/>
  <c r="N18" i="23" s="1"/>
  <c r="I19" i="23"/>
  <c r="J19" i="23" s="1"/>
  <c r="I20" i="23"/>
  <c r="O20" i="23" s="1"/>
  <c r="P20" i="23" s="1"/>
  <c r="L4" i="23"/>
  <c r="P4" i="23" s="1"/>
  <c r="L6" i="23"/>
  <c r="G7" i="23"/>
  <c r="G8" i="23"/>
  <c r="G9" i="23"/>
  <c r="G10" i="23"/>
  <c r="G11" i="23"/>
  <c r="G12" i="23"/>
  <c r="L12" i="23"/>
  <c r="G13" i="23"/>
  <c r="L13" i="23"/>
  <c r="G14" i="23"/>
  <c r="L14" i="23"/>
  <c r="G15" i="23"/>
  <c r="L15" i="23"/>
  <c r="G16" i="23"/>
  <c r="L16" i="23"/>
  <c r="G17" i="23"/>
  <c r="L17" i="23"/>
  <c r="G18" i="23"/>
  <c r="L18" i="23"/>
  <c r="G19" i="23"/>
  <c r="L19" i="23"/>
  <c r="G20" i="23"/>
  <c r="L20" i="23"/>
  <c r="C4" i="23" l="1"/>
  <c r="M8" i="23" s="1"/>
  <c r="J9" i="23"/>
  <c r="J8" i="23"/>
  <c r="J12" i="23"/>
  <c r="AA8" i="10"/>
  <c r="X7" i="10" s="1"/>
  <c r="AC9" i="10"/>
  <c r="L8" i="23"/>
  <c r="J18" i="23"/>
  <c r="L10" i="23"/>
  <c r="N12" i="23"/>
  <c r="J20" i="23"/>
  <c r="L9" i="23"/>
  <c r="J17" i="23"/>
  <c r="J10" i="23"/>
  <c r="N17" i="23"/>
  <c r="L7" i="23"/>
  <c r="O15" i="23"/>
  <c r="P15" i="23" s="1"/>
  <c r="J13" i="23"/>
  <c r="J6" i="23"/>
  <c r="N16" i="23"/>
  <c r="J7" i="23"/>
  <c r="J11" i="23"/>
  <c r="N14" i="23"/>
  <c r="L11" i="23"/>
  <c r="I4" i="23"/>
  <c r="O19" i="23"/>
  <c r="P19" i="23" s="1"/>
  <c r="O13" i="23"/>
  <c r="P13" i="23" s="1"/>
  <c r="O16" i="23"/>
  <c r="P16" i="23" s="1"/>
  <c r="N20" i="23"/>
  <c r="N19" i="23"/>
  <c r="O18" i="23"/>
  <c r="P18" i="23" s="1"/>
  <c r="N15" i="23"/>
  <c r="O14" i="23"/>
  <c r="P14" i="23" s="1"/>
  <c r="H36" i="10"/>
  <c r="H37" i="10"/>
  <c r="H38" i="10"/>
  <c r="H39" i="10"/>
  <c r="H40" i="10"/>
  <c r="H41" i="10"/>
  <c r="H42" i="10"/>
  <c r="H43" i="10"/>
  <c r="N29" i="10"/>
  <c r="D4" i="23" l="1"/>
  <c r="J4" i="23" s="1"/>
  <c r="M11" i="23"/>
  <c r="N11" i="23" s="1"/>
  <c r="M6" i="23"/>
  <c r="N6" i="23" s="1"/>
  <c r="M9" i="23"/>
  <c r="O9" i="23" s="1"/>
  <c r="P9" i="23" s="1"/>
  <c r="M7" i="23"/>
  <c r="N7" i="23" s="1"/>
  <c r="M10" i="23"/>
  <c r="O10" i="23" s="1"/>
  <c r="P10" i="23" s="1"/>
  <c r="O12" i="23"/>
  <c r="P12" i="23" s="1"/>
  <c r="AA7" i="10"/>
  <c r="X6" i="10" s="1"/>
  <c r="AC8" i="10"/>
  <c r="N8" i="23"/>
  <c r="O8" i="23"/>
  <c r="P8" i="23" s="1"/>
  <c r="AC38" i="1"/>
  <c r="K4" i="23" l="1"/>
  <c r="M4" i="23" s="1"/>
  <c r="N4" i="23" s="1"/>
  <c r="O6" i="23"/>
  <c r="P6" i="23" s="1"/>
  <c r="N9" i="23"/>
  <c r="O11" i="23"/>
  <c r="P11" i="23" s="1"/>
  <c r="O7" i="23"/>
  <c r="P7" i="23" s="1"/>
  <c r="N10" i="23"/>
  <c r="AC7" i="10"/>
  <c r="AA6" i="10"/>
  <c r="X5" i="10" s="1"/>
  <c r="AC5" i="10" s="1"/>
  <c r="I4" i="16"/>
  <c r="M22" i="23" l="1"/>
  <c r="N22" i="23" s="1"/>
  <c r="O4" i="23"/>
  <c r="O21" i="23" s="1"/>
  <c r="P21" i="23" s="1"/>
  <c r="AC6" i="10"/>
  <c r="AC20" i="10" s="1"/>
  <c r="M4" i="16" l="1"/>
  <c r="N4" i="16" s="1"/>
  <c r="J4" i="16" l="1"/>
  <c r="E27" i="19"/>
  <c r="AC4" i="16" l="1"/>
  <c r="AD4" i="16" s="1"/>
  <c r="Y4" i="16"/>
  <c r="N1" i="16"/>
  <c r="X4" i="16" l="1"/>
  <c r="AE4" i="16"/>
  <c r="AZ21" i="22" l="1"/>
  <c r="AD21" i="22" s="1"/>
  <c r="AZ20" i="22"/>
  <c r="AD20" i="22" s="1"/>
  <c r="AZ19" i="22"/>
  <c r="AD19" i="22" s="1"/>
  <c r="R20" i="22"/>
  <c r="K20" i="22"/>
  <c r="AZ18" i="22"/>
  <c r="AD18" i="22" s="1"/>
  <c r="AZ17" i="22"/>
  <c r="AD17" i="22" s="1"/>
  <c r="AZ16" i="22"/>
  <c r="AD16" i="22" s="1"/>
  <c r="AZ15" i="22"/>
  <c r="AD15" i="22" s="1"/>
  <c r="AZ14" i="22"/>
  <c r="AD14" i="22" s="1"/>
  <c r="R14" i="22"/>
  <c r="K14" i="22"/>
  <c r="D14" i="22"/>
  <c r="AZ13" i="22"/>
  <c r="AD13" i="22" s="1"/>
  <c r="R13" i="22"/>
  <c r="K13" i="22"/>
  <c r="D13" i="22"/>
  <c r="AZ12" i="22"/>
  <c r="AD12" i="22" s="1"/>
  <c r="S12" i="22"/>
  <c r="R12" i="22" s="1"/>
  <c r="L12" i="22"/>
  <c r="K12" i="22" s="1"/>
  <c r="E12" i="22"/>
  <c r="D12" i="22" s="1"/>
  <c r="AZ11" i="22"/>
  <c r="AD11" i="22" s="1"/>
  <c r="S11" i="22"/>
  <c r="R11" i="22" s="1"/>
  <c r="L11" i="22"/>
  <c r="K11" i="22" s="1"/>
  <c r="E11" i="22"/>
  <c r="D11" i="22" s="1"/>
  <c r="AZ10" i="22"/>
  <c r="AD10" i="22" s="1"/>
  <c r="AZ9" i="22"/>
  <c r="AD9" i="22" s="1"/>
  <c r="Y9" i="22"/>
  <c r="S9" i="22"/>
  <c r="L9" i="22"/>
  <c r="E9" i="22"/>
  <c r="AZ8" i="22"/>
  <c r="AD8" i="22" s="1"/>
  <c r="Y8" i="22"/>
  <c r="Q8" i="22"/>
  <c r="P8" i="22"/>
  <c r="J8" i="22"/>
  <c r="I8" i="22"/>
  <c r="C8" i="22"/>
  <c r="B8" i="22"/>
  <c r="AZ7" i="22"/>
  <c r="AD7" i="22" s="1"/>
  <c r="AZ6" i="22"/>
  <c r="AD6" i="22" s="1"/>
  <c r="Y6" i="22"/>
  <c r="AZ5" i="22"/>
  <c r="AD5" i="22" s="1"/>
  <c r="X5" i="22"/>
  <c r="X11" i="22" s="1"/>
  <c r="W5" i="22"/>
  <c r="AZ4" i="22"/>
  <c r="AD4" i="22" s="1"/>
  <c r="AZ3" i="22"/>
  <c r="AZ2" i="22"/>
  <c r="AD2" i="22" s="1"/>
  <c r="Q19" i="22" l="1"/>
  <c r="Q16" i="22"/>
  <c r="Q18" i="22"/>
  <c r="Q17" i="22"/>
  <c r="P17" i="22"/>
  <c r="P19" i="22"/>
  <c r="P16" i="22"/>
  <c r="P18" i="22"/>
  <c r="I16" i="22"/>
  <c r="I18" i="22"/>
  <c r="I19" i="22"/>
  <c r="I17" i="22"/>
  <c r="J17" i="22"/>
  <c r="J19" i="22"/>
  <c r="J18" i="22"/>
  <c r="J16" i="22"/>
  <c r="I14" i="22"/>
  <c r="B20" i="22"/>
  <c r="P20" i="22"/>
  <c r="W9" i="22"/>
  <c r="W11" i="22"/>
  <c r="W8" i="22"/>
  <c r="W10" i="22"/>
  <c r="Q13" i="22"/>
  <c r="S10" i="22"/>
  <c r="S23" i="22" s="1"/>
  <c r="B14" i="22"/>
  <c r="K10" i="22"/>
  <c r="P14" i="22"/>
  <c r="L10" i="22"/>
  <c r="L23" i="22" s="1"/>
  <c r="R10" i="22"/>
  <c r="P11" i="22"/>
  <c r="P12" i="22"/>
  <c r="Y12" i="22"/>
  <c r="Y7" i="22" s="1"/>
  <c r="X7" i="22" s="1"/>
  <c r="Q20" i="22"/>
  <c r="B11" i="22"/>
  <c r="D10" i="22"/>
  <c r="E10" i="22"/>
  <c r="C10" i="22" s="1"/>
  <c r="B12" i="22"/>
  <c r="J14" i="22"/>
  <c r="C11" i="22"/>
  <c r="Q11" i="22"/>
  <c r="C12" i="22"/>
  <c r="Q12" i="22"/>
  <c r="B13" i="22"/>
  <c r="C13" i="22"/>
  <c r="C20" i="22"/>
  <c r="Q14" i="22"/>
  <c r="X9" i="22"/>
  <c r="I11" i="22"/>
  <c r="I12" i="22"/>
  <c r="I13" i="22"/>
  <c r="I20" i="22"/>
  <c r="X8" i="22"/>
  <c r="AD3" i="22"/>
  <c r="X10" i="22"/>
  <c r="J11" i="22"/>
  <c r="J12" i="22"/>
  <c r="J13" i="22"/>
  <c r="C14" i="22"/>
  <c r="J20" i="22"/>
  <c r="P13" i="22"/>
  <c r="AU9" i="19"/>
  <c r="AS8" i="19"/>
  <c r="AR8" i="19" s="1"/>
  <c r="AS7" i="19"/>
  <c r="AS5" i="19"/>
  <c r="AR4" i="19"/>
  <c r="AQ4" i="19"/>
  <c r="AQ10" i="19" s="1"/>
  <c r="AM9" i="19"/>
  <c r="AK8" i="19"/>
  <c r="AJ8" i="19" s="1"/>
  <c r="AK7" i="19"/>
  <c r="AK5" i="19"/>
  <c r="AJ4" i="19"/>
  <c r="AI4" i="19"/>
  <c r="AI10" i="19" s="1"/>
  <c r="C24" i="22" l="1"/>
  <c r="C22" i="22"/>
  <c r="C23" i="22"/>
  <c r="D24" i="22"/>
  <c r="D22" i="22"/>
  <c r="R24" i="22"/>
  <c r="R22" i="22"/>
  <c r="R23" i="22"/>
  <c r="K24" i="22"/>
  <c r="K23" i="22"/>
  <c r="K22" i="22"/>
  <c r="W12" i="22"/>
  <c r="J10" i="22"/>
  <c r="AK6" i="19"/>
  <c r="AK15" i="19" s="1"/>
  <c r="P10" i="22"/>
  <c r="AR7" i="19"/>
  <c r="Q10" i="22"/>
  <c r="X12" i="22"/>
  <c r="X16" i="22" s="1"/>
  <c r="I10" i="22"/>
  <c r="AJ7" i="19"/>
  <c r="AS6" i="19"/>
  <c r="AS17" i="19" s="1"/>
  <c r="D23" i="22"/>
  <c r="E23" i="22"/>
  <c r="B10" i="22"/>
  <c r="X15" i="22"/>
  <c r="W7" i="22"/>
  <c r="Y15" i="22"/>
  <c r="AR10" i="19"/>
  <c r="AQ11" i="19"/>
  <c r="AR9" i="19"/>
  <c r="AQ8" i="19"/>
  <c r="AR11" i="19"/>
  <c r="AQ12" i="19"/>
  <c r="AQ9" i="19"/>
  <c r="AR12" i="19"/>
  <c r="AQ7" i="19"/>
  <c r="AK17" i="19"/>
  <c r="AK16" i="19"/>
  <c r="AJ10" i="19"/>
  <c r="AI8" i="19"/>
  <c r="AI11" i="19"/>
  <c r="AJ11" i="19"/>
  <c r="AI6" i="19"/>
  <c r="AI12" i="19"/>
  <c r="AJ6" i="19"/>
  <c r="AJ12" i="19"/>
  <c r="AJ9" i="19"/>
  <c r="AI9" i="19"/>
  <c r="AI7" i="19"/>
  <c r="B22" i="22" l="1"/>
  <c r="B23" i="22"/>
  <c r="B24" i="22"/>
  <c r="Q22" i="22"/>
  <c r="Q23" i="22"/>
  <c r="Q24" i="22"/>
  <c r="P22" i="22"/>
  <c r="P24" i="22"/>
  <c r="P23" i="22"/>
  <c r="J22" i="22"/>
  <c r="J24" i="22"/>
  <c r="J23" i="22"/>
  <c r="I22" i="22"/>
  <c r="I24" i="22"/>
  <c r="I23" i="22"/>
  <c r="X14" i="22"/>
  <c r="AS15" i="19"/>
  <c r="AS16" i="19"/>
  <c r="AR6" i="19"/>
  <c r="AR16" i="19" s="1"/>
  <c r="AQ6" i="19"/>
  <c r="AQ14" i="19" s="1"/>
  <c r="W16" i="22"/>
  <c r="W14" i="22"/>
  <c r="W15" i="22"/>
  <c r="AI15" i="19"/>
  <c r="AI17" i="19"/>
  <c r="AI14" i="19"/>
  <c r="AI16" i="19"/>
  <c r="AJ17" i="19"/>
  <c r="AJ14" i="19"/>
  <c r="AJ15" i="19"/>
  <c r="AJ16" i="19"/>
  <c r="D36" i="10"/>
  <c r="D37" i="10"/>
  <c r="D38" i="10"/>
  <c r="D39" i="10"/>
  <c r="D40" i="10"/>
  <c r="D41" i="10"/>
  <c r="D42" i="10"/>
  <c r="D43" i="10"/>
  <c r="AR14" i="19" l="1"/>
  <c r="AR17" i="19"/>
  <c r="AQ16" i="19"/>
  <c r="AR15" i="19"/>
  <c r="AQ17" i="19"/>
  <c r="AQ15" i="19"/>
  <c r="R9" i="20" l="1"/>
  <c r="R8" i="20" s="1"/>
  <c r="R14" i="20" s="1"/>
  <c r="Q6" i="20"/>
  <c r="Q9" i="20" s="1"/>
  <c r="P6" i="20"/>
  <c r="P10" i="20" s="1"/>
  <c r="K9" i="20"/>
  <c r="J6" i="20"/>
  <c r="J10" i="20" s="1"/>
  <c r="I6" i="20"/>
  <c r="L36" i="10"/>
  <c r="L37" i="10"/>
  <c r="L38" i="10"/>
  <c r="L39" i="10"/>
  <c r="L40" i="10"/>
  <c r="L41" i="10"/>
  <c r="L42" i="10"/>
  <c r="L43" i="10"/>
  <c r="L30" i="10"/>
  <c r="Q10" i="20" l="1"/>
  <c r="P8" i="20"/>
  <c r="Q8" i="20"/>
  <c r="P9" i="20"/>
  <c r="R13" i="20"/>
  <c r="K8" i="20"/>
  <c r="I8" i="20" s="1"/>
  <c r="I9" i="20"/>
  <c r="J9" i="20"/>
  <c r="I10" i="20"/>
  <c r="D9" i="20"/>
  <c r="C6" i="20"/>
  <c r="C10" i="20" s="1"/>
  <c r="B6" i="20"/>
  <c r="B10" i="20" s="1"/>
  <c r="K9" i="18"/>
  <c r="K11" i="18" s="1"/>
  <c r="J7" i="18"/>
  <c r="J8" i="18" s="1"/>
  <c r="I7" i="18"/>
  <c r="J5" i="18"/>
  <c r="I5" i="18"/>
  <c r="C7" i="18"/>
  <c r="C8" i="18" s="1"/>
  <c r="D9" i="18"/>
  <c r="C9" i="18" s="1"/>
  <c r="B7" i="18"/>
  <c r="B8" i="18" s="1"/>
  <c r="C5" i="18"/>
  <c r="B5" i="18"/>
  <c r="AA13" i="1"/>
  <c r="AA12" i="1"/>
  <c r="Q13" i="20" l="1"/>
  <c r="Q12" i="20"/>
  <c r="Q14" i="20"/>
  <c r="P14" i="20"/>
  <c r="P13" i="20"/>
  <c r="P12" i="20"/>
  <c r="K14" i="20"/>
  <c r="I13" i="20"/>
  <c r="J8" i="20"/>
  <c r="J14" i="20" s="1"/>
  <c r="K13" i="20"/>
  <c r="I12" i="20"/>
  <c r="I14" i="20"/>
  <c r="D8" i="20"/>
  <c r="D14" i="20" s="1"/>
  <c r="C9" i="20"/>
  <c r="B9" i="20"/>
  <c r="I8" i="18"/>
  <c r="I9" i="18"/>
  <c r="I11" i="18" s="1"/>
  <c r="J9" i="18"/>
  <c r="J11" i="18" s="1"/>
  <c r="C11" i="18"/>
  <c r="B9" i="18"/>
  <c r="B11" i="18" s="1"/>
  <c r="J12" i="20" l="1"/>
  <c r="J13" i="20"/>
  <c r="B8" i="20"/>
  <c r="B14" i="20" s="1"/>
  <c r="C8" i="20"/>
  <c r="C14" i="20" s="1"/>
  <c r="D13" i="20"/>
  <c r="I6" i="1"/>
  <c r="I16" i="1" s="1"/>
  <c r="J6" i="1"/>
  <c r="K9" i="1"/>
  <c r="K10" i="1"/>
  <c r="K11" i="1"/>
  <c r="K13" i="1"/>
  <c r="K14" i="1"/>
  <c r="K15" i="1"/>
  <c r="E28" i="19"/>
  <c r="D28" i="19" s="1"/>
  <c r="D24" i="19"/>
  <c r="D27" i="19" s="1"/>
  <c r="C24" i="19"/>
  <c r="C29" i="19" s="1"/>
  <c r="G29" i="19"/>
  <c r="E25" i="19"/>
  <c r="AC7" i="19"/>
  <c r="AC8" i="19"/>
  <c r="AB4" i="19"/>
  <c r="AB9" i="19" s="1"/>
  <c r="AB8" i="19"/>
  <c r="AA4" i="19"/>
  <c r="AA9" i="19" s="1"/>
  <c r="U7" i="19"/>
  <c r="U8" i="19"/>
  <c r="T8" i="19" s="1"/>
  <c r="T4" i="19"/>
  <c r="T11" i="19" s="1"/>
  <c r="S4" i="19"/>
  <c r="M7" i="19"/>
  <c r="M8" i="19"/>
  <c r="L8" i="19" s="1"/>
  <c r="M6" i="19"/>
  <c r="K6" i="19" s="1"/>
  <c r="L4" i="19"/>
  <c r="L9" i="19" s="1"/>
  <c r="K4" i="19"/>
  <c r="E7" i="19"/>
  <c r="E8" i="19"/>
  <c r="D4" i="19"/>
  <c r="C4" i="19"/>
  <c r="K12" i="19"/>
  <c r="K9" i="19"/>
  <c r="K10" i="19"/>
  <c r="K11" i="19"/>
  <c r="AE9" i="19"/>
  <c r="W9" i="19"/>
  <c r="O9" i="19"/>
  <c r="G9" i="19"/>
  <c r="AC5" i="19"/>
  <c r="U5" i="19"/>
  <c r="M5" i="19"/>
  <c r="E5" i="19"/>
  <c r="R7" i="1"/>
  <c r="R16" i="1" s="1"/>
  <c r="S7" i="1"/>
  <c r="AA41" i="1"/>
  <c r="AC41" i="1" s="1"/>
  <c r="AA40" i="1"/>
  <c r="AC40" i="1" s="1"/>
  <c r="K29" i="18"/>
  <c r="I36" i="18" s="1"/>
  <c r="K22" i="18"/>
  <c r="J18" i="18"/>
  <c r="J26" i="18" s="1"/>
  <c r="I18" i="18"/>
  <c r="I24" i="18" s="1"/>
  <c r="D27" i="18"/>
  <c r="A34" i="18" s="1"/>
  <c r="D26" i="18"/>
  <c r="B18" i="18"/>
  <c r="B21" i="18" s="1"/>
  <c r="A32" i="18" s="1"/>
  <c r="C16" i="18"/>
  <c r="C18" i="18" s="1"/>
  <c r="C22" i="18" s="1"/>
  <c r="D11" i="18"/>
  <c r="F53" i="1"/>
  <c r="G76" i="1"/>
  <c r="F76" i="1"/>
  <c r="E76" i="1"/>
  <c r="G75" i="1"/>
  <c r="F75" i="1"/>
  <c r="E75" i="1"/>
  <c r="G74" i="1"/>
  <c r="F74" i="1"/>
  <c r="E74" i="1"/>
  <c r="G73" i="1"/>
  <c r="E73" i="1"/>
  <c r="G72" i="1"/>
  <c r="F72" i="1"/>
  <c r="E72" i="1"/>
  <c r="G71" i="1"/>
  <c r="F71" i="1"/>
  <c r="E71" i="1"/>
  <c r="G70" i="1"/>
  <c r="F70" i="1"/>
  <c r="E70" i="1"/>
  <c r="G69" i="1"/>
  <c r="E69" i="1"/>
  <c r="D69" i="1"/>
  <c r="F69" i="1" s="1"/>
  <c r="G68" i="1"/>
  <c r="E68" i="1"/>
  <c r="F67" i="1"/>
  <c r="G62" i="1"/>
  <c r="E62" i="1"/>
  <c r="D62" i="1"/>
  <c r="G61" i="1"/>
  <c r="E61" i="1"/>
  <c r="D61" i="1"/>
  <c r="G60" i="1"/>
  <c r="E60" i="1"/>
  <c r="D60" i="1"/>
  <c r="G59" i="1"/>
  <c r="E59" i="1"/>
  <c r="G58" i="1"/>
  <c r="E58" i="1"/>
  <c r="D58" i="1"/>
  <c r="G57" i="1"/>
  <c r="E57" i="1"/>
  <c r="D57" i="1"/>
  <c r="G56" i="1"/>
  <c r="E56" i="1"/>
  <c r="D56" i="1"/>
  <c r="G55" i="1"/>
  <c r="E55" i="1"/>
  <c r="D55" i="1"/>
  <c r="G54" i="1"/>
  <c r="E54" i="1"/>
  <c r="K3" i="16"/>
  <c r="AL19" i="9"/>
  <c r="AJ19" i="9"/>
  <c r="AI19" i="9"/>
  <c r="AF19" i="9"/>
  <c r="AE19" i="9"/>
  <c r="Q19" i="9"/>
  <c r="P19" i="9"/>
  <c r="X19" i="9" s="1"/>
  <c r="N19" i="9"/>
  <c r="R19" i="9" s="1"/>
  <c r="Z19" i="9" s="1"/>
  <c r="F19" i="9"/>
  <c r="AL18" i="9"/>
  <c r="AJ18" i="9"/>
  <c r="AI18" i="9"/>
  <c r="AF18" i="9"/>
  <c r="AE18" i="9"/>
  <c r="Q18" i="9"/>
  <c r="Y18" i="9" s="1"/>
  <c r="P18" i="9"/>
  <c r="X18" i="9" s="1"/>
  <c r="N18" i="9"/>
  <c r="R18" i="9" s="1"/>
  <c r="Z18" i="9" s="1"/>
  <c r="F18" i="9"/>
  <c r="AL17" i="9"/>
  <c r="AJ17" i="9"/>
  <c r="AI17" i="9"/>
  <c r="AF17" i="9"/>
  <c r="AE17" i="9"/>
  <c r="Q17" i="9"/>
  <c r="AH17" i="9" s="1"/>
  <c r="P17" i="9"/>
  <c r="X17" i="9" s="1"/>
  <c r="N17" i="9"/>
  <c r="R17" i="9"/>
  <c r="Z17" i="9" s="1"/>
  <c r="F17" i="9"/>
  <c r="AL16" i="9"/>
  <c r="AJ16" i="9"/>
  <c r="AI16" i="9"/>
  <c r="AF16" i="9"/>
  <c r="AE16" i="9"/>
  <c r="Q16" i="9"/>
  <c r="P16" i="9"/>
  <c r="X16" i="9" s="1"/>
  <c r="N16" i="9"/>
  <c r="R16" i="9" s="1"/>
  <c r="F16" i="9"/>
  <c r="AL15" i="9"/>
  <c r="AJ15" i="9"/>
  <c r="AI15" i="9"/>
  <c r="AF15" i="9"/>
  <c r="AE15" i="9"/>
  <c r="Q15" i="9"/>
  <c r="P15" i="9"/>
  <c r="N15" i="9"/>
  <c r="R15" i="9" s="1"/>
  <c r="F15" i="9"/>
  <c r="AH18" i="9"/>
  <c r="F36" i="10"/>
  <c r="N36" i="10" s="1"/>
  <c r="F37" i="10"/>
  <c r="N37" i="10" s="1"/>
  <c r="F38" i="10"/>
  <c r="N38" i="10" s="1"/>
  <c r="F39" i="10"/>
  <c r="N39" i="10" s="1"/>
  <c r="F40" i="10"/>
  <c r="N40" i="10" s="1"/>
  <c r="F41" i="10"/>
  <c r="N41" i="10" s="1"/>
  <c r="F42" i="10"/>
  <c r="N42" i="10" s="1"/>
  <c r="F43" i="10"/>
  <c r="N43" i="10" s="1"/>
  <c r="F30" i="10"/>
  <c r="N30" i="10" s="1"/>
  <c r="D30" i="10"/>
  <c r="D31" i="10" s="1"/>
  <c r="D40" i="1"/>
  <c r="D39" i="1"/>
  <c r="D38" i="1"/>
  <c r="D36" i="1"/>
  <c r="D35" i="1"/>
  <c r="D34" i="1"/>
  <c r="C31" i="1"/>
  <c r="B31" i="1"/>
  <c r="B41" i="1" s="1"/>
  <c r="M37" i="1"/>
  <c r="T40" i="1"/>
  <c r="T39" i="1"/>
  <c r="T38" i="1"/>
  <c r="T37" i="1"/>
  <c r="T36" i="1"/>
  <c r="T35" i="1"/>
  <c r="S32" i="1"/>
  <c r="S41" i="1" s="1"/>
  <c r="R32" i="1"/>
  <c r="F13" i="9"/>
  <c r="AL7" i="9"/>
  <c r="AL8" i="9"/>
  <c r="AL9" i="9"/>
  <c r="AL10" i="9"/>
  <c r="AL11" i="9"/>
  <c r="AL12" i="9"/>
  <c r="AL13" i="9"/>
  <c r="AL14" i="9"/>
  <c r="AL20" i="9"/>
  <c r="AL21" i="9"/>
  <c r="AL22" i="9"/>
  <c r="AL23" i="9"/>
  <c r="AL24" i="9"/>
  <c r="AL25" i="9"/>
  <c r="AL26" i="9"/>
  <c r="AL27" i="9"/>
  <c r="AL6" i="9"/>
  <c r="AI13" i="9"/>
  <c r="AI14" i="9"/>
  <c r="AI20" i="9"/>
  <c r="AI21" i="9"/>
  <c r="AI22" i="9"/>
  <c r="AI23" i="9"/>
  <c r="AI24" i="9"/>
  <c r="AI25" i="9"/>
  <c r="AI26" i="9"/>
  <c r="AI27" i="9"/>
  <c r="AI6" i="9"/>
  <c r="AI7" i="9"/>
  <c r="AI8" i="9"/>
  <c r="AI9" i="9"/>
  <c r="AI10" i="9"/>
  <c r="AI11" i="9"/>
  <c r="AI12" i="9"/>
  <c r="AJ7" i="9"/>
  <c r="AJ8" i="9"/>
  <c r="AJ9" i="9"/>
  <c r="AJ10" i="9"/>
  <c r="AJ11" i="9"/>
  <c r="AJ12" i="9"/>
  <c r="AJ13" i="9"/>
  <c r="AJ14" i="9"/>
  <c r="AJ20" i="9"/>
  <c r="AJ21" i="9"/>
  <c r="AJ22" i="9"/>
  <c r="AJ23" i="9"/>
  <c r="AJ24" i="9"/>
  <c r="AJ25" i="9"/>
  <c r="AJ26" i="9"/>
  <c r="AJ27" i="9"/>
  <c r="AJ6" i="9"/>
  <c r="AF7" i="9"/>
  <c r="AF8" i="9"/>
  <c r="AF9" i="9"/>
  <c r="AF10" i="9"/>
  <c r="AF11" i="9"/>
  <c r="AF12" i="9"/>
  <c r="AF13" i="9"/>
  <c r="AF14" i="9"/>
  <c r="AF20" i="9"/>
  <c r="AF21" i="9"/>
  <c r="AF22" i="9"/>
  <c r="AF23" i="9"/>
  <c r="AF24" i="9"/>
  <c r="AF25" i="9"/>
  <c r="AF26" i="9"/>
  <c r="AF27" i="9"/>
  <c r="AF6" i="9"/>
  <c r="AE7" i="9"/>
  <c r="AE8" i="9"/>
  <c r="AE9" i="9"/>
  <c r="AE10" i="9"/>
  <c r="AK10" i="9" s="1"/>
  <c r="AE11" i="9"/>
  <c r="AE12" i="9"/>
  <c r="AE13" i="9"/>
  <c r="AE14" i="9"/>
  <c r="AE20" i="9"/>
  <c r="AE21" i="9"/>
  <c r="AE22" i="9"/>
  <c r="AE23" i="9"/>
  <c r="AM23" i="9" s="1"/>
  <c r="AE24" i="9"/>
  <c r="AE25" i="9"/>
  <c r="AK25" i="9" s="1"/>
  <c r="AE26" i="9"/>
  <c r="AE27" i="9"/>
  <c r="AE6" i="9"/>
  <c r="Q6" i="9"/>
  <c r="AH6" i="9" s="1"/>
  <c r="Q7" i="9"/>
  <c r="AH7" i="9"/>
  <c r="Q8" i="9"/>
  <c r="AH8" i="9"/>
  <c r="Q9" i="9"/>
  <c r="AH9" i="9" s="1"/>
  <c r="Q10" i="9"/>
  <c r="AH10" i="9" s="1"/>
  <c r="Q11" i="9"/>
  <c r="AH11" i="9" s="1"/>
  <c r="Q13" i="9"/>
  <c r="AH13" i="9" s="1"/>
  <c r="Q14" i="9"/>
  <c r="AH14" i="9" s="1"/>
  <c r="Q20" i="9"/>
  <c r="AH20" i="9" s="1"/>
  <c r="Q21" i="9"/>
  <c r="Y21" i="9" s="1"/>
  <c r="Q22" i="9"/>
  <c r="AH22" i="9" s="1"/>
  <c r="Q23" i="9"/>
  <c r="Y23" i="9" s="1"/>
  <c r="Q24" i="9"/>
  <c r="AH24" i="9" s="1"/>
  <c r="Q25" i="9"/>
  <c r="AH25" i="9" s="1"/>
  <c r="Q26" i="9"/>
  <c r="Y26" i="9" s="1"/>
  <c r="Q27" i="9"/>
  <c r="AH27" i="9" s="1"/>
  <c r="Q12" i="9"/>
  <c r="AH12" i="9" s="1"/>
  <c r="P23" i="9"/>
  <c r="X23" i="9" s="1"/>
  <c r="P24" i="9"/>
  <c r="X24" i="9" s="1"/>
  <c r="P25" i="9"/>
  <c r="P26" i="9"/>
  <c r="X26" i="9" s="1"/>
  <c r="F9" i="9"/>
  <c r="F10" i="9"/>
  <c r="F11" i="9"/>
  <c r="F12" i="9"/>
  <c r="F14" i="9"/>
  <c r="F20" i="9"/>
  <c r="F21" i="9"/>
  <c r="F22" i="9"/>
  <c r="F23" i="9"/>
  <c r="F24" i="9"/>
  <c r="F25" i="9"/>
  <c r="F26" i="9"/>
  <c r="F27" i="9"/>
  <c r="F6" i="9"/>
  <c r="F7" i="9"/>
  <c r="F8" i="9"/>
  <c r="L14" i="10"/>
  <c r="L15" i="10"/>
  <c r="L16" i="10"/>
  <c r="L17" i="10"/>
  <c r="L18" i="10"/>
  <c r="L19" i="10"/>
  <c r="H19" i="10"/>
  <c r="F19" i="10"/>
  <c r="N19" i="10" s="1"/>
  <c r="H18" i="10"/>
  <c r="F18" i="10"/>
  <c r="N18" i="10" s="1"/>
  <c r="H17" i="10"/>
  <c r="F17" i="10"/>
  <c r="N17" i="10" s="1"/>
  <c r="H16" i="10"/>
  <c r="F16" i="10"/>
  <c r="N16" i="10" s="1"/>
  <c r="H15" i="10"/>
  <c r="F15" i="10"/>
  <c r="N15" i="10" s="1"/>
  <c r="F14" i="10"/>
  <c r="N14" i="10" s="1"/>
  <c r="F13" i="10"/>
  <c r="N13" i="10" s="1"/>
  <c r="F12" i="10"/>
  <c r="N12" i="10" s="1"/>
  <c r="F11" i="10"/>
  <c r="N11" i="10" s="1"/>
  <c r="F10" i="10"/>
  <c r="N10" i="10" s="1"/>
  <c r="F9" i="10"/>
  <c r="N9" i="10" s="1"/>
  <c r="F8" i="10"/>
  <c r="N8" i="10" s="1"/>
  <c r="F7" i="10"/>
  <c r="N7" i="10" s="1"/>
  <c r="F6" i="10"/>
  <c r="N6" i="10" s="1"/>
  <c r="N5" i="10"/>
  <c r="D19" i="10"/>
  <c r="D18" i="10"/>
  <c r="D17" i="10"/>
  <c r="D16" i="10"/>
  <c r="D15" i="10"/>
  <c r="D14" i="10"/>
  <c r="AK9" i="9"/>
  <c r="AK8" i="9"/>
  <c r="AK21" i="9"/>
  <c r="AK11" i="9"/>
  <c r="J7" i="10"/>
  <c r="I9" i="10"/>
  <c r="J6" i="10"/>
  <c r="N7" i="9"/>
  <c r="R7" i="9" s="1"/>
  <c r="P7" i="9"/>
  <c r="X7" i="9" s="1"/>
  <c r="N8" i="9"/>
  <c r="R8" i="9" s="1"/>
  <c r="Z8" i="9" s="1"/>
  <c r="P8" i="9"/>
  <c r="X8" i="9" s="1"/>
  <c r="N9" i="9"/>
  <c r="P9" i="9"/>
  <c r="X9" i="9" s="1"/>
  <c r="N10" i="9"/>
  <c r="R10" i="9" s="1"/>
  <c r="P10" i="9"/>
  <c r="N11" i="9"/>
  <c r="P11" i="9"/>
  <c r="X11" i="9" s="1"/>
  <c r="N12" i="9"/>
  <c r="P12" i="9"/>
  <c r="X12" i="9" s="1"/>
  <c r="N13" i="9"/>
  <c r="R13" i="9" s="1"/>
  <c r="P13" i="9"/>
  <c r="N14" i="9"/>
  <c r="R14" i="9" s="1"/>
  <c r="P14" i="9"/>
  <c r="X14" i="9" s="1"/>
  <c r="N20" i="9"/>
  <c r="R20" i="9" s="1"/>
  <c r="Z20" i="9" s="1"/>
  <c r="P20" i="9"/>
  <c r="X20" i="9" s="1"/>
  <c r="N21" i="9"/>
  <c r="R21" i="9" s="1"/>
  <c r="S21" i="9" s="1"/>
  <c r="AA21" i="9" s="1"/>
  <c r="P21" i="9"/>
  <c r="X21" i="9" s="1"/>
  <c r="N22" i="9"/>
  <c r="R22" i="9" s="1"/>
  <c r="Z22" i="9" s="1"/>
  <c r="P22" i="9"/>
  <c r="X22" i="9" s="1"/>
  <c r="N23" i="9"/>
  <c r="R23" i="9" s="1"/>
  <c r="N24" i="9"/>
  <c r="R24" i="9" s="1"/>
  <c r="S24" i="9" s="1"/>
  <c r="AA24" i="9" s="1"/>
  <c r="N25" i="9"/>
  <c r="N26" i="9"/>
  <c r="R26" i="9" s="1"/>
  <c r="N27" i="9"/>
  <c r="P27" i="9" s="1"/>
  <c r="X27" i="9" s="1"/>
  <c r="N6" i="9"/>
  <c r="R6" i="9" s="1"/>
  <c r="N44" i="10"/>
  <c r="N20" i="10"/>
  <c r="K43" i="10"/>
  <c r="J43" i="10"/>
  <c r="I43" i="10"/>
  <c r="J42" i="10"/>
  <c r="I42" i="10"/>
  <c r="J41" i="10"/>
  <c r="I41" i="10"/>
  <c r="J40" i="10"/>
  <c r="I40" i="10"/>
  <c r="J39" i="10"/>
  <c r="I39" i="10"/>
  <c r="J38" i="10"/>
  <c r="I38" i="10"/>
  <c r="J37" i="10"/>
  <c r="I37" i="10"/>
  <c r="J36" i="10"/>
  <c r="I36" i="10"/>
  <c r="J35" i="10"/>
  <c r="J34" i="10"/>
  <c r="J33" i="10"/>
  <c r="J32" i="10"/>
  <c r="J31" i="10"/>
  <c r="J30" i="10"/>
  <c r="I29" i="10"/>
  <c r="I14" i="10"/>
  <c r="I15" i="10"/>
  <c r="I16" i="10"/>
  <c r="I17" i="10"/>
  <c r="I18" i="10"/>
  <c r="I19" i="10"/>
  <c r="M15" i="10"/>
  <c r="M16" i="10"/>
  <c r="M17" i="10"/>
  <c r="M18" i="10"/>
  <c r="M19" i="10"/>
  <c r="J10" i="10"/>
  <c r="J14" i="10"/>
  <c r="J15" i="10"/>
  <c r="J16" i="10"/>
  <c r="J17" i="10"/>
  <c r="J18" i="10"/>
  <c r="J19" i="10"/>
  <c r="K15" i="10"/>
  <c r="H14" i="10"/>
  <c r="K14" i="10"/>
  <c r="H13" i="10"/>
  <c r="K16" i="10"/>
  <c r="K17" i="10"/>
  <c r="K18" i="10"/>
  <c r="K19" i="10"/>
  <c r="I12" i="10"/>
  <c r="I6" i="10"/>
  <c r="M14" i="10"/>
  <c r="D13" i="10"/>
  <c r="J12" i="10"/>
  <c r="D12" i="10"/>
  <c r="L13" i="10"/>
  <c r="L12" i="10"/>
  <c r="D11" i="10"/>
  <c r="D10" i="10"/>
  <c r="L11" i="10"/>
  <c r="L10" i="10"/>
  <c r="L9" i="10"/>
  <c r="D9" i="10"/>
  <c r="J11" i="10"/>
  <c r="J9" i="10"/>
  <c r="D8" i="10"/>
  <c r="D7" i="10"/>
  <c r="D6" i="10"/>
  <c r="L6" i="10"/>
  <c r="I13" i="10"/>
  <c r="J8" i="10"/>
  <c r="J13" i="10"/>
  <c r="K13" i="10"/>
  <c r="H12" i="10"/>
  <c r="I5" i="10"/>
  <c r="I10" i="10"/>
  <c r="K12" i="10"/>
  <c r="H11" i="10" s="1"/>
  <c r="M13" i="10"/>
  <c r="K40" i="1"/>
  <c r="M40" i="1" s="1"/>
  <c r="K39" i="1"/>
  <c r="M39" i="1" s="1"/>
  <c r="K36" i="1"/>
  <c r="M36" i="1" s="1"/>
  <c r="K38" i="1"/>
  <c r="M38" i="1" s="1"/>
  <c r="K35" i="1"/>
  <c r="M35" i="1" s="1"/>
  <c r="K34" i="1"/>
  <c r="M34" i="1" s="1"/>
  <c r="J31" i="1"/>
  <c r="J41" i="1" s="1"/>
  <c r="I31" i="1"/>
  <c r="I41" i="1" s="1"/>
  <c r="D15" i="1"/>
  <c r="D14" i="1"/>
  <c r="D13" i="1"/>
  <c r="D10" i="1"/>
  <c r="AA37" i="1"/>
  <c r="AC37" i="1" s="1"/>
  <c r="AA39" i="1"/>
  <c r="AC39" i="1" s="1"/>
  <c r="AA36" i="1"/>
  <c r="AC36" i="1" s="1"/>
  <c r="AA35" i="1"/>
  <c r="AC35" i="1" s="1"/>
  <c r="Z32" i="1"/>
  <c r="Y32" i="1"/>
  <c r="Y38" i="1" s="1"/>
  <c r="AA15" i="1"/>
  <c r="AA14" i="1"/>
  <c r="AA11" i="1"/>
  <c r="AA10" i="1"/>
  <c r="Z7" i="1"/>
  <c r="Y7" i="1"/>
  <c r="T13" i="1"/>
  <c r="T11" i="1"/>
  <c r="T15" i="1"/>
  <c r="T14" i="1"/>
  <c r="T10" i="1"/>
  <c r="T12" i="1"/>
  <c r="M12" i="10"/>
  <c r="D11" i="1"/>
  <c r="C6" i="1"/>
  <c r="C16" i="1" s="1"/>
  <c r="B6" i="1"/>
  <c r="B16" i="1" s="1"/>
  <c r="D9" i="1"/>
  <c r="R25" i="9"/>
  <c r="Z25" i="9" s="1"/>
  <c r="AK23" i="9"/>
  <c r="AK22" i="9"/>
  <c r="R12" i="9"/>
  <c r="R11" i="9"/>
  <c r="S11" i="9" s="1"/>
  <c r="AA11" i="9" s="1"/>
  <c r="R9" i="9"/>
  <c r="Z9" i="9" s="1"/>
  <c r="AM7" i="9"/>
  <c r="Y20" i="9"/>
  <c r="Y7" i="9"/>
  <c r="AM21" i="9"/>
  <c r="AM12" i="9"/>
  <c r="AM22" i="9"/>
  <c r="AM8" i="9"/>
  <c r="AM11" i="9"/>
  <c r="AM10" i="9"/>
  <c r="AM9" i="9"/>
  <c r="T27" i="9"/>
  <c r="AB27" i="9" s="1"/>
  <c r="Y11" i="9"/>
  <c r="X10" i="9"/>
  <c r="Y8" i="9"/>
  <c r="X13" i="9"/>
  <c r="Y13" i="9"/>
  <c r="Y25" i="9"/>
  <c r="X25" i="9"/>
  <c r="Y12" i="9"/>
  <c r="C7" i="19" l="1"/>
  <c r="L8" i="10"/>
  <c r="I8" i="10"/>
  <c r="I11" i="10"/>
  <c r="I7" i="10"/>
  <c r="K11" i="10"/>
  <c r="H10" i="10" s="1"/>
  <c r="K10" i="10" s="1"/>
  <c r="H9" i="10" s="1"/>
  <c r="K9" i="10" s="1"/>
  <c r="H8" i="10" s="1"/>
  <c r="K8" i="10" s="1"/>
  <c r="H7" i="10" s="1"/>
  <c r="K7" i="10" s="1"/>
  <c r="H6" i="10" s="1"/>
  <c r="K6" i="10" s="1"/>
  <c r="H5" i="10" s="1"/>
  <c r="M5" i="10" s="1"/>
  <c r="L7" i="10"/>
  <c r="AM27" i="9"/>
  <c r="L12" i="19"/>
  <c r="AK14" i="9"/>
  <c r="Y22" i="9"/>
  <c r="Y27" i="9"/>
  <c r="S19" i="9"/>
  <c r="AA19" i="9" s="1"/>
  <c r="AK7" i="9"/>
  <c r="AM13" i="9"/>
  <c r="L11" i="19"/>
  <c r="AA12" i="19"/>
  <c r="L10" i="19"/>
  <c r="AM24" i="9"/>
  <c r="C8" i="19"/>
  <c r="K7" i="19"/>
  <c r="AA11" i="19"/>
  <c r="AK27" i="9"/>
  <c r="AA10" i="19"/>
  <c r="AH26" i="9"/>
  <c r="AH21" i="9"/>
  <c r="AM6" i="9"/>
  <c r="AK20" i="9"/>
  <c r="AM17" i="9"/>
  <c r="AM26" i="9"/>
  <c r="AB11" i="19"/>
  <c r="T25" i="9"/>
  <c r="AB25" i="9" s="1"/>
  <c r="AM20" i="9"/>
  <c r="AK19" i="9"/>
  <c r="C12" i="19"/>
  <c r="E6" i="19"/>
  <c r="D6" i="19" s="1"/>
  <c r="S8" i="19"/>
  <c r="AC6" i="19"/>
  <c r="AM14" i="9"/>
  <c r="Y9" i="9"/>
  <c r="R27" i="9"/>
  <c r="AK17" i="9"/>
  <c r="C11" i="19"/>
  <c r="T10" i="19"/>
  <c r="C10" i="19"/>
  <c r="T9" i="19"/>
  <c r="T12" i="19"/>
  <c r="Y10" i="9"/>
  <c r="AM25" i="9"/>
  <c r="Z11" i="9"/>
  <c r="AK26" i="9"/>
  <c r="AK6" i="9"/>
  <c r="S12" i="16"/>
  <c r="S20" i="16"/>
  <c r="S28" i="16"/>
  <c r="S13" i="16"/>
  <c r="S21" i="16"/>
  <c r="S29" i="16"/>
  <c r="S11" i="16"/>
  <c r="S14" i="16"/>
  <c r="S22" i="16"/>
  <c r="S30" i="16"/>
  <c r="S15" i="16"/>
  <c r="S23" i="16"/>
  <c r="S31" i="16"/>
  <c r="S27" i="16"/>
  <c r="S8" i="16"/>
  <c r="S16" i="16"/>
  <c r="S24" i="16"/>
  <c r="S32" i="16"/>
  <c r="S7" i="16"/>
  <c r="S19" i="16"/>
  <c r="S9" i="16"/>
  <c r="S17" i="16"/>
  <c r="S25" i="16"/>
  <c r="S53" i="16"/>
  <c r="S10" i="16"/>
  <c r="S18" i="16"/>
  <c r="S26" i="16"/>
  <c r="S5" i="16"/>
  <c r="Z14" i="9"/>
  <c r="S14" i="9"/>
  <c r="AA14" i="9" s="1"/>
  <c r="T14" i="9"/>
  <c r="T10" i="9"/>
  <c r="AB10" i="9" s="1"/>
  <c r="Z10" i="9"/>
  <c r="S7" i="9"/>
  <c r="AA7" i="9" s="1"/>
  <c r="Z7" i="9"/>
  <c r="Y24" i="9"/>
  <c r="T9" i="9"/>
  <c r="AK24" i="9"/>
  <c r="T13" i="9"/>
  <c r="U13" i="9" s="1"/>
  <c r="AC13" i="9" s="1"/>
  <c r="S16" i="9"/>
  <c r="AA16" i="9" s="1"/>
  <c r="Z16" i="9"/>
  <c r="T22" i="9"/>
  <c r="AB22" i="9" s="1"/>
  <c r="Y14" i="9"/>
  <c r="S22" i="9"/>
  <c r="AA22" i="9" s="1"/>
  <c r="AM19" i="9"/>
  <c r="M15" i="19"/>
  <c r="T19" i="9"/>
  <c r="AB19" i="9" s="1"/>
  <c r="C9" i="19"/>
  <c r="U27" i="9"/>
  <c r="AC27" i="9" s="1"/>
  <c r="T12" i="9"/>
  <c r="AB12" i="9" s="1"/>
  <c r="AH23" i="9"/>
  <c r="AK15" i="9"/>
  <c r="AM18" i="9"/>
  <c r="S25" i="9"/>
  <c r="AA25" i="9" s="1"/>
  <c r="T21" i="9"/>
  <c r="U21" i="9" s="1"/>
  <c r="AC21" i="9" s="1"/>
  <c r="AK13" i="9"/>
  <c r="AM15" i="9"/>
  <c r="AK18" i="9"/>
  <c r="J24" i="18"/>
  <c r="AK12" i="9"/>
  <c r="U25" i="9"/>
  <c r="AC25" i="9" s="1"/>
  <c r="S15" i="9"/>
  <c r="AA15" i="9" s="1"/>
  <c r="Z15" i="9"/>
  <c r="Y17" i="9"/>
  <c r="AB12" i="19"/>
  <c r="K8" i="19"/>
  <c r="L7" i="19"/>
  <c r="AA6" i="19"/>
  <c r="AB7" i="19"/>
  <c r="AB10" i="19"/>
  <c r="AA8" i="19"/>
  <c r="AA7" i="19"/>
  <c r="AA17" i="19" s="1"/>
  <c r="M43" i="10"/>
  <c r="F31" i="10"/>
  <c r="L31" i="10"/>
  <c r="I30" i="10"/>
  <c r="D32" i="10"/>
  <c r="D29" i="19"/>
  <c r="C30" i="19"/>
  <c r="D30" i="19"/>
  <c r="P6" i="9"/>
  <c r="T6" i="9" s="1"/>
  <c r="AB6" i="9" s="1"/>
  <c r="Y6" i="9"/>
  <c r="Z6" i="9"/>
  <c r="S6" i="9"/>
  <c r="AA6" i="9" s="1"/>
  <c r="B13" i="20"/>
  <c r="B12" i="20"/>
  <c r="C12" i="20"/>
  <c r="C13" i="20"/>
  <c r="J25" i="18"/>
  <c r="J19" i="18"/>
  <c r="I25" i="18"/>
  <c r="I26" i="18"/>
  <c r="I22" i="18"/>
  <c r="I34" i="18" s="1"/>
  <c r="J22" i="18"/>
  <c r="B24" i="18"/>
  <c r="C24" i="18"/>
  <c r="B19" i="18"/>
  <c r="A29" i="18" s="1"/>
  <c r="B22" i="18"/>
  <c r="J23" i="18"/>
  <c r="J21" i="18"/>
  <c r="B23" i="18"/>
  <c r="K28" i="18"/>
  <c r="Z40" i="1"/>
  <c r="Z38" i="1"/>
  <c r="I10" i="1"/>
  <c r="Y41" i="1"/>
  <c r="D68" i="1"/>
  <c r="F68" i="1" s="1"/>
  <c r="J38" i="1"/>
  <c r="R14" i="1"/>
  <c r="Z41" i="1"/>
  <c r="Y13" i="1"/>
  <c r="Y12" i="1"/>
  <c r="Z12" i="1"/>
  <c r="Z13" i="1"/>
  <c r="Z42" i="1"/>
  <c r="S10" i="1"/>
  <c r="R39" i="1"/>
  <c r="S16" i="1"/>
  <c r="Z11" i="1"/>
  <c r="Z36" i="1"/>
  <c r="C35" i="1"/>
  <c r="S15" i="1"/>
  <c r="I14" i="1"/>
  <c r="J14" i="1"/>
  <c r="C38" i="1"/>
  <c r="R11" i="1"/>
  <c r="J40" i="1"/>
  <c r="J35" i="1"/>
  <c r="C41" i="1"/>
  <c r="C36" i="1"/>
  <c r="K33" i="1"/>
  <c r="K46" i="1" s="1"/>
  <c r="J39" i="1"/>
  <c r="C39" i="1"/>
  <c r="R10" i="1"/>
  <c r="Z37" i="1"/>
  <c r="R38" i="1"/>
  <c r="S14" i="1"/>
  <c r="R13" i="1"/>
  <c r="I15" i="1"/>
  <c r="Z39" i="1"/>
  <c r="R12" i="1"/>
  <c r="Z10" i="1"/>
  <c r="B9" i="1"/>
  <c r="J37" i="1"/>
  <c r="B11" i="1"/>
  <c r="R15" i="1"/>
  <c r="I34" i="1"/>
  <c r="S38" i="1"/>
  <c r="S36" i="1"/>
  <c r="I38" i="1"/>
  <c r="R41" i="1"/>
  <c r="S37" i="1"/>
  <c r="C13" i="1"/>
  <c r="I36" i="1"/>
  <c r="S35" i="1"/>
  <c r="S39" i="1"/>
  <c r="I13" i="1"/>
  <c r="S12" i="1"/>
  <c r="S40" i="1"/>
  <c r="I11" i="1"/>
  <c r="B13" i="1"/>
  <c r="S13" i="1"/>
  <c r="Z35" i="1"/>
  <c r="I9" i="1"/>
  <c r="J10" i="1"/>
  <c r="AA9" i="1"/>
  <c r="Z9" i="1" s="1"/>
  <c r="B15" i="1"/>
  <c r="Y36" i="1"/>
  <c r="I39" i="1"/>
  <c r="B39" i="1"/>
  <c r="C40" i="1"/>
  <c r="D54" i="1"/>
  <c r="J13" i="1"/>
  <c r="C15" i="1"/>
  <c r="Z16" i="1"/>
  <c r="B14" i="1"/>
  <c r="B12" i="1"/>
  <c r="Z15" i="1"/>
  <c r="Y35" i="1"/>
  <c r="I40" i="1"/>
  <c r="B40" i="1"/>
  <c r="D8" i="1"/>
  <c r="B8" i="1" s="1"/>
  <c r="Y10" i="1"/>
  <c r="Z14" i="1"/>
  <c r="T9" i="1"/>
  <c r="T21" i="1" s="1"/>
  <c r="B10" i="1"/>
  <c r="I12" i="1"/>
  <c r="D33" i="1"/>
  <c r="D45" i="1" s="1"/>
  <c r="T23" i="9"/>
  <c r="Z23" i="9"/>
  <c r="S23" i="9"/>
  <c r="AA23" i="9" s="1"/>
  <c r="U9" i="9"/>
  <c r="AC9" i="9" s="1"/>
  <c r="AB9" i="9"/>
  <c r="S26" i="9"/>
  <c r="AA26" i="9" s="1"/>
  <c r="Z26" i="9"/>
  <c r="T26" i="9"/>
  <c r="S20" i="9"/>
  <c r="AA20" i="9" s="1"/>
  <c r="T7" i="9"/>
  <c r="S10" i="9"/>
  <c r="AA10" i="9" s="1"/>
  <c r="J34" i="1"/>
  <c r="J36" i="1"/>
  <c r="Z12" i="9"/>
  <c r="Z21" i="9"/>
  <c r="C14" i="1"/>
  <c r="C34" i="1"/>
  <c r="Y15" i="9"/>
  <c r="AH15" i="9"/>
  <c r="S12" i="9"/>
  <c r="AA12" i="9" s="1"/>
  <c r="T11" i="9"/>
  <c r="T20" i="9"/>
  <c r="C11" i="1"/>
  <c r="Y14" i="1"/>
  <c r="T8" i="9"/>
  <c r="Z24" i="9"/>
  <c r="S13" i="9"/>
  <c r="AA13" i="9" s="1"/>
  <c r="S9" i="9"/>
  <c r="AA9" i="9" s="1"/>
  <c r="C9" i="1"/>
  <c r="Y40" i="1"/>
  <c r="I35" i="1"/>
  <c r="Y39" i="1"/>
  <c r="I37" i="1"/>
  <c r="R40" i="1"/>
  <c r="R35" i="1"/>
  <c r="R37" i="1"/>
  <c r="B37" i="1"/>
  <c r="U19" i="9"/>
  <c r="AC19" i="9" s="1"/>
  <c r="T17" i="9"/>
  <c r="S17" i="9"/>
  <c r="AA17" i="9" s="1"/>
  <c r="Z13" i="9"/>
  <c r="AH16" i="9"/>
  <c r="Y16" i="9"/>
  <c r="U22" i="9"/>
  <c r="AC22" i="9" s="1"/>
  <c r="S8" i="9"/>
  <c r="AA8" i="9" s="1"/>
  <c r="Y11" i="1"/>
  <c r="Y42" i="1"/>
  <c r="R36" i="1"/>
  <c r="T34" i="1"/>
  <c r="R34" i="1" s="1"/>
  <c r="AK16" i="9"/>
  <c r="AM16" i="9"/>
  <c r="Y19" i="9"/>
  <c r="AH19" i="9"/>
  <c r="C10" i="1"/>
  <c r="C12" i="1"/>
  <c r="S11" i="1"/>
  <c r="Y16" i="1"/>
  <c r="Y15" i="1"/>
  <c r="Y37" i="1"/>
  <c r="T16" i="9"/>
  <c r="X15" i="9"/>
  <c r="T15" i="9"/>
  <c r="T24" i="9"/>
  <c r="B34" i="1"/>
  <c r="B36" i="1"/>
  <c r="B38" i="1"/>
  <c r="B35" i="1"/>
  <c r="S18" i="9"/>
  <c r="AA18" i="9" s="1"/>
  <c r="T18" i="9"/>
  <c r="K14" i="19"/>
  <c r="I23" i="18"/>
  <c r="I21" i="18"/>
  <c r="C21" i="18"/>
  <c r="K4" i="16"/>
  <c r="C23" i="18"/>
  <c r="I19" i="18"/>
  <c r="I31" i="18" s="1"/>
  <c r="C37" i="1"/>
  <c r="T7" i="19"/>
  <c r="U6" i="19"/>
  <c r="S6" i="19" s="1"/>
  <c r="AC17" i="19"/>
  <c r="AC15" i="19"/>
  <c r="AB6" i="19"/>
  <c r="AC16" i="19"/>
  <c r="C19" i="18"/>
  <c r="M16" i="19"/>
  <c r="M17" i="19"/>
  <c r="D11" i="19"/>
  <c r="D7" i="19"/>
  <c r="D12" i="19"/>
  <c r="D9" i="19"/>
  <c r="D10" i="19"/>
  <c r="D8" i="19"/>
  <c r="L6" i="19"/>
  <c r="S7" i="19"/>
  <c r="J16" i="1"/>
  <c r="J11" i="1"/>
  <c r="K8" i="1"/>
  <c r="S12" i="19"/>
  <c r="C28" i="19"/>
  <c r="J12" i="1"/>
  <c r="C27" i="19"/>
  <c r="J15" i="1"/>
  <c r="E26" i="19"/>
  <c r="C26" i="19" s="1"/>
  <c r="J9" i="1"/>
  <c r="S11" i="19"/>
  <c r="S10" i="19"/>
  <c r="S9" i="19"/>
  <c r="K17" i="19" l="1"/>
  <c r="F32" i="10"/>
  <c r="N32" i="10" s="1"/>
  <c r="N31" i="10"/>
  <c r="M9" i="10"/>
  <c r="M10" i="10"/>
  <c r="M11" i="10"/>
  <c r="M8" i="10"/>
  <c r="M7" i="10"/>
  <c r="M6" i="10"/>
  <c r="K16" i="19"/>
  <c r="I31" i="10"/>
  <c r="K15" i="19"/>
  <c r="AA15" i="19"/>
  <c r="AA16" i="19"/>
  <c r="E15" i="19"/>
  <c r="C6" i="19"/>
  <c r="C16" i="19" s="1"/>
  <c r="E16" i="19"/>
  <c r="AB21" i="9"/>
  <c r="E17" i="19"/>
  <c r="AB13" i="9"/>
  <c r="Z27" i="9"/>
  <c r="S27" i="9"/>
  <c r="AA27" i="9" s="1"/>
  <c r="U10" i="9"/>
  <c r="AC10" i="9" s="1"/>
  <c r="R17" i="16"/>
  <c r="R26" i="16"/>
  <c r="R7" i="16"/>
  <c r="R19" i="16"/>
  <c r="S6" i="16"/>
  <c r="R6" i="16"/>
  <c r="R11" i="16"/>
  <c r="J28" i="18"/>
  <c r="U12" i="9"/>
  <c r="AC12" i="9" s="1"/>
  <c r="U14" i="9"/>
  <c r="AC14" i="9" s="1"/>
  <c r="AB14" i="9"/>
  <c r="AA14" i="19"/>
  <c r="J29" i="18"/>
  <c r="K42" i="10"/>
  <c r="L33" i="10"/>
  <c r="L32" i="10"/>
  <c r="D33" i="10"/>
  <c r="X6" i="9"/>
  <c r="U6" i="9"/>
  <c r="AC6" i="9" s="1"/>
  <c r="R22" i="16"/>
  <c r="R5" i="16"/>
  <c r="R13" i="16"/>
  <c r="I28" i="18"/>
  <c r="C27" i="18"/>
  <c r="I29" i="18"/>
  <c r="I32" i="18" s="1"/>
  <c r="B26" i="18"/>
  <c r="C26" i="18"/>
  <c r="B27" i="18"/>
  <c r="A30" i="18" s="1"/>
  <c r="T20" i="1"/>
  <c r="K45" i="1"/>
  <c r="J33" i="1"/>
  <c r="J44" i="1" s="1"/>
  <c r="K44" i="1"/>
  <c r="I33" i="1"/>
  <c r="I45" i="1" s="1"/>
  <c r="T19" i="1"/>
  <c r="S9" i="1"/>
  <c r="S21" i="1" s="1"/>
  <c r="C8" i="1"/>
  <c r="C20" i="1" s="1"/>
  <c r="C33" i="1"/>
  <c r="C43" i="1" s="1"/>
  <c r="D44" i="1"/>
  <c r="Y9" i="1"/>
  <c r="Y19" i="1" s="1"/>
  <c r="R9" i="1"/>
  <c r="R21" i="1" s="1"/>
  <c r="AA21" i="1"/>
  <c r="D46" i="1"/>
  <c r="AA20" i="1"/>
  <c r="D21" i="1"/>
  <c r="D20" i="1"/>
  <c r="D19" i="1"/>
  <c r="AA19" i="1"/>
  <c r="B33" i="1"/>
  <c r="B43" i="1" s="1"/>
  <c r="R44" i="1"/>
  <c r="R45" i="1"/>
  <c r="R43" i="1"/>
  <c r="R46" i="1"/>
  <c r="L15" i="19"/>
  <c r="L17" i="19"/>
  <c r="L16" i="19"/>
  <c r="L14" i="19"/>
  <c r="U7" i="9"/>
  <c r="AC7" i="9" s="1"/>
  <c r="AB7" i="9"/>
  <c r="Z20" i="1"/>
  <c r="Z21" i="1"/>
  <c r="Z18" i="1"/>
  <c r="Z19" i="1"/>
  <c r="R20" i="16"/>
  <c r="R24" i="16"/>
  <c r="R27" i="16"/>
  <c r="U26" i="9"/>
  <c r="AC26" i="9" s="1"/>
  <c r="AB26" i="9"/>
  <c r="E34" i="19"/>
  <c r="E35" i="19"/>
  <c r="E33" i="19"/>
  <c r="S17" i="19"/>
  <c r="S14" i="19"/>
  <c r="S15" i="19"/>
  <c r="S16" i="19"/>
  <c r="R18" i="16"/>
  <c r="R31" i="16"/>
  <c r="R9" i="16"/>
  <c r="U24" i="9"/>
  <c r="AC24" i="9" s="1"/>
  <c r="AB24" i="9"/>
  <c r="AB16" i="19"/>
  <c r="AB17" i="19"/>
  <c r="AB15" i="19"/>
  <c r="AB14" i="19"/>
  <c r="R16" i="16"/>
  <c r="U18" i="9"/>
  <c r="AC18" i="9" s="1"/>
  <c r="AB18" i="9"/>
  <c r="AB15" i="9"/>
  <c r="U15" i="9"/>
  <c r="AC15" i="9" s="1"/>
  <c r="AB20" i="9"/>
  <c r="U20" i="9"/>
  <c r="AC20" i="9" s="1"/>
  <c r="U23" i="9"/>
  <c r="AC23" i="9" s="1"/>
  <c r="AB23" i="9"/>
  <c r="C33" i="19"/>
  <c r="C32" i="19"/>
  <c r="C34" i="19"/>
  <c r="C35" i="19"/>
  <c r="I8" i="1"/>
  <c r="J8" i="1"/>
  <c r="K21" i="1"/>
  <c r="K19" i="1"/>
  <c r="K20" i="1"/>
  <c r="R12" i="16"/>
  <c r="R8" i="16"/>
  <c r="U11" i="9"/>
  <c r="AC11" i="9" s="1"/>
  <c r="AB11" i="9"/>
  <c r="R15" i="16"/>
  <c r="R30" i="16"/>
  <c r="AB16" i="9"/>
  <c r="U16" i="9"/>
  <c r="AC16" i="9" s="1"/>
  <c r="R32" i="16"/>
  <c r="R23" i="16"/>
  <c r="T6" i="19"/>
  <c r="U16" i="19"/>
  <c r="U15" i="19"/>
  <c r="U17" i="19"/>
  <c r="R14" i="16"/>
  <c r="R29" i="16"/>
  <c r="T45" i="1"/>
  <c r="T46" i="1"/>
  <c r="S34" i="1"/>
  <c r="T44" i="1"/>
  <c r="R53" i="16"/>
  <c r="AB17" i="9"/>
  <c r="U17" i="9"/>
  <c r="AC17" i="9" s="1"/>
  <c r="AB8" i="9"/>
  <c r="U8" i="9"/>
  <c r="AC8" i="9" s="1"/>
  <c r="R10" i="16"/>
  <c r="D26" i="19"/>
  <c r="D17" i="19"/>
  <c r="D15" i="19"/>
  <c r="D16" i="19"/>
  <c r="D14" i="19"/>
  <c r="R28" i="16"/>
  <c r="R25" i="16"/>
  <c r="R21" i="16"/>
  <c r="F33" i="10"/>
  <c r="N33" i="10" s="1"/>
  <c r="I32" i="10"/>
  <c r="B19" i="1"/>
  <c r="B18" i="1"/>
  <c r="B20" i="1"/>
  <c r="B21" i="1"/>
  <c r="C14" i="19" l="1"/>
  <c r="C15" i="19"/>
  <c r="C17" i="19"/>
  <c r="M20" i="10"/>
  <c r="L34" i="10"/>
  <c r="K41" i="10"/>
  <c r="M42" i="10"/>
  <c r="D34" i="10"/>
  <c r="J45" i="1"/>
  <c r="C21" i="1"/>
  <c r="J43" i="1"/>
  <c r="C19" i="1"/>
  <c r="I43" i="1"/>
  <c r="I44" i="1"/>
  <c r="J46" i="1"/>
  <c r="Y21" i="1"/>
  <c r="I46" i="1"/>
  <c r="S20" i="1"/>
  <c r="S18" i="1"/>
  <c r="S19" i="1"/>
  <c r="R19" i="1"/>
  <c r="B46" i="1"/>
  <c r="Y20" i="1"/>
  <c r="Y18" i="1"/>
  <c r="R20" i="1"/>
  <c r="R18" i="1"/>
  <c r="C18" i="1"/>
  <c r="B45" i="1"/>
  <c r="B44" i="1"/>
  <c r="C44" i="1"/>
  <c r="C46" i="1"/>
  <c r="C45" i="1"/>
  <c r="I18" i="1"/>
  <c r="I21" i="1"/>
  <c r="I19" i="1"/>
  <c r="I20" i="1"/>
  <c r="D35" i="19"/>
  <c r="D34" i="19"/>
  <c r="D32" i="19"/>
  <c r="D33" i="19"/>
  <c r="T14" i="19"/>
  <c r="T16" i="19"/>
  <c r="T15" i="19"/>
  <c r="T17" i="19"/>
  <c r="F34" i="10"/>
  <c r="I33" i="10"/>
  <c r="S45" i="1"/>
  <c r="S46" i="1"/>
  <c r="S44" i="1"/>
  <c r="S43" i="1"/>
  <c r="J18" i="1"/>
  <c r="J21" i="1"/>
  <c r="J19" i="1"/>
  <c r="J20" i="1"/>
  <c r="F35" i="10" l="1"/>
  <c r="N35" i="10" s="1"/>
  <c r="N34" i="10"/>
  <c r="D35" i="10"/>
  <c r="L35" i="10"/>
  <c r="K40" i="10"/>
  <c r="M41" i="10"/>
  <c r="I34" i="10"/>
  <c r="I35" i="10" l="1"/>
  <c r="K39" i="10"/>
  <c r="M40" i="10"/>
  <c r="K38" i="10" l="1"/>
  <c r="M39" i="10"/>
  <c r="K37" i="10" l="1"/>
  <c r="M38" i="10"/>
  <c r="K36" i="10" l="1"/>
  <c r="H35" i="10" s="1"/>
  <c r="M37" i="10"/>
  <c r="AA34" i="1"/>
  <c r="Y34" i="1" s="1"/>
  <c r="K35" i="10" l="1"/>
  <c r="H34" i="10" s="1"/>
  <c r="M36" i="10"/>
  <c r="AA46" i="1"/>
  <c r="AA45" i="1"/>
  <c r="AA47" i="1"/>
  <c r="Z34" i="1"/>
  <c r="Z46" i="1" s="1"/>
  <c r="Y46" i="1"/>
  <c r="Y45" i="1"/>
  <c r="Y47" i="1"/>
  <c r="Y44" i="1"/>
  <c r="Z45" i="1" l="1"/>
  <c r="K34" i="10"/>
  <c r="H33" i="10" s="1"/>
  <c r="M35" i="10"/>
  <c r="Z44" i="1"/>
  <c r="Z47" i="1"/>
  <c r="M34" i="10" l="1"/>
  <c r="K33" i="10"/>
  <c r="H32" i="10" s="1"/>
  <c r="M33" i="10" l="1"/>
  <c r="K32" i="10"/>
  <c r="H31" i="10" s="1"/>
  <c r="M32" i="10" l="1"/>
  <c r="K31" i="10"/>
  <c r="H30" i="10" s="1"/>
  <c r="M31" i="10" l="1"/>
  <c r="K30" i="10"/>
  <c r="H29" i="10" s="1"/>
  <c r="M29" i="10" l="1"/>
  <c r="M30" i="10"/>
  <c r="M44" i="10" l="1"/>
  <c r="R4" i="16"/>
  <c r="S4" i="16"/>
</calcChain>
</file>

<file path=xl/sharedStrings.xml><?xml version="1.0" encoding="utf-8"?>
<sst xmlns="http://schemas.openxmlformats.org/spreadsheetml/2006/main" count="1595" uniqueCount="409">
  <si>
    <t>10 mM dNTPs</t>
  </si>
  <si>
    <t>5× Q5 reaction buffer</t>
  </si>
  <si>
    <t>Reactions</t>
  </si>
  <si>
    <t>Excess</t>
  </si>
  <si>
    <t>Total:</t>
  </si>
  <si>
    <t>DMSO</t>
  </si>
  <si>
    <t>50% PEG3350</t>
  </si>
  <si>
    <t>1 ref</t>
  </si>
  <si>
    <r>
      <t>diH</t>
    </r>
    <r>
      <rPr>
        <b/>
        <vertAlign val="subscript"/>
        <sz val="11"/>
        <color theme="1"/>
        <rFont val="Calibri"/>
        <family val="2"/>
        <scheme val="minor"/>
      </rPr>
      <t>2</t>
    </r>
    <r>
      <rPr>
        <b/>
        <sz val="11"/>
        <color theme="1"/>
        <rFont val="Calibri"/>
        <family val="2"/>
        <scheme val="minor"/>
      </rPr>
      <t>O</t>
    </r>
  </si>
  <si>
    <t>PEG/LiOAc/ssDNA</t>
  </si>
  <si>
    <t>µL</t>
  </si>
  <si>
    <t>10× Ligase Buffer</t>
  </si>
  <si>
    <t>–</t>
  </si>
  <si>
    <r>
      <t>diH</t>
    </r>
    <r>
      <rPr>
        <b/>
        <vertAlign val="subscript"/>
        <sz val="11"/>
        <color theme="2" tint="-0.749992370372631"/>
        <rFont val="Calibri"/>
        <family val="2"/>
        <scheme val="minor"/>
      </rPr>
      <t>2</t>
    </r>
    <r>
      <rPr>
        <b/>
        <sz val="11"/>
        <color theme="2" tint="-0.749992370372631"/>
        <rFont val="Calibri"/>
        <family val="2"/>
        <scheme val="minor"/>
      </rPr>
      <t>O</t>
    </r>
  </si>
  <si>
    <t>µM</t>
  </si>
  <si>
    <t>×</t>
  </si>
  <si>
    <t>%</t>
  </si>
  <si>
    <t>M</t>
  </si>
  <si>
    <t>U/mL</t>
  </si>
  <si>
    <t>dNTPs</t>
  </si>
  <si>
    <t>Primer 1</t>
  </si>
  <si>
    <t>Primer 2</t>
  </si>
  <si>
    <t>ng/µL</t>
  </si>
  <si>
    <t>Template</t>
  </si>
  <si>
    <t>0–5</t>
  </si>
  <si>
    <t>pg/µL</t>
  </si>
  <si>
    <t>0.02–20</t>
  </si>
  <si>
    <t>[Stock]</t>
  </si>
  <si>
    <t>1)</t>
  </si>
  <si>
    <t>2)</t>
  </si>
  <si>
    <t>3)</t>
  </si>
  <si>
    <t>4)</t>
  </si>
  <si>
    <t>5)</t>
  </si>
  <si>
    <t>6)</t>
  </si>
  <si>
    <t>7)</t>
  </si>
  <si>
    <t>8)</t>
  </si>
  <si>
    <t>9)</t>
  </si>
  <si>
    <t>10)</t>
  </si>
  <si>
    <t>-</t>
  </si>
  <si>
    <t>mol</t>
  </si>
  <si>
    <r>
      <rPr>
        <b/>
        <i/>
        <sz val="12"/>
        <color theme="4" tint="-0.249977111117893"/>
        <rFont val="Calibri Light"/>
        <family val="2"/>
        <scheme val="major"/>
      </rPr>
      <t>V</t>
    </r>
    <r>
      <rPr>
        <b/>
        <vertAlign val="subscript"/>
        <sz val="12"/>
        <color theme="4" tint="-0.249977111117893"/>
        <rFont val="Calibri Light"/>
        <family val="2"/>
        <scheme val="major"/>
      </rPr>
      <t>component</t>
    </r>
  </si>
  <si>
    <t>11)</t>
  </si>
  <si>
    <t>12)</t>
  </si>
  <si>
    <t>13)</t>
  </si>
  <si>
    <t>14)</t>
  </si>
  <si>
    <t>15)</t>
  </si>
  <si>
    <t>16)</t>
  </si>
  <si>
    <t>17)</t>
  </si>
  <si>
    <t>18)</t>
  </si>
  <si>
    <t>19)</t>
  </si>
  <si>
    <t>20)</t>
  </si>
  <si>
    <t>Culture Volume</t>
  </si>
  <si>
    <t>mL</t>
  </si>
  <si>
    <t>(5 mL/3 rxns)</t>
  </si>
  <si>
    <r>
      <t xml:space="preserve">(i.e. 20 µL </t>
    </r>
    <r>
      <rPr>
        <i/>
        <sz val="11"/>
        <color theme="1"/>
        <rFont val="Calibri"/>
        <family val="2"/>
        <scheme val="minor"/>
      </rPr>
      <t>Not</t>
    </r>
    <r>
      <rPr>
        <sz val="11"/>
        <color theme="1"/>
        <rFont val="Calibri"/>
        <family val="2"/>
        <scheme val="minor"/>
      </rPr>
      <t xml:space="preserve">I digest rxn of 8 µL integration plasmid, or 8 µL </t>
    </r>
    <r>
      <rPr>
        <i/>
        <sz val="11"/>
        <color theme="1"/>
        <rFont val="Calibri"/>
        <family val="2"/>
        <scheme val="minor"/>
      </rPr>
      <t>CEN6</t>
    </r>
    <r>
      <rPr>
        <sz val="11"/>
        <color theme="1"/>
        <rFont val="Calibri"/>
        <family val="2"/>
        <scheme val="minor"/>
      </rPr>
      <t>/</t>
    </r>
    <r>
      <rPr>
        <i/>
        <sz val="11"/>
        <color theme="1"/>
        <rFont val="Calibri"/>
        <family val="2"/>
        <scheme val="minor"/>
      </rPr>
      <t>ARS4</t>
    </r>
    <r>
      <rPr>
        <sz val="11"/>
        <color theme="1"/>
        <rFont val="Calibri"/>
        <family val="2"/>
        <scheme val="minor"/>
      </rPr>
      <t xml:space="preserve"> plasmid)</t>
    </r>
  </si>
  <si>
    <t>(e.g. ± µL repair DNA PCR product</t>
  </si>
  <si>
    <t>Enzyme 1</t>
  </si>
  <si>
    <t>Enzyme 2</t>
  </si>
  <si>
    <t>Enzyme 3</t>
  </si>
  <si>
    <t>DNA</t>
  </si>
  <si>
    <t>* For mixed primers, set one ref volume to 0.</t>
  </si>
  <si>
    <t>10× rxn buffer</t>
  </si>
  <si>
    <r>
      <t xml:space="preserve">SPB </t>
    </r>
    <r>
      <rPr>
        <i/>
        <sz val="14"/>
        <color theme="1"/>
        <rFont val="Calibri"/>
        <family val="2"/>
        <scheme val="minor"/>
      </rPr>
      <t>S. cerevisiae</t>
    </r>
    <r>
      <rPr>
        <sz val="14"/>
        <color theme="1"/>
        <rFont val="Calibri"/>
        <family val="2"/>
        <scheme val="minor"/>
      </rPr>
      <t xml:space="preserve"> Transformation</t>
    </r>
  </si>
  <si>
    <t>Transformation DNA</t>
  </si>
  <si>
    <t>50% PEG-3350</t>
  </si>
  <si>
    <t>(e.g. ± 20 µL repair DNA PCR product</t>
  </si>
  <si>
    <r>
      <t xml:space="preserve">(e.g. 20 µL </t>
    </r>
    <r>
      <rPr>
        <i/>
        <sz val="11"/>
        <color theme="1"/>
        <rFont val="Calibri"/>
        <family val="2"/>
        <scheme val="minor"/>
      </rPr>
      <t>Not</t>
    </r>
    <r>
      <rPr>
        <sz val="11"/>
        <color theme="1"/>
        <rFont val="Calibri"/>
        <family val="2"/>
        <scheme val="minor"/>
      </rPr>
      <t>I digest rxn of 8 µL integration plasmid, or 0.5 µL replicative plasmid)</t>
    </r>
  </si>
  <si>
    <t>2 g/L ssDNA</t>
  </si>
  <si>
    <t>1 M LiOAc</t>
  </si>
  <si>
    <t>Choose one:</t>
  </si>
  <si>
    <t>Desired:</t>
  </si>
  <si>
    <t>MW</t>
  </si>
  <si>
    <t>Unit</t>
  </si>
  <si>
    <t>mass (g)</t>
  </si>
  <si>
    <r>
      <t>vol</t>
    </r>
    <r>
      <rPr>
        <b/>
        <vertAlign val="subscript"/>
        <sz val="12"/>
        <color theme="1"/>
        <rFont val="Calibri"/>
        <family val="2"/>
        <scheme val="minor"/>
      </rPr>
      <t>stock</t>
    </r>
  </si>
  <si>
    <t>Factor</t>
  </si>
  <si>
    <t>mM</t>
  </si>
  <si>
    <t>[stock]</t>
  </si>
  <si>
    <t>L</t>
  </si>
  <si>
    <t>g/mol</t>
  </si>
  <si>
    <t>Output:</t>
  </si>
  <si>
    <t>Scaled Output:</t>
  </si>
  <si>
    <t>Compound Name</t>
  </si>
  <si>
    <t>0.5 µM</t>
  </si>
  <si>
    <t>1 pg–1 µg</t>
  </si>
  <si>
    <t>1×</t>
  </si>
  <si>
    <t>Stock [Primers]</t>
  </si>
  <si>
    <t xml:space="preserve">Total – DNA: </t>
  </si>
  <si>
    <r>
      <t xml:space="preserve">PCR Component Calculator: stock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input,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output</t>
    </r>
  </si>
  <si>
    <r>
      <t xml:space="preserve">PCR Component Calculator, </t>
    </r>
    <r>
      <rPr>
        <i/>
        <sz val="14"/>
        <color theme="9" tint="-0.499984740745262"/>
        <rFont val="Calibri Light"/>
        <family val="2"/>
        <scheme val="major"/>
      </rPr>
      <t>V</t>
    </r>
    <r>
      <rPr>
        <i/>
        <vertAlign val="subscript"/>
        <sz val="14"/>
        <color theme="9" tint="-0.499984740745262"/>
        <rFont val="Calibri Light"/>
        <family val="2"/>
        <scheme val="major"/>
      </rPr>
      <t>i</t>
    </r>
    <r>
      <rPr>
        <sz val="14"/>
        <color theme="9" tint="-0.499984740745262"/>
        <rFont val="Calibri Light"/>
        <family val="2"/>
        <scheme val="major"/>
      </rPr>
      <t xml:space="preserve"> input and </t>
    </r>
    <r>
      <rPr>
        <i/>
        <sz val="14"/>
        <color theme="9" tint="-0.499984740745262"/>
        <rFont val="Calibri Light"/>
        <family val="2"/>
        <scheme val="major"/>
      </rPr>
      <t>c</t>
    </r>
    <r>
      <rPr>
        <i/>
        <vertAlign val="subscript"/>
        <sz val="14"/>
        <color theme="9" tint="-0.499984740745262"/>
        <rFont val="Calibri Light"/>
        <family val="2"/>
        <scheme val="major"/>
      </rPr>
      <t>i</t>
    </r>
    <r>
      <rPr>
        <sz val="14"/>
        <color theme="9" tint="-0.499984740745262"/>
        <rFont val="Calibri Light"/>
        <family val="2"/>
        <scheme val="major"/>
      </rPr>
      <t xml:space="preserve"> output</t>
    </r>
  </si>
  <si>
    <t>Reaction buffer</t>
  </si>
  <si>
    <t>DNA Polymerase</t>
  </si>
  <si>
    <t>pg–µg plasmid, µg–ng genome</t>
  </si>
  <si>
    <t xml:space="preserve">Total – PCR pdt &amp; Oligo Anl: </t>
  </si>
  <si>
    <t>Each:</t>
  </si>
  <si>
    <r>
      <t>diH</t>
    </r>
    <r>
      <rPr>
        <b/>
        <vertAlign val="subscript"/>
        <sz val="11"/>
        <color theme="1" tint="0.34998626667073579"/>
        <rFont val="Calibri"/>
        <family val="2"/>
        <scheme val="minor"/>
      </rPr>
      <t>2</t>
    </r>
    <r>
      <rPr>
        <b/>
        <sz val="11"/>
        <color theme="1" tint="0.34998626667073579"/>
        <rFont val="Calibri"/>
        <family val="2"/>
        <scheme val="minor"/>
      </rPr>
      <t>O</t>
    </r>
  </si>
  <si>
    <t>no</t>
  </si>
  <si>
    <t>BSA?</t>
  </si>
  <si>
    <r>
      <t xml:space="preserve">WCD/RC </t>
    </r>
    <r>
      <rPr>
        <i/>
        <sz val="14"/>
        <color theme="1"/>
        <rFont val="Calibri"/>
        <family val="2"/>
        <scheme val="minor"/>
      </rPr>
      <t>S. cerevisiae</t>
    </r>
    <r>
      <rPr>
        <sz val="14"/>
        <color theme="1"/>
        <rFont val="Calibri"/>
        <family val="2"/>
        <scheme val="minor"/>
      </rPr>
      <t xml:space="preserve"> Transformation</t>
    </r>
  </si>
  <si>
    <t>PEG/LiOAc/ssDNA:</t>
  </si>
  <si>
    <t>Total–Template:</t>
  </si>
  <si>
    <t>Total–Primers:</t>
  </si>
  <si>
    <t>Total–Template &amp; Primers:</t>
  </si>
  <si>
    <t>Total–DNA:</t>
  </si>
  <si>
    <t>Total–Enz:</t>
  </si>
  <si>
    <t>Total–DNA/Enz:</t>
  </si>
  <si>
    <t>0.2 µM</t>
  </si>
  <si>
    <t>1 pg – 1 µg template</t>
  </si>
  <si>
    <t>Primer F</t>
  </si>
  <si>
    <t>Primer R</t>
  </si>
  <si>
    <t>Cells/template</t>
  </si>
  <si>
    <r>
      <rPr>
        <b/>
        <sz val="11"/>
        <color theme="0" tint="-4.9989318521683403E-2"/>
        <rFont val="Calibri"/>
        <family val="2"/>
        <scheme val="minor"/>
      </rPr>
      <t xml:space="preserve">2 U/µL </t>
    </r>
    <r>
      <rPr>
        <b/>
        <sz val="11"/>
        <color theme="1" tint="0.34998626667073579"/>
        <rFont val="Calibri"/>
        <family val="2"/>
        <scheme val="minor"/>
      </rPr>
      <t>Q5 DNA polymerase</t>
    </r>
  </si>
  <si>
    <t>0.2 mM</t>
  </si>
  <si>
    <t>Target</t>
  </si>
  <si>
    <t>mmol</t>
  </si>
  <si>
    <t>Excess:</t>
  </si>
  <si>
    <t>Singular volume</t>
  </si>
  <si>
    <t>Dilution Factor</t>
  </si>
  <si>
    <t>Dilute:</t>
  </si>
  <si>
    <r>
      <t xml:space="preserve">Label
</t>
    </r>
    <r>
      <rPr>
        <sz val="6"/>
        <color theme="1"/>
        <rFont val="Calibri"/>
        <family val="2"/>
        <scheme val="minor"/>
      </rPr>
      <t>(opt)</t>
    </r>
  </si>
  <si>
    <t>Ex: dilute from stock for 96-well</t>
  </si>
  <si>
    <r>
      <t xml:space="preserve">Unit
</t>
    </r>
    <r>
      <rPr>
        <b/>
        <sz val="8"/>
        <color theme="2" tint="-0.249977111117893"/>
        <rFont val="Calibri"/>
        <family val="2"/>
        <scheme val="minor"/>
      </rPr>
      <t>α/β</t>
    </r>
  </si>
  <si>
    <r>
      <t>conc</t>
    </r>
    <r>
      <rPr>
        <b/>
        <sz val="8"/>
        <color theme="1"/>
        <rFont val="Calibri"/>
        <family val="2"/>
        <scheme val="minor"/>
      </rPr>
      <t xml:space="preserve"> (</t>
    </r>
    <r>
      <rPr>
        <b/>
        <i/>
        <sz val="8"/>
        <color theme="1"/>
        <rFont val="Calibri"/>
        <family val="2"/>
        <scheme val="minor"/>
      </rPr>
      <t>M</t>
    </r>
    <r>
      <rPr>
        <b/>
        <sz val="8"/>
        <color theme="2" tint="-0.249977111117893"/>
        <rFont val="Calibri"/>
        <family val="2"/>
        <scheme val="minor"/>
      </rPr>
      <t xml:space="preserve"> or α/β</t>
    </r>
    <r>
      <rPr>
        <b/>
        <sz val="8"/>
        <color theme="1"/>
        <rFont val="Calibri"/>
        <family val="2"/>
        <scheme val="minor"/>
      </rPr>
      <t>)</t>
    </r>
  </si>
  <si>
    <r>
      <t>vol</t>
    </r>
    <r>
      <rPr>
        <b/>
        <sz val="8"/>
        <color theme="2" tint="-0.249977111117893"/>
        <rFont val="Calibri"/>
        <family val="2"/>
        <scheme val="minor"/>
      </rPr>
      <t xml:space="preserve"> </t>
    </r>
    <r>
      <rPr>
        <b/>
        <sz val="8"/>
        <rFont val="Calibri"/>
        <family val="2"/>
        <scheme val="minor"/>
      </rPr>
      <t xml:space="preserve">(L </t>
    </r>
    <r>
      <rPr>
        <b/>
        <sz val="8"/>
        <color theme="2" tint="-0.249977111117893"/>
        <rFont val="Calibri"/>
        <family val="2"/>
        <scheme val="minor"/>
      </rPr>
      <t>or β</t>
    </r>
    <r>
      <rPr>
        <b/>
        <sz val="8"/>
        <rFont val="Calibri"/>
        <family val="2"/>
        <scheme val="minor"/>
      </rPr>
      <t>)</t>
    </r>
  </si>
  <si>
    <r>
      <t>amt</t>
    </r>
    <r>
      <rPr>
        <b/>
        <sz val="8"/>
        <color theme="1"/>
        <rFont val="Calibri"/>
        <family val="2"/>
        <scheme val="minor"/>
      </rPr>
      <t xml:space="preserve"> (mol</t>
    </r>
    <r>
      <rPr>
        <b/>
        <sz val="8"/>
        <color theme="2" tint="-0.249977111117893"/>
        <rFont val="Calibri"/>
        <family val="2"/>
        <scheme val="minor"/>
      </rPr>
      <t xml:space="preserve"> or α</t>
    </r>
    <r>
      <rPr>
        <b/>
        <sz val="8"/>
        <color theme="1"/>
        <rFont val="Calibri"/>
        <family val="2"/>
        <scheme val="minor"/>
      </rPr>
      <t>)</t>
    </r>
  </si>
  <si>
    <r>
      <t xml:space="preserve">After weighing solute: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m</t>
    </r>
    <r>
      <rPr>
        <vertAlign val="subscript"/>
        <sz val="11"/>
        <color theme="1"/>
        <rFont val="Calibri"/>
        <family val="2"/>
        <scheme val="minor"/>
      </rPr>
      <t>solute</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solvent</t>
    </r>
  </si>
  <si>
    <t>OR</t>
  </si>
  <si>
    <t>or</t>
  </si>
  <si>
    <t>Label</t>
  </si>
  <si>
    <r>
      <t xml:space="preserve">[stock] </t>
    </r>
    <r>
      <rPr>
        <b/>
        <sz val="8"/>
        <color theme="1"/>
        <rFont val="Calibri"/>
        <family val="2"/>
        <scheme val="minor"/>
      </rPr>
      <t>(α/</t>
    </r>
    <r>
      <rPr>
        <b/>
        <i/>
        <sz val="8"/>
        <color theme="1"/>
        <rFont val="Calibri"/>
        <family val="2"/>
        <scheme val="minor"/>
      </rPr>
      <t>mass</t>
    </r>
    <r>
      <rPr>
        <b/>
        <sz val="8"/>
        <color theme="1"/>
        <rFont val="Calibri"/>
        <family val="2"/>
        <scheme val="minor"/>
      </rPr>
      <t>)</t>
    </r>
  </si>
  <si>
    <t>Solid pure compound</t>
  </si>
  <si>
    <t>Solution, volumetric concentration</t>
  </si>
  <si>
    <t>Compound, mass concentration</t>
  </si>
  <si>
    <t>conc</t>
  </si>
  <si>
    <t>amt</t>
  </si>
  <si>
    <r>
      <t>vol</t>
    </r>
    <r>
      <rPr>
        <b/>
        <vertAlign val="subscript"/>
        <sz val="12"/>
        <color theme="1"/>
        <rFont val="Calibri"/>
        <family val="2"/>
        <scheme val="minor"/>
      </rPr>
      <t>solvent</t>
    </r>
  </si>
  <si>
    <r>
      <rPr>
        <b/>
        <sz val="11"/>
        <color theme="1"/>
        <rFont val="Calibri"/>
        <family val="2"/>
        <scheme val="minor"/>
      </rPr>
      <t>×10</t>
    </r>
    <r>
      <rPr>
        <b/>
        <vertAlign val="superscript"/>
        <sz val="11"/>
        <color theme="1"/>
        <rFont val="Calibri"/>
        <family val="2"/>
        <scheme val="minor"/>
      </rPr>
      <t>3</t>
    </r>
  </si>
  <si>
    <r>
      <rPr>
        <i/>
        <sz val="11"/>
        <color theme="1"/>
        <rFont val="Calibri"/>
        <family val="2"/>
        <scheme val="minor"/>
      </rPr>
      <t>MW</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i/>
        <vertAlign val="subscript"/>
        <sz val="11"/>
        <color theme="1"/>
        <rFont val="Calibri"/>
        <family val="2"/>
        <scheme val="minor"/>
      </rPr>
      <t>solvent</t>
    </r>
    <r>
      <rPr>
        <vertAlign val="subscript"/>
        <sz val="11"/>
        <color theme="1"/>
        <rFont val="Calibri"/>
        <family val="2"/>
        <scheme val="minor"/>
      </rPr>
      <t xml:space="preserve">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[M]</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[L]</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[mol]</t>
    </r>
  </si>
  <si>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m</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 xml:space="preserve">solvent
</t>
    </r>
    <r>
      <rPr>
        <i/>
        <sz val="11"/>
        <color rgb="FFFF0000"/>
        <rFont val="Calibri"/>
        <family val="2"/>
        <scheme val="minor"/>
      </rPr>
      <t>c</t>
    </r>
    <r>
      <rPr>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m</t>
    </r>
    <r>
      <rPr>
        <sz val="11"/>
        <color rgb="FFFF0000"/>
        <rFont val="Calibri"/>
        <family val="2"/>
        <scheme val="minor"/>
      </rPr>
      <t>]</t>
    </r>
    <r>
      <rPr>
        <sz val="11"/>
        <color theme="1"/>
        <rFont val="Calibri"/>
        <family val="2"/>
        <scheme val="minor"/>
      </rPr>
      <t xml:space="preserve">, </t>
    </r>
    <r>
      <rPr>
        <i/>
        <sz val="11"/>
        <color rgb="FFFF0000"/>
        <rFont val="Calibri"/>
        <family val="2"/>
        <scheme val="minor"/>
      </rPr>
      <t>V</t>
    </r>
    <r>
      <rPr>
        <i/>
        <vertAlign val="subscript"/>
        <sz val="11"/>
        <color rgb="FFFF0000"/>
        <rFont val="Calibri"/>
        <family val="2"/>
        <scheme val="minor"/>
      </rPr>
      <t>i</t>
    </r>
    <r>
      <rPr>
        <sz val="11"/>
        <color rgb="FFFF0000"/>
        <rFont val="Calibri"/>
        <family val="2"/>
        <scheme val="minor"/>
      </rPr>
      <t xml:space="preserve"> [</t>
    </r>
    <r>
      <rPr>
        <i/>
        <sz val="11"/>
        <color rgb="FFFF0000"/>
        <rFont val="Calibri"/>
        <family val="2"/>
        <scheme val="minor"/>
      </rPr>
      <t>α</t>
    </r>
    <r>
      <rPr>
        <sz val="11"/>
        <color rgb="FFFF0000"/>
        <rFont val="Calibri"/>
        <family val="2"/>
        <scheme val="minor"/>
      </rPr>
      <t>/</t>
    </r>
    <r>
      <rPr>
        <i/>
        <sz val="11"/>
        <color rgb="FFFF0000"/>
        <rFont val="Calibri"/>
        <family val="2"/>
        <scheme val="minor"/>
      </rPr>
      <t>V</t>
    </r>
    <r>
      <rPr>
        <sz val="11"/>
        <color rgb="FFFF0000"/>
        <rFont val="Calibri"/>
        <family val="2"/>
        <scheme val="minor"/>
      </rPr>
      <t>]</t>
    </r>
    <r>
      <rPr>
        <sz val="11"/>
        <color theme="1"/>
        <rFont val="Calibri"/>
        <family val="2"/>
        <scheme val="minor"/>
      </rPr>
      <t xml:space="preserve">, </t>
    </r>
    <r>
      <rPr>
        <i/>
        <sz val="11"/>
        <color theme="1"/>
        <rFont val="Calibri"/>
        <family val="2"/>
        <scheme val="minor"/>
      </rPr>
      <t>amt</t>
    </r>
    <r>
      <rPr>
        <i/>
        <vertAlign val="subscript"/>
        <sz val="11"/>
        <color theme="1"/>
        <rFont val="Calibri"/>
        <family val="2"/>
        <scheme val="minor"/>
      </rPr>
      <t>i</t>
    </r>
    <r>
      <rPr>
        <sz val="11"/>
        <color theme="1"/>
        <rFont val="Calibri"/>
        <family val="2"/>
        <scheme val="minor"/>
      </rPr>
      <t xml:space="preserve"> [α]</t>
    </r>
  </si>
  <si>
    <t>Golden Gate Assembly (custom volumes 1)</t>
  </si>
  <si>
    <t xml:space="preserve">Custom Part Volumes: </t>
  </si>
  <si>
    <t xml:space="preserve">Construct Label </t>
  </si>
  <si>
    <r>
      <t>Extra diH</t>
    </r>
    <r>
      <rPr>
        <b/>
        <vertAlign val="subscript"/>
        <sz val="11"/>
        <color theme="2" tint="-0.749992370372631"/>
        <rFont val="Calibri"/>
        <family val="2"/>
        <scheme val="minor"/>
      </rPr>
      <t>2</t>
    </r>
    <r>
      <rPr>
        <b/>
        <sz val="11"/>
        <color theme="2" tint="-0.749992370372631"/>
        <rFont val="Calibri"/>
        <family val="2"/>
        <scheme val="minor"/>
      </rPr>
      <t>O</t>
    </r>
  </si>
  <si>
    <t>Component 1</t>
  </si>
  <si>
    <r>
      <t>V</t>
    </r>
    <r>
      <rPr>
        <b/>
        <vertAlign val="subscript"/>
        <sz val="11"/>
        <color theme="2" tint="-0.749992370372631"/>
        <rFont val="Calibri"/>
        <family val="2"/>
        <scheme val="minor"/>
      </rPr>
      <t>1</t>
    </r>
    <r>
      <rPr>
        <b/>
        <i/>
        <sz val="11"/>
        <color theme="2" tint="-0.749992370372631"/>
        <rFont val="Calibri"/>
        <family val="2"/>
        <scheme val="minor"/>
      </rPr>
      <t xml:space="preserve"> </t>
    </r>
  </si>
  <si>
    <t>Comp 2</t>
  </si>
  <si>
    <r>
      <t>V</t>
    </r>
    <r>
      <rPr>
        <b/>
        <vertAlign val="subscript"/>
        <sz val="11"/>
        <color theme="2" tint="-0.749992370372631"/>
        <rFont val="Calibri"/>
        <family val="2"/>
        <scheme val="minor"/>
      </rPr>
      <t>2</t>
    </r>
    <r>
      <rPr>
        <b/>
        <i/>
        <sz val="11"/>
        <color theme="2" tint="-0.749992370372631"/>
        <rFont val="Calibri"/>
        <family val="2"/>
        <scheme val="minor"/>
      </rPr>
      <t/>
    </r>
  </si>
  <si>
    <t>Comp 3</t>
  </si>
  <si>
    <r>
      <t>V</t>
    </r>
    <r>
      <rPr>
        <b/>
        <vertAlign val="subscript"/>
        <sz val="11"/>
        <color theme="2" tint="-0.749992370372631"/>
        <rFont val="Calibri"/>
        <family val="2"/>
        <scheme val="minor"/>
      </rPr>
      <t>3</t>
    </r>
    <r>
      <rPr>
        <b/>
        <i/>
        <sz val="11"/>
        <color theme="2" tint="-0.749992370372631"/>
        <rFont val="Calibri"/>
        <family val="2"/>
        <scheme val="minor"/>
      </rPr>
      <t/>
    </r>
  </si>
  <si>
    <t>Comp 4</t>
  </si>
  <si>
    <r>
      <t>V</t>
    </r>
    <r>
      <rPr>
        <b/>
        <vertAlign val="subscript"/>
        <sz val="11"/>
        <color theme="2" tint="-0.749992370372631"/>
        <rFont val="Calibri"/>
        <family val="2"/>
        <scheme val="minor"/>
      </rPr>
      <t>4</t>
    </r>
    <r>
      <rPr>
        <b/>
        <i/>
        <sz val="11"/>
        <color theme="2" tint="-0.749992370372631"/>
        <rFont val="Calibri"/>
        <family val="2"/>
        <scheme val="minor"/>
      </rPr>
      <t/>
    </r>
  </si>
  <si>
    <t>Comp 5</t>
  </si>
  <si>
    <r>
      <t>V</t>
    </r>
    <r>
      <rPr>
        <b/>
        <vertAlign val="subscript"/>
        <sz val="11"/>
        <color theme="2" tint="-0.749992370372631"/>
        <rFont val="Calibri"/>
        <family val="2"/>
        <scheme val="minor"/>
      </rPr>
      <t>5</t>
    </r>
    <r>
      <rPr>
        <b/>
        <i/>
        <sz val="11"/>
        <color theme="2" tint="-0.749992370372631"/>
        <rFont val="Calibri"/>
        <family val="2"/>
        <scheme val="minor"/>
      </rPr>
      <t/>
    </r>
  </si>
  <si>
    <t>Comp 6</t>
  </si>
  <si>
    <r>
      <t>V</t>
    </r>
    <r>
      <rPr>
        <b/>
        <vertAlign val="subscript"/>
        <sz val="11"/>
        <color theme="2" tint="-0.749992370372631"/>
        <rFont val="Calibri"/>
        <family val="2"/>
        <scheme val="minor"/>
      </rPr>
      <t>6</t>
    </r>
    <r>
      <rPr>
        <b/>
        <i/>
        <sz val="11"/>
        <color theme="2" tint="-0.749992370372631"/>
        <rFont val="Calibri"/>
        <family val="2"/>
        <scheme val="minor"/>
      </rPr>
      <t/>
    </r>
  </si>
  <si>
    <t>Comp 7</t>
  </si>
  <si>
    <r>
      <t>V</t>
    </r>
    <r>
      <rPr>
        <b/>
        <vertAlign val="subscript"/>
        <sz val="11"/>
        <color theme="2" tint="-0.749992370372631"/>
        <rFont val="Calibri"/>
        <family val="2"/>
        <scheme val="minor"/>
      </rPr>
      <t>7</t>
    </r>
    <r>
      <rPr>
        <b/>
        <i/>
        <sz val="11"/>
        <color theme="2" tint="-0.749992370372631"/>
        <rFont val="Calibri"/>
        <family val="2"/>
        <scheme val="minor"/>
      </rPr>
      <t/>
    </r>
  </si>
  <si>
    <t>Comp 8</t>
  </si>
  <si>
    <r>
      <t>V</t>
    </r>
    <r>
      <rPr>
        <b/>
        <vertAlign val="subscript"/>
        <sz val="11"/>
        <color theme="2" tint="-0.749992370372631"/>
        <rFont val="Calibri"/>
        <family val="2"/>
        <scheme val="minor"/>
      </rPr>
      <t>8</t>
    </r>
    <r>
      <rPr>
        <b/>
        <i/>
        <sz val="11"/>
        <color theme="2" tint="-0.749992370372631"/>
        <rFont val="Calibri"/>
        <family val="2"/>
        <scheme val="minor"/>
      </rPr>
      <t/>
    </r>
  </si>
  <si>
    <t>Comp 9</t>
  </si>
  <si>
    <r>
      <t>V</t>
    </r>
    <r>
      <rPr>
        <b/>
        <vertAlign val="subscript"/>
        <sz val="11"/>
        <color theme="2" tint="-0.749992370372631"/>
        <rFont val="Calibri"/>
        <family val="2"/>
        <scheme val="minor"/>
      </rPr>
      <t>9</t>
    </r>
    <r>
      <rPr>
        <b/>
        <i/>
        <sz val="11"/>
        <color theme="2" tint="-0.749992370372631"/>
        <rFont val="Calibri"/>
        <family val="2"/>
        <scheme val="minor"/>
      </rPr>
      <t/>
    </r>
  </si>
  <si>
    <t>Comp 10</t>
  </si>
  <si>
    <r>
      <t>V</t>
    </r>
    <r>
      <rPr>
        <b/>
        <vertAlign val="subscript"/>
        <sz val="11"/>
        <color theme="2" tint="-0.749992370372631"/>
        <rFont val="Calibri"/>
        <family val="2"/>
        <scheme val="minor"/>
      </rPr>
      <t>10</t>
    </r>
    <r>
      <rPr>
        <b/>
        <i/>
        <sz val="11"/>
        <color theme="2" tint="-0.749992370372631"/>
        <rFont val="Calibri"/>
        <family val="2"/>
        <scheme val="minor"/>
      </rPr>
      <t/>
    </r>
  </si>
  <si>
    <r>
      <t>∑</t>
    </r>
    <r>
      <rPr>
        <b/>
        <i/>
        <sz val="12"/>
        <color theme="1"/>
        <rFont val="Calibri Light"/>
        <family val="2"/>
        <scheme val="major"/>
      </rPr>
      <t>V</t>
    </r>
    <r>
      <rPr>
        <b/>
        <vertAlign val="subscript"/>
        <sz val="12"/>
        <color theme="1"/>
        <rFont val="Calibri Light"/>
        <family val="2"/>
        <scheme val="major"/>
      </rPr>
      <t>DNA</t>
    </r>
  </si>
  <si>
    <t>DNA ≤</t>
  </si>
  <si>
    <r>
      <rPr>
        <b/>
        <sz val="8"/>
        <color theme="1"/>
        <rFont val="Calibri"/>
        <family val="2"/>
        <scheme val="minor"/>
      </rPr>
      <t xml:space="preserve">Ideal
</t>
    </r>
    <r>
      <rPr>
        <b/>
        <sz val="12"/>
        <color theme="1"/>
        <rFont val="Calibri"/>
        <family val="2"/>
        <scheme val="minor"/>
      </rPr>
      <t>mass (g)</t>
    </r>
  </si>
  <si>
    <r>
      <rPr>
        <b/>
        <sz val="8"/>
        <color theme="1"/>
        <rFont val="Calibri"/>
        <family val="2"/>
        <scheme val="minor"/>
      </rPr>
      <t xml:space="preserve">Weighed
</t>
    </r>
    <r>
      <rPr>
        <b/>
        <sz val="12"/>
        <color theme="1"/>
        <rFont val="Calibri"/>
        <family val="2"/>
        <scheme val="minor"/>
      </rPr>
      <t>mass (g)</t>
    </r>
  </si>
  <si>
    <t>Dilution to:</t>
  </si>
  <si>
    <t>Dil. Factor</t>
  </si>
  <si>
    <t>Singular volumes</t>
  </si>
  <si>
    <t>Total Diluent:</t>
  </si>
  <si>
    <t>Made by Shyam Bhakta</t>
  </si>
  <si>
    <t>mg/L</t>
  </si>
  <si>
    <t>Berkeley Sequencing, Plasmid</t>
  </si>
  <si>
    <t>dsDNA plasmid</t>
  </si>
  <si>
    <t>dsDNA PCR product</t>
  </si>
  <si>
    <t>ssDNA plasmid</t>
  </si>
  <si>
    <t>100 ng</t>
  </si>
  <si>
    <t>DNA/kb</t>
  </si>
  <si>
    <t>50 ng</t>
  </si>
  <si>
    <t>3.2 pmol</t>
  </si>
  <si>
    <t>Primer</t>
  </si>
  <si>
    <t>0.8 pmol</t>
  </si>
  <si>
    <t>2 pmol</t>
  </si>
  <si>
    <t>in 13 µL</t>
  </si>
  <si>
    <r>
      <t>diH</t>
    </r>
    <r>
      <rPr>
        <vertAlign val="subscript"/>
        <sz val="8"/>
        <color rgb="FF000000"/>
        <rFont val="Arial"/>
        <family val="2"/>
      </rPr>
      <t>2</t>
    </r>
    <r>
      <rPr>
        <sz val="8"/>
        <color rgb="FF000000"/>
        <rFont val="Arial"/>
        <family val="2"/>
      </rPr>
      <t>O</t>
    </r>
  </si>
  <si>
    <t>100 ng/kb</t>
  </si>
  <si>
    <t>in 1.5 mL tube</t>
  </si>
  <si>
    <r>
      <t>H</t>
    </r>
    <r>
      <rPr>
        <b/>
        <i/>
        <vertAlign val="subscript"/>
        <sz val="11"/>
        <color theme="4" tint="-0.499984740745262"/>
        <rFont val="Calibri"/>
        <family val="2"/>
        <scheme val="minor"/>
      </rPr>
      <t>2</t>
    </r>
    <r>
      <rPr>
        <b/>
        <i/>
        <sz val="11"/>
        <color theme="4" tint="-0.499984740745262"/>
        <rFont val="Calibri"/>
        <family val="2"/>
        <scheme val="minor"/>
      </rPr>
      <t>O+Primer</t>
    </r>
  </si>
  <si>
    <r>
      <t>H</t>
    </r>
    <r>
      <rPr>
        <b/>
        <i/>
        <vertAlign val="subscript"/>
        <sz val="11"/>
        <color theme="4" tint="-0.499984740745262"/>
        <rFont val="Calibri"/>
        <family val="2"/>
        <scheme val="minor"/>
      </rPr>
      <t>2</t>
    </r>
    <r>
      <rPr>
        <b/>
        <i/>
        <sz val="11"/>
        <color theme="4" tint="-0.499984740745262"/>
        <rFont val="Calibri"/>
        <family val="2"/>
        <scheme val="minor"/>
      </rPr>
      <t>O+Template</t>
    </r>
  </si>
  <si>
    <r>
      <rPr>
        <b/>
        <sz val="11"/>
        <color theme="4" tint="-0.249977111117893"/>
        <rFont val="Calibri Light"/>
        <family val="2"/>
        <scheme val="major"/>
      </rPr>
      <t>[component]</t>
    </r>
    <r>
      <rPr>
        <b/>
        <i/>
        <sz val="11"/>
        <color theme="4" tint="-0.249977111117893"/>
        <rFont val="Calibri Light"/>
        <family val="2"/>
        <scheme val="major"/>
      </rPr>
      <t xml:space="preserve"> </t>
    </r>
    <r>
      <rPr>
        <b/>
        <vertAlign val="subscript"/>
        <sz val="11"/>
        <color theme="4" tint="-0.249977111117893"/>
        <rFont val="Calibri Light"/>
        <family val="2"/>
        <scheme val="major"/>
      </rPr>
      <t>typical, Q5Pol</t>
    </r>
  </si>
  <si>
    <t>ng/kb†</t>
  </si>
  <si>
    <t>dsDNA Concentration &amp; Dilution Calculator</t>
  </si>
  <si>
    <t>Consider copy#</t>
  </si>
  <si>
    <r>
      <rPr>
        <i/>
        <sz val="11"/>
        <color theme="1"/>
        <rFont val="Calibri"/>
        <family val="2"/>
        <scheme val="minor"/>
      </rPr>
      <t>c</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target</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target</t>
    </r>
    <r>
      <rPr>
        <sz val="11"/>
        <color theme="1"/>
        <rFont val="Calibri"/>
        <family val="2"/>
        <scheme val="minor"/>
      </rPr>
      <t xml:space="preserve"> -&gt; </t>
    </r>
    <r>
      <rPr>
        <i/>
        <sz val="11"/>
        <color theme="1"/>
        <rFont val="Calibri"/>
        <family val="2"/>
        <scheme val="minor"/>
      </rPr>
      <t>V</t>
    </r>
    <r>
      <rPr>
        <vertAlign val="subscript"/>
        <sz val="11"/>
        <color theme="1"/>
        <rFont val="Calibri"/>
        <family val="2"/>
        <scheme val="minor"/>
      </rPr>
      <t>stock</t>
    </r>
    <r>
      <rPr>
        <sz val="11"/>
        <color theme="1"/>
        <rFont val="Calibri"/>
        <family val="2"/>
        <scheme val="minor"/>
      </rPr>
      <t xml:space="preserve">, </t>
    </r>
    <r>
      <rPr>
        <i/>
        <sz val="11"/>
        <color theme="1"/>
        <rFont val="Calibri"/>
        <family val="2"/>
        <scheme val="minor"/>
      </rPr>
      <t>V</t>
    </r>
    <r>
      <rPr>
        <vertAlign val="subscript"/>
        <sz val="11"/>
        <color theme="1"/>
        <rFont val="Calibri"/>
        <family val="2"/>
        <scheme val="minor"/>
      </rPr>
      <t>solvent</t>
    </r>
    <r>
      <rPr>
        <sz val="11"/>
        <color theme="1"/>
        <rFont val="Calibri"/>
        <family val="2"/>
        <scheme val="minor"/>
      </rPr>
      <t xml:space="preserve">
</t>
    </r>
    <r>
      <rPr>
        <i/>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[α/β], </t>
    </r>
    <r>
      <rPr>
        <i/>
        <sz val="11"/>
        <color theme="1"/>
        <rFont val="Calibri"/>
        <family val="2"/>
        <scheme val="minor"/>
      </rPr>
      <t>V</t>
    </r>
    <r>
      <rPr>
        <vertAlign val="subscript"/>
        <sz val="11"/>
        <color theme="1"/>
        <rFont val="Calibri"/>
        <family val="2"/>
        <scheme val="minor"/>
      </rPr>
      <t>i</t>
    </r>
    <r>
      <rPr>
        <sz val="11"/>
        <color theme="1"/>
        <rFont val="Calibri"/>
        <family val="2"/>
        <scheme val="minor"/>
      </rPr>
      <t xml:space="preserve"> [β], </t>
    </r>
    <r>
      <rPr>
        <i/>
        <sz val="11"/>
        <color theme="1"/>
        <rFont val="Calibri"/>
        <family val="2"/>
        <scheme val="minor"/>
      </rPr>
      <t>amt</t>
    </r>
    <r>
      <rPr>
        <vertAlign val="subscript"/>
        <sz val="11"/>
        <color theme="1"/>
        <rFont val="Calibri"/>
        <family val="2"/>
        <scheme val="minor"/>
      </rPr>
      <t>i</t>
    </r>
    <r>
      <rPr>
        <sz val="11"/>
        <color theme="1"/>
        <rFont val="Calibri"/>
        <family val="2"/>
        <scheme val="minor"/>
      </rPr>
      <t xml:space="preserve"> [α]</t>
    </r>
  </si>
  <si>
    <t>Notes</t>
  </si>
  <si>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</si>
  <si>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DNA</t>
    </r>
    <r>
      <rPr>
        <b/>
        <sz val="12"/>
        <color theme="2" tint="-0.499984740745262"/>
        <rFont val="Calibri Light"/>
        <family val="2"/>
        <scheme val="major"/>
      </rPr>
      <t xml:space="preserve"> for:</t>
    </r>
  </si>
  <si>
    <r>
      <t>V</t>
    </r>
    <r>
      <rPr>
        <b/>
        <vertAlign val="subscript"/>
        <sz val="12"/>
        <color rgb="FF0070C0"/>
        <rFont val="Calibri Light"/>
        <family val="2"/>
        <scheme val="major"/>
      </rPr>
      <t>diluent</t>
    </r>
  </si>
  <si>
    <t>pSPB000</t>
  </si>
  <si>
    <r>
      <t>Additional MgCl</t>
    </r>
    <r>
      <rPr>
        <sz val="11"/>
        <color theme="1"/>
        <rFont val="Calibri"/>
        <family val="2"/>
        <scheme val="minor"/>
      </rPr>
      <t>₂</t>
    </r>
  </si>
  <si>
    <t>2E9 Cells/mL</t>
  </si>
  <si>
    <t>DNA Phosphorylation</t>
  </si>
  <si>
    <r>
      <t>T</t>
    </r>
    <r>
      <rPr>
        <b/>
        <vertAlign val="subscript"/>
        <sz val="11"/>
        <color theme="1"/>
        <rFont val="Calibri"/>
        <family val="2"/>
        <scheme val="minor"/>
      </rPr>
      <t>4</t>
    </r>
    <r>
      <rPr>
        <b/>
        <sz val="11"/>
        <color theme="1"/>
        <rFont val="Calibri"/>
        <family val="2"/>
        <scheme val="minor"/>
      </rPr>
      <t xml:space="preserve"> PNK</t>
    </r>
  </si>
  <si>
    <t>ATP?</t>
  </si>
  <si>
    <t>10× BSA</t>
  </si>
  <si>
    <t>10 mM ATP</t>
  </si>
  <si>
    <t>10× Ligase/PNK buffer</t>
  </si>
  <si>
    <t>No recessed/blunt ends</t>
  </si>
  <si>
    <t>PNK buffer needs ATP</t>
  </si>
  <si>
    <t>CutSmart</t>
  </si>
  <si>
    <r>
      <t>≈[DNA],</t>
    </r>
    <r>
      <rPr>
        <b/>
        <sz val="8"/>
        <color rgb="FF0070C0"/>
        <rFont val="Calibri Light"/>
        <family val="2"/>
        <scheme val="major"/>
      </rPr>
      <t xml:space="preserve"> ±0.01 </t>
    </r>
    <r>
      <rPr>
        <b/>
        <sz val="12"/>
        <color rgb="FF0070C0"/>
        <rFont val="Calibri Light"/>
        <family val="2"/>
        <scheme val="major"/>
      </rPr>
      <t>nM</t>
    </r>
  </si>
  <si>
    <t>Target:</t>
  </si>
  <si>
    <r>
      <t>T</t>
    </r>
    <r>
      <rPr>
        <b/>
        <vertAlign val="subscript"/>
        <sz val="11"/>
        <color theme="2" tint="-0.749992370372631"/>
        <rFont val="Calibri"/>
        <family val="2"/>
        <scheme val="minor"/>
      </rPr>
      <t>4</t>
    </r>
    <r>
      <rPr>
        <b/>
        <sz val="11"/>
        <color theme="2" tint="-0.749992370372631"/>
        <rFont val="Calibri"/>
        <family val="2"/>
        <scheme val="minor"/>
      </rPr>
      <t xml:space="preserve"> DNA Ligase</t>
    </r>
  </si>
  <si>
    <r>
      <t xml:space="preserve">Combine </t>
    </r>
    <r>
      <rPr>
        <i/>
        <sz val="11"/>
        <color theme="1"/>
        <rFont val="Calibri"/>
        <family val="2"/>
        <scheme val="minor"/>
      </rPr>
      <t>n</t>
    </r>
    <r>
      <rPr>
        <sz val="11"/>
        <color theme="1"/>
        <rFont val="Calibri"/>
        <family val="2"/>
        <scheme val="minor"/>
      </rPr>
      <t xml:space="preserve"> 10 µL rxns. Anneal.</t>
    </r>
  </si>
  <si>
    <r>
      <t>Dilute (100/</t>
    </r>
    <r>
      <rPr>
        <i/>
        <sz val="11"/>
        <color theme="1"/>
        <rFont val="Calibri"/>
        <family val="2"/>
        <scheme val="minor"/>
      </rPr>
      <t>n</t>
    </r>
    <r>
      <rPr>
        <sz val="11"/>
        <color theme="1"/>
        <rFont val="Calibri"/>
        <family val="2"/>
        <scheme val="minor"/>
      </rPr>
      <t>)-fold to give 50 nM product.</t>
    </r>
  </si>
  <si>
    <t xml:space="preserve">OR combine ≤ten 10 µL rxns in 100 µL final, and dilute tenfold to give 50 nM product. </t>
  </si>
  <si>
    <t>Stock [Primer]</t>
  </si>
  <si>
    <r>
      <t xml:space="preserve">10× </t>
    </r>
    <r>
      <rPr>
        <b/>
        <i/>
        <sz val="11"/>
        <color theme="1" tint="0.34998626667073579"/>
        <rFont val="Calibri"/>
        <family val="2"/>
        <scheme val="minor"/>
      </rPr>
      <t>Taq</t>
    </r>
    <r>
      <rPr>
        <b/>
        <sz val="11"/>
        <color theme="1" tint="0.34998626667073579"/>
        <rFont val="Calibri"/>
        <family val="2"/>
        <scheme val="minor"/>
      </rPr>
      <t xml:space="preserve"> reaction buffer</t>
    </r>
  </si>
  <si>
    <r>
      <rPr>
        <b/>
        <i/>
        <sz val="11"/>
        <color theme="1" tint="0.34998626667073579"/>
        <rFont val="Calibri"/>
        <family val="2"/>
        <scheme val="minor"/>
      </rPr>
      <t>Taq</t>
    </r>
    <r>
      <rPr>
        <b/>
        <sz val="11"/>
        <color theme="1" tint="0.34998626667073579"/>
        <rFont val="Calibri"/>
        <family val="2"/>
        <scheme val="minor"/>
      </rPr>
      <t xml:space="preserve"> DNA polymerase</t>
    </r>
  </si>
  <si>
    <r>
      <t>MgCl</t>
    </r>
    <r>
      <rPr>
        <b/>
        <vertAlign val="subscript"/>
        <sz val="11"/>
        <color theme="1" tint="0.34998626667073579"/>
        <rFont val="Calibri"/>
        <family val="2"/>
        <scheme val="minor"/>
      </rPr>
      <t>2</t>
    </r>
  </si>
  <si>
    <t>Deviate from standards with this calculator</t>
  </si>
  <si>
    <t># Common Parts/Vector</t>
  </si>
  <si>
    <t>Common Parts/Vector</t>
  </si>
  <si>
    <t>KCM</t>
  </si>
  <si>
    <t>Stock [KCM]</t>
  </si>
  <si>
    <t>Comp Cells</t>
  </si>
  <si>
    <t>Vol/Tube</t>
  </si>
  <si>
    <t>typically 25–100 µL</t>
  </si>
  <si>
    <t>0× for none</t>
  </si>
  <si>
    <r>
      <t>3) Harvest cells at max 3500×</t>
    </r>
    <r>
      <rPr>
        <i/>
        <sz val="11"/>
        <color theme="1"/>
        <rFont val="Calibri"/>
        <family val="2"/>
        <scheme val="minor"/>
      </rPr>
      <t>g</t>
    </r>
    <r>
      <rPr>
        <sz val="11"/>
        <color theme="1"/>
        <rFont val="Calibri"/>
        <family val="2"/>
        <scheme val="minor"/>
      </rPr>
      <t>, wash in equal volume water, then in 1 mL 100 mM LiOAc.</t>
    </r>
  </si>
  <si>
    <t>5) Add PEG/LiOAc/ssDNA soln to cell soln.</t>
  </si>
  <si>
    <t>Genewiz Sequencing, Plasmid</t>
  </si>
  <si>
    <t>in 250 µL tube strip</t>
  </si>
  <si>
    <t>Amt Primer</t>
  </si>
  <si>
    <t>pmol</t>
  </si>
  <si>
    <t>Other Sequencing</t>
  </si>
  <si>
    <r>
      <t xml:space="preserve">† Berkeley DNA Sequencing Facility prefers </t>
    </r>
    <r>
      <rPr>
        <b/>
        <sz val="11"/>
        <color theme="1"/>
        <rFont val="Calibri"/>
        <family val="2"/>
        <scheme val="minor"/>
      </rPr>
      <t>100 ng/kb</t>
    </r>
    <r>
      <rPr>
        <sz val="11"/>
        <color theme="1"/>
        <rFont val="Calibri"/>
        <family val="2"/>
        <scheme val="minor"/>
      </rPr>
      <t xml:space="preserve"> for dsDNA plasmids</t>
    </r>
  </si>
  <si>
    <t>† Genewiz prefers 500 ng for ≤6 kb plasmids, 800 ng for 6–10 kb, 1000 ng for &gt;10 kb.</t>
  </si>
  <si>
    <t>Ex: make 100 mM stock from solid</t>
  </si>
  <si>
    <t>g/L</t>
  </si>
  <si>
    <t>yes</t>
  </si>
  <si>
    <r>
      <t>Unit</t>
    </r>
    <r>
      <rPr>
        <sz val="6"/>
        <color theme="4"/>
        <rFont val="Calibri"/>
        <family val="2"/>
        <scheme val="minor"/>
      </rPr>
      <t xml:space="preserve"> (opt)</t>
    </r>
  </si>
  <si>
    <r>
      <t>Unit</t>
    </r>
    <r>
      <rPr>
        <sz val="6"/>
        <color theme="5"/>
        <rFont val="Calibri"/>
        <family val="2"/>
        <scheme val="minor"/>
      </rPr>
      <t xml:space="preserve"> (opt)</t>
    </r>
  </si>
  <si>
    <r>
      <t xml:space="preserve">Final Concentrations </t>
    </r>
    <r>
      <rPr>
        <sz val="6"/>
        <color theme="5"/>
        <rFont val="Calibri"/>
        <family val="2"/>
        <scheme val="minor"/>
      </rPr>
      <t>highest to lowest</t>
    </r>
  </si>
  <si>
    <t>Max Prep Volume</t>
  </si>
  <si>
    <t>5× GC Enhancer</t>
  </si>
  <si>
    <t>0.5, 0.8, 1 µg for
&lt;6, 6–10, 10 kb</t>
  </si>
  <si>
    <t># Samples</t>
  </si>
  <si>
    <t>Samples</t>
  </si>
  <si>
    <t>Reagent Preparation Calculator</t>
  </si>
  <si>
    <t>• 0.02–0.5 E-12 mol optimal for Gibson Assembly, 1–3 fragments</t>
  </si>
  <si>
    <t>• 0.2–1.0 E-12 mol optimal for Gibson Assembly, 4–6 fragments</t>
  </si>
  <si>
    <t>Diluent Volume:</t>
  </si>
  <si>
    <t>Minor updates to Dilution Series headings and explanation.</t>
  </si>
  <si>
    <t># Unique Parts</t>
  </si>
  <si>
    <t>Using &gt;0.5 µL (200 U) low-concentration ligase or same volume high-concentration ligase was found to increase misassembly rate, congruent with T4 ligase's known promiscuity [EMMA toolkit].</t>
  </si>
  <si>
    <r>
      <t xml:space="preserve">Using &gt;0.5 µL (5 U) </t>
    </r>
    <r>
      <rPr>
        <i/>
        <sz val="8"/>
        <color rgb="FF333333"/>
        <rFont val="Arial"/>
        <family val="2"/>
      </rPr>
      <t>Bsa</t>
    </r>
    <r>
      <rPr>
        <sz val="8"/>
        <color rgb="FF333333"/>
        <rFont val="Arial"/>
        <family val="2"/>
      </rPr>
      <t>I was not found to improve assembly rate [EMMA toolkit].</t>
    </r>
  </si>
  <si>
    <t>Type IIs endonuclease</t>
  </si>
  <si>
    <t>EcoRI-HF</t>
  </si>
  <si>
    <t>SpeI-HF</t>
  </si>
  <si>
    <t>DNA Conc: "Too dilute" displays without necessary volume input.</t>
  </si>
  <si>
    <t>&lt; Warnings</t>
  </si>
  <si>
    <t>DNA Restriction Digest 1</t>
  </si>
  <si>
    <t>DNA Restriction Digest 2</t>
  </si>
  <si>
    <t>DNA Restriction Digest 3</t>
  </si>
  <si>
    <t>DNA Restriction Digest 4</t>
  </si>
  <si>
    <t>DNA Restriction Digest 5</t>
  </si>
  <si>
    <t>DNA Restriction Digest 6</t>
  </si>
  <si>
    <t>Added "Warnings" label.</t>
  </si>
  <si>
    <t>Changed titling to just enumerating copies.</t>
  </si>
  <si>
    <t>Added Golden Gate notes at bottom.</t>
  </si>
  <si>
    <t>Added calculation for volume of each common part for # Golden Gate reactions.</t>
  </si>
  <si>
    <t>Golden Gate common and other DNAs disappear from the calculation table (like BSA) if zero.</t>
  </si>
  <si>
    <t>Golden Gate Assembly 1</t>
  </si>
  <si>
    <t>Golden Gate Assembly 2</t>
  </si>
  <si>
    <t>Golden Gate Assembly 3</t>
  </si>
  <si>
    <t># Parts</t>
  </si>
  <si>
    <t># Others (PCR pdts, oligo pts)</t>
  </si>
  <si>
    <t>Unique Parts</t>
  </si>
  <si>
    <t>Others</t>
  </si>
  <si>
    <t xml:space="preserve">Total – Uniques &amp; Others: </t>
  </si>
  <si>
    <r>
      <rPr>
        <i/>
        <sz val="14"/>
        <color theme="1"/>
        <rFont val="Calibri"/>
        <family val="2"/>
        <scheme val="minor"/>
      </rPr>
      <t>E. coli</t>
    </r>
    <r>
      <rPr>
        <sz val="14"/>
        <color theme="1"/>
        <rFont val="Calibri"/>
        <family val="2"/>
        <scheme val="minor"/>
      </rPr>
      <t xml:space="preserve"> Transformation (1)</t>
    </r>
  </si>
  <si>
    <r>
      <rPr>
        <i/>
        <sz val="14"/>
        <color theme="1"/>
        <rFont val="Calibri"/>
        <family val="2"/>
        <scheme val="minor"/>
      </rPr>
      <t>E. coli</t>
    </r>
    <r>
      <rPr>
        <sz val="14"/>
        <color theme="1"/>
        <rFont val="Calibri"/>
        <family val="2"/>
        <scheme val="minor"/>
      </rPr>
      <t xml:space="preserve"> Transformation (2)</t>
    </r>
  </si>
  <si>
    <t>Genewiz Sequencing</t>
  </si>
  <si>
    <t>500
800
1000</t>
  </si>
  <si>
    <t>ng, &lt;6kb
ng, 6–10kb
&gt;10kb</t>
  </si>
  <si>
    <r>
      <t>V</t>
    </r>
    <r>
      <rPr>
        <b/>
        <vertAlign val="subscript"/>
        <sz val="12"/>
        <color rgb="FF0070C0"/>
        <rFont val="Calibri Light"/>
        <family val="2"/>
        <scheme val="major"/>
      </rPr>
      <t>H₂O</t>
    </r>
  </si>
  <si>
    <r>
      <t xml:space="preserve">Sequencing: </t>
    </r>
    <r>
      <rPr>
        <i/>
        <sz val="11"/>
        <color theme="1" tint="0.249977111117893"/>
        <rFont val="Calibri"/>
        <family val="2"/>
        <scheme val="minor"/>
      </rPr>
      <t>mass</t>
    </r>
  </si>
  <si>
    <r>
      <t xml:space="preserve">Sequencing: </t>
    </r>
    <r>
      <rPr>
        <i/>
        <sz val="11"/>
        <color theme="1" tint="0.249977111117893"/>
        <rFont val="Calibri"/>
        <family val="2"/>
        <scheme val="minor"/>
      </rPr>
      <t>mass</t>
    </r>
    <r>
      <rPr>
        <sz val="11"/>
        <color theme="1" tint="0.249977111117893"/>
        <rFont val="Calibri"/>
        <family val="2"/>
        <scheme val="minor"/>
      </rPr>
      <t>/</t>
    </r>
    <r>
      <rPr>
        <i/>
        <sz val="11"/>
        <color theme="1" tint="0.249977111117893"/>
        <rFont val="Calibri"/>
        <family val="2"/>
        <scheme val="minor"/>
      </rPr>
      <t>length</t>
    </r>
  </si>
  <si>
    <t>DNA Conc: molar conc input correctly overrides mass conc input in calculating amt, dilution, and sequencing volumes.</t>
  </si>
  <si>
    <t>DNA Conc: Genewiz sequencing formula field added.</t>
  </si>
  <si>
    <t>Oligo(s)</t>
  </si>
  <si>
    <t>v2.3</t>
  </si>
  <si>
    <t>v2.4</t>
  </si>
  <si>
    <t>Sequencing: fixed error in Genewiz sequencing volume formula propagation down column.</t>
  </si>
  <si>
    <t>Phosphorylation: fixed error in static buffer volume.</t>
  </si>
  <si>
    <t>v2.2</t>
  </si>
  <si>
    <t>I N P U T S</t>
  </si>
  <si>
    <r>
      <t>Length</t>
    </r>
    <r>
      <rPr>
        <b/>
        <vertAlign val="subscript"/>
        <sz val="12"/>
        <color rgb="FF0070C0"/>
        <rFont val="Calibri Light"/>
        <family val="2"/>
        <scheme val="major"/>
      </rPr>
      <t xml:space="preserve">DNA </t>
    </r>
    <r>
      <rPr>
        <b/>
        <sz val="12"/>
        <color rgb="FF0070C0"/>
        <rFont val="Calibri Light"/>
        <family val="2"/>
        <scheme val="major"/>
      </rPr>
      <t>(bp)</t>
    </r>
  </si>
  <si>
    <r>
      <t>ρ</t>
    </r>
    <r>
      <rPr>
        <b/>
        <vertAlign val="subscript"/>
        <sz val="12"/>
        <color rgb="FF0070C0"/>
        <rFont val="Calibri Light"/>
        <family val="2"/>
        <scheme val="major"/>
      </rPr>
      <t>DNA</t>
    </r>
    <r>
      <rPr>
        <b/>
        <sz val="12"/>
        <color rgb="FF0070C0"/>
        <rFont val="Calibri Light"/>
        <family val="2"/>
        <scheme val="major"/>
      </rPr>
      <t xml:space="preserve"> (ng/µL)</t>
    </r>
  </si>
  <si>
    <r>
      <rPr>
        <b/>
        <i/>
        <sz val="10"/>
        <color rgb="FF0070C0"/>
        <rFont val="Calibri Light"/>
        <family val="2"/>
        <scheme val="major"/>
      </rPr>
      <t>c</t>
    </r>
    <r>
      <rPr>
        <b/>
        <vertAlign val="subscript"/>
        <sz val="10"/>
        <color rgb="FF0070C0"/>
        <rFont val="Calibri Light"/>
        <family val="2"/>
        <scheme val="major"/>
      </rPr>
      <t>DNA</t>
    </r>
    <r>
      <rPr>
        <b/>
        <sz val="10"/>
        <color rgb="FF0070C0"/>
        <rFont val="Calibri Light"/>
        <family val="2"/>
        <scheme val="major"/>
      </rPr>
      <t>*
(nM)</t>
    </r>
  </si>
  <si>
    <r>
      <t>ng</t>
    </r>
    <r>
      <rPr>
        <vertAlign val="superscript"/>
        <sz val="11"/>
        <color theme="1"/>
        <rFont val="Calibri"/>
        <family val="2"/>
        <scheme val="minor"/>
      </rPr>
      <t>†</t>
    </r>
  </si>
  <si>
    <t>v2.5</t>
  </si>
  <si>
    <t>DNA Conc: input columns all adjacent. Some formulas streamlined.</t>
  </si>
  <si>
    <t>Approx 0%=</t>
  </si>
  <si>
    <t>DNA Conc: ρ (mass conc) column inputs are strikethrough-formatted when molar concentration inputs exist, showing calculations use molar input instead of mass.</t>
  </si>
  <si>
    <t>DNA Conc: New setting for volume diluent approximation to zero, instead of hard-coded ±5% volume ≈ 0%.</t>
  </si>
  <si>
    <r>
      <rPr>
        <i/>
        <sz val="11"/>
        <color theme="1"/>
        <rFont val="Calibri"/>
        <family val="2"/>
        <scheme val="minor"/>
      </rPr>
      <t>c</t>
    </r>
    <r>
      <rPr>
        <vertAlign val="subscript"/>
        <sz val="11"/>
        <color theme="1"/>
        <rFont val="Calibri"/>
        <family val="2"/>
        <scheme val="minor"/>
      </rPr>
      <t>i</t>
    </r>
  </si>
  <si>
    <r>
      <rPr>
        <i/>
        <sz val="11"/>
        <color theme="2" tint="-9.9978637043366805E-2"/>
        <rFont val="Calibri"/>
        <family val="2"/>
        <scheme val="minor"/>
      </rPr>
      <t>c</t>
    </r>
    <r>
      <rPr>
        <vertAlign val="subscript"/>
        <sz val="11"/>
        <color theme="2" tint="-9.9978637043366805E-2"/>
        <rFont val="Calibri"/>
        <family val="2"/>
        <scheme val="minor"/>
      </rPr>
      <t>i, typical</t>
    </r>
  </si>
  <si>
    <t>1% v/v</t>
  </si>
  <si>
    <t>0–10%</t>
  </si>
  <si>
    <r>
      <t>Stock [MgCl</t>
    </r>
    <r>
      <rPr>
        <b/>
        <i/>
        <vertAlign val="subscript"/>
        <sz val="9"/>
        <color theme="5" tint="-0.249977111117893"/>
        <rFont val="Calibri"/>
        <family val="2"/>
        <scheme val="minor"/>
      </rPr>
      <t>2</t>
    </r>
    <r>
      <rPr>
        <b/>
        <i/>
        <sz val="9"/>
        <color theme="5" tint="-0.249977111117893"/>
        <rFont val="Calibri"/>
        <family val="2"/>
        <scheme val="minor"/>
      </rPr>
      <t>]</t>
    </r>
  </si>
  <si>
    <t>1.5 mM</t>
  </si>
  <si>
    <t>0.5% v/v</t>
  </si>
  <si>
    <t>DNA Conc: MW input (forgotten until now) is now functional.</t>
  </si>
  <si>
    <t>v2.6</t>
  </si>
  <si>
    <t>PCR: Custom calculators show component calculations. Custom Taq has stock [MgCl2].</t>
  </si>
  <si>
    <t>PCR: Taq calculators show typical component concentrations.</t>
  </si>
  <si>
    <t>Made by Shyam Bhakta
CC BY-SA 4.0</t>
  </si>
  <si>
    <t>Serial Dilution Series Calculator</t>
  </si>
  <si>
    <r>
      <t>Factor</t>
    </r>
    <r>
      <rPr>
        <sz val="6"/>
        <color rgb="FFFF697B"/>
        <rFont val="Calibri"/>
        <family val="2"/>
        <scheme val="minor"/>
      </rPr>
      <t xml:space="preserve"> nonzero,
default 1</t>
    </r>
  </si>
  <si>
    <t>Serial Dilution: New input of stock concentration</t>
  </si>
  <si>
    <t>Nonserial Dilution: New calculator</t>
  </si>
  <si>
    <t>Diluted stock?</t>
  </si>
  <si>
    <t>Target Conc.</t>
  </si>
  <si>
    <t>Prep. Volume</t>
  </si>
  <si>
    <t>Diluent Volume</t>
  </si>
  <si>
    <t>Total Diluent Volume</t>
  </si>
  <si>
    <t>Stock Conc.</t>
  </si>
  <si>
    <t>Total Stock Volume</t>
  </si>
  <si>
    <t>Nonserial Dilution Series Calculator</t>
  </si>
  <si>
    <t>BSA is required for full BsaI activity at 37°C (but not for the recommended BsaI-HFv2). BSA can still improve a reaction by adsorbing inhibitory miniprep contaminants. A final 0.5–1% PEG was found in internal Dueber Lab studies to improve 10-part assembly efficiency for Esp3I and BsaI Golden Gates. Shyam's 10× Golden Gate enhancer is: 1 mg/mL BSA + 10% PEG-3350.</t>
  </si>
  <si>
    <t/>
  </si>
  <si>
    <t>diH2O</t>
  </si>
  <si>
    <t>T4 DNA Ligase</t>
  </si>
  <si>
    <r>
      <rPr>
        <i/>
        <sz val="12"/>
        <color theme="1"/>
        <rFont val="Segoe UI"/>
        <family val="2"/>
      </rPr>
      <t xml:space="preserve">EXAMPLE </t>
    </r>
    <r>
      <rPr>
        <sz val="12"/>
        <color theme="1"/>
        <rFont val="Segoe UI"/>
        <family val="2"/>
      </rPr>
      <t>Golden Gate Assembly</t>
    </r>
  </si>
  <si>
    <t>Set primer amount and sample volume stipulated by your sequencing service. A master mix as above is only usable when optimal template volumes for all samples are around the same standardizable value.</t>
  </si>
  <si>
    <t>Dil Stock Conc.</t>
  </si>
  <si>
    <t># Others</t>
  </si>
  <si>
    <t>5.1 ×2=</t>
  </si>
  <si>
    <t>5 ×2=</t>
  </si>
  <si>
    <t>0.5 ×2=</t>
  </si>
  <si>
    <t>Title</t>
  </si>
  <si>
    <t>Prep.
Conc.</t>
  </si>
  <si>
    <t>Singular Volumes</t>
  </si>
  <si>
    <t>&lt; Unit</t>
  </si>
  <si>
    <r>
      <t xml:space="preserve">Vol. Factor
</t>
    </r>
    <r>
      <rPr>
        <sz val="6"/>
        <color theme="2" tint="-0.249977111117893"/>
        <rFont val="Calibri"/>
        <family val="2"/>
        <scheme val="minor"/>
      </rPr>
      <t>(opt, default ×1)</t>
    </r>
  </si>
  <si>
    <r>
      <t xml:space="preserve">Conc. Factor
</t>
    </r>
    <r>
      <rPr>
        <sz val="6"/>
        <color theme="2" tint="-0.249977111117893"/>
        <rFont val="Calibri"/>
        <family val="2"/>
        <scheme val="minor"/>
      </rPr>
      <t>(opt, default ×1)</t>
    </r>
  </si>
  <si>
    <r>
      <t xml:space="preserve">Final Concentrations </t>
    </r>
    <r>
      <rPr>
        <sz val="6"/>
        <color theme="2" tint="-0.249977111117893"/>
        <rFont val="Calibri"/>
        <family val="2"/>
        <scheme val="minor"/>
      </rPr>
      <t>highest to lowest</t>
    </r>
  </si>
  <si>
    <r>
      <t>Unit</t>
    </r>
    <r>
      <rPr>
        <sz val="6"/>
        <color theme="1" tint="0.249977111117893"/>
        <rFont val="Calibri"/>
        <family val="2"/>
        <scheme val="minor"/>
      </rPr>
      <t xml:space="preserve"> </t>
    </r>
    <r>
      <rPr>
        <sz val="6"/>
        <color theme="2" tint="-0.249977111117893"/>
        <rFont val="Calibri"/>
        <family val="2"/>
        <scheme val="minor"/>
      </rPr>
      <t>(opt)</t>
    </r>
  </si>
  <si>
    <r>
      <t>Factor</t>
    </r>
    <r>
      <rPr>
        <sz val="6"/>
        <color theme="1" tint="0.249977111117893"/>
        <rFont val="Calibri"/>
        <family val="2"/>
        <scheme val="minor"/>
      </rPr>
      <t xml:space="preserve"> </t>
    </r>
    <r>
      <rPr>
        <sz val="6"/>
        <color theme="2" tint="-0.249977111117893"/>
        <rFont val="Calibri"/>
        <family val="2"/>
        <scheme val="minor"/>
      </rPr>
      <t>nonzero,
default 1</t>
    </r>
  </si>
  <si>
    <r>
      <t xml:space="preserve">Label
</t>
    </r>
    <r>
      <rPr>
        <sz val="6"/>
        <color theme="2" tint="-0.249977111117893"/>
        <rFont val="Calibri"/>
        <family val="2"/>
        <scheme val="minor"/>
      </rPr>
      <t>(opt)</t>
    </r>
  </si>
  <si>
    <t>cL</t>
  </si>
  <si>
    <r>
      <t xml:space="preserve">Calculates exact dilution instructions for any dilution series given </t>
    </r>
    <r>
      <rPr>
        <i/>
        <sz val="11"/>
        <color theme="1" tint="0.249977111117893"/>
        <rFont val="Calibri"/>
        <family val="2"/>
        <scheme val="minor"/>
      </rPr>
      <t>any</t>
    </r>
    <r>
      <rPr>
        <sz val="11"/>
        <color theme="1" tint="0.249977111117893"/>
        <rFont val="Calibri"/>
        <family val="2"/>
        <scheme val="minor"/>
      </rPr>
      <t>series of concentrations at specified volumes and multiplicative factor (</t>
    </r>
    <r>
      <rPr>
        <i/>
        <sz val="11"/>
        <color theme="1" tint="0.249977111117893"/>
        <rFont val="Calibri"/>
        <family val="2"/>
        <scheme val="minor"/>
      </rPr>
      <t>e.g.</t>
    </r>
    <r>
      <rPr>
        <sz val="11"/>
        <color theme="1" tint="0.249977111117893"/>
        <rFont val="Calibri"/>
        <family val="2"/>
        <scheme val="minor"/>
      </rPr>
      <t xml:space="preserve">#rxns), along with a specified volume excess to account for error. </t>
    </r>
    <r>
      <rPr>
        <i/>
        <u/>
        <sz val="11"/>
        <color theme="1" tint="0.249977111117893"/>
        <rFont val="Calibri"/>
        <family val="2"/>
        <scheme val="minor"/>
      </rPr>
      <t>Only modify orange fields.</t>
    </r>
    <r>
      <rPr>
        <sz val="11"/>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Max prep volume = singular volume (single rxn) × factor (# rxns) × excess + volume necessary to make next dilution. Dilute = prep vol × dilution factor. Dilution factor = previous conc. / current conc.</t>
    </r>
  </si>
  <si>
    <t>Total Diluent · Excess</t>
  </si>
  <si>
    <t>Dilute…</t>
  </si>
  <si>
    <t>10× Enhancer</t>
  </si>
  <si>
    <t>Enhancer?</t>
  </si>
  <si>
    <t>For pure ligations, set Type IIs endonuclease volume to 0.</t>
  </si>
  <si>
    <t>5.1 ×3=</t>
  </si>
  <si>
    <t>5 ×3=</t>
  </si>
  <si>
    <t>0.5 ×3=</t>
  </si>
  <si>
    <t>BsaI-HFv2</t>
  </si>
  <si>
    <r>
      <rPr>
        <b/>
        <sz val="9"/>
        <color theme="1"/>
        <rFont val="Calibri"/>
        <family val="2"/>
        <scheme val="minor"/>
      </rPr>
      <t xml:space="preserve">EXAMPLE: </t>
    </r>
    <r>
      <rPr>
        <sz val="9"/>
        <color theme="1"/>
        <rFont val="Calibri"/>
        <family val="2"/>
        <scheme val="minor"/>
      </rPr>
      <t xml:space="preserve">I am building 10 gene cassette plasmids (10 reactions), all having three DNA parts in common: vector, promoter, terminator; and 2 unique DNA parts: RBS and CDS. I want 15 µL final reaction volumes and I want to make a 2% excess of my master mix so I don't run short when aliquotting it. And I want to add enhancer.
I build my master mix by first combining </t>
    </r>
    <r>
      <rPr>
        <sz val="9"/>
        <color theme="9" tint="-0.249977111117893"/>
        <rFont val="Calibri"/>
        <family val="2"/>
        <scheme val="minor"/>
      </rPr>
      <t>86.7 µL water and 15.3 µL each of 10× ligase buffer and 10× enhancer</t>
    </r>
    <r>
      <rPr>
        <sz val="9"/>
        <color theme="1"/>
        <rFont val="Calibri"/>
        <family val="2"/>
        <scheme val="minor"/>
      </rPr>
      <t xml:space="preserve">, and pipette-mix. Then I add </t>
    </r>
    <r>
      <rPr>
        <sz val="9"/>
        <color theme="9" tint="-0.249977111117893"/>
        <rFont val="Calibri"/>
        <family val="2"/>
        <scheme val="minor"/>
      </rPr>
      <t>5.1 µL of each enzyme</t>
    </r>
    <r>
      <rPr>
        <sz val="9"/>
        <color theme="1"/>
        <rFont val="Calibri"/>
        <family val="2"/>
        <scheme val="minor"/>
      </rPr>
      <t xml:space="preserve">, T4 ligase and BsaI-HFv2. Then I add </t>
    </r>
    <r>
      <rPr>
        <sz val="9"/>
        <color theme="5" tint="-0.249977111117893"/>
        <rFont val="Calibri"/>
        <family val="2"/>
        <scheme val="minor"/>
      </rPr>
      <t xml:space="preserve">5.1 µL of </t>
    </r>
    <r>
      <rPr>
        <i/>
        <sz val="9"/>
        <color theme="5" tint="-0.249977111117893"/>
        <rFont val="Calibri"/>
        <family val="2"/>
        <scheme val="minor"/>
      </rPr>
      <t xml:space="preserve">each </t>
    </r>
    <r>
      <rPr>
        <sz val="9"/>
        <color theme="5" tint="-0.249977111117893"/>
        <rFont val="Calibri"/>
        <family val="2"/>
        <scheme val="minor"/>
      </rPr>
      <t>of the three common DNA parts</t>
    </r>
    <r>
      <rPr>
        <sz val="9"/>
        <color theme="1"/>
        <rFont val="Calibri"/>
        <family val="2"/>
        <scheme val="minor"/>
      </rPr>
      <t xml:space="preserve"> (see </t>
    </r>
    <r>
      <rPr>
        <b/>
        <sz val="9"/>
        <color theme="1"/>
        <rFont val="Calibri"/>
        <family val="2"/>
        <scheme val="minor"/>
      </rPr>
      <t>Common Parts/Vector</t>
    </r>
    <r>
      <rPr>
        <sz val="9"/>
        <color theme="1"/>
        <rFont val="Calibri"/>
        <family val="2"/>
        <scheme val="minor"/>
      </rPr>
      <t xml:space="preserve"> for </t>
    </r>
    <r>
      <rPr>
        <sz val="9"/>
        <color theme="5" tint="-0.249977111117893"/>
        <rFont val="Calibri"/>
        <family val="2"/>
        <scheme val="minor"/>
      </rPr>
      <t>5.1 µL ×3=15.3</t>
    </r>
    <r>
      <rPr>
        <sz val="9"/>
        <color theme="1"/>
        <rFont val="Calibri"/>
        <family val="2"/>
        <scheme val="minor"/>
      </rPr>
      <t xml:space="preserve"> under the </t>
    </r>
    <r>
      <rPr>
        <b/>
        <sz val="9"/>
        <color rgb="FF0070C0"/>
        <rFont val="Calibri"/>
        <family val="2"/>
        <scheme val="minor"/>
      </rPr>
      <t>10.2 rxns</t>
    </r>
    <r>
      <rPr>
        <sz val="9"/>
        <color rgb="FF0070C0"/>
        <rFont val="Calibri"/>
        <family val="2"/>
        <scheme val="minor"/>
      </rPr>
      <t xml:space="preserve"> column</t>
    </r>
    <r>
      <rPr>
        <sz val="9"/>
        <color theme="1"/>
        <rFont val="Calibri"/>
        <family val="2"/>
        <scheme val="minor"/>
      </rPr>
      <t xml:space="preserve">). So 5.1 µL vector, 5.1 µL promoter, 5.1 µL terminator. With the master mix finished, I pipette-mix it and aliquot </t>
    </r>
    <r>
      <rPr>
        <sz val="9"/>
        <color rgb="FFFF8B99"/>
        <rFont val="Calibri"/>
        <family val="2"/>
        <scheme val="minor"/>
      </rPr>
      <t>14 µL</t>
    </r>
    <r>
      <rPr>
        <sz val="9"/>
        <color theme="1"/>
        <rFont val="Calibri"/>
        <family val="2"/>
        <scheme val="minor"/>
      </rPr>
      <t xml:space="preserve"> (see </t>
    </r>
    <r>
      <rPr>
        <b/>
        <sz val="9"/>
        <color theme="1"/>
        <rFont val="Calibri"/>
        <family val="2"/>
        <scheme val="minor"/>
      </rPr>
      <t>Total – Uniques</t>
    </r>
    <r>
      <rPr>
        <sz val="9"/>
        <color theme="1"/>
        <rFont val="Calibri"/>
        <family val="2"/>
        <scheme val="minor"/>
      </rPr>
      <t xml:space="preserve"> row for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xml:space="preserve">) across the 10 rxn tubes. This makes sense because two 0.5 µL unique parts remain to be added to complete each 15 µL rxns.
Finally, to each of these 10 reactions, I add </t>
    </r>
    <r>
      <rPr>
        <sz val="9"/>
        <color rgb="FFCC99FF"/>
        <rFont val="Calibri"/>
        <family val="2"/>
        <scheme val="minor"/>
      </rPr>
      <t xml:space="preserve">0.5 µL of each reaction's </t>
    </r>
    <r>
      <rPr>
        <i/>
        <sz val="9"/>
        <color rgb="FFCC99FF"/>
        <rFont val="Calibri"/>
        <family val="2"/>
        <scheme val="minor"/>
      </rPr>
      <t>unique</t>
    </r>
    <r>
      <rPr>
        <sz val="9"/>
        <color theme="1"/>
        <rFont val="Calibri"/>
        <family val="2"/>
        <scheme val="minor"/>
      </rPr>
      <t xml:space="preserve"> RBS and CDS part (see </t>
    </r>
    <r>
      <rPr>
        <b/>
        <sz val="9"/>
        <color theme="1"/>
        <rFont val="Calibri"/>
        <family val="2"/>
        <scheme val="minor"/>
      </rPr>
      <t>Unique Parts</t>
    </r>
    <r>
      <rPr>
        <sz val="9"/>
        <color theme="1"/>
        <rFont val="Calibri"/>
        <family val="2"/>
        <scheme val="minor"/>
      </rPr>
      <t xml:space="preserve"> for </t>
    </r>
    <r>
      <rPr>
        <sz val="9"/>
        <color rgb="FFCC99FF"/>
        <rFont val="Calibri"/>
        <family val="2"/>
        <scheme val="minor"/>
      </rPr>
      <t>0.5 µL ×2=1</t>
    </r>
    <r>
      <rPr>
        <sz val="9"/>
        <color theme="1"/>
        <rFont val="Calibri"/>
        <family val="2"/>
        <scheme val="minor"/>
      </rPr>
      <t xml:space="preserve"> under the </t>
    </r>
    <r>
      <rPr>
        <b/>
        <sz val="9"/>
        <color rgb="FF0070C0"/>
        <rFont val="Calibri"/>
        <family val="2"/>
        <scheme val="minor"/>
      </rPr>
      <t>1 rxn</t>
    </r>
    <r>
      <rPr>
        <sz val="9"/>
        <color rgb="FF0070C0"/>
        <rFont val="Calibri"/>
        <family val="2"/>
        <scheme val="minor"/>
      </rPr>
      <t xml:space="preserve"> column</t>
    </r>
    <r>
      <rPr>
        <sz val="9"/>
        <color theme="1"/>
        <rFont val="Calibri"/>
        <family val="2"/>
        <scheme val="minor"/>
      </rPr>
      <t>). Pipette- or flick-mix the reactions, spin down, and begin the isothermal or thermocycling Golden Gate reaction.</t>
    </r>
  </si>
  <si>
    <t>Golden Gate: Unique and common part categories.</t>
  </si>
  <si>
    <r>
      <t>* DNA molar concentration (</t>
    </r>
    <r>
      <rPr>
        <i/>
        <sz val="11"/>
        <color theme="1"/>
        <rFont val="Calibri"/>
        <family val="2"/>
        <scheme val="minor"/>
      </rPr>
      <t>c</t>
    </r>
    <r>
      <rPr>
        <vertAlign val="subscript"/>
        <sz val="11"/>
        <color theme="1"/>
        <rFont val="Calibri"/>
        <family val="2"/>
        <scheme val="minor"/>
      </rPr>
      <t>DNA</t>
    </r>
    <r>
      <rPr>
        <sz val="11"/>
        <color theme="1"/>
        <rFont val="Calibri"/>
        <family val="2"/>
        <scheme val="minor"/>
      </rPr>
      <t>) can be provided, overriding calculation from mass concentration  (</t>
    </r>
    <r>
      <rPr>
        <i/>
        <sz val="11"/>
        <color theme="1"/>
        <rFont val="Calibri"/>
        <family val="2"/>
        <scheme val="minor"/>
      </rPr>
      <t>ρ</t>
    </r>
    <r>
      <rPr>
        <vertAlign val="subscript"/>
        <sz val="11"/>
        <color theme="1"/>
        <rFont val="Calibri"/>
        <family val="2"/>
        <scheme val="minor"/>
      </rPr>
      <t>DNA</t>
    </r>
    <r>
      <rPr>
        <sz val="11"/>
        <color theme="1"/>
        <rFont val="Calibri"/>
        <family val="2"/>
        <scheme val="minor"/>
      </rPr>
      <t>) and length. This is useful when a certain mass of DNA is needed and only molar concentration is known, as when sequencing molar-normalized samples.</t>
    </r>
  </si>
  <si>
    <r>
      <t>* DNA molecular weight (</t>
    </r>
    <r>
      <rPr>
        <i/>
        <sz val="11"/>
        <color theme="1"/>
        <rFont val="Calibri"/>
        <family val="2"/>
        <scheme val="minor"/>
      </rPr>
      <t>MW</t>
    </r>
    <r>
      <rPr>
        <vertAlign val="subscript"/>
        <sz val="11"/>
        <color theme="1"/>
        <rFont val="Calibri"/>
        <family val="2"/>
        <scheme val="minor"/>
      </rPr>
      <t>DNA</t>
    </r>
    <r>
      <rPr>
        <sz val="11"/>
        <color theme="1"/>
        <rFont val="Calibri"/>
        <family val="2"/>
        <scheme val="minor"/>
      </rPr>
      <t>) can be provided, overriding calculation using DNA length.</t>
    </r>
  </si>
  <si>
    <r>
      <t xml:space="preserve">Calculates instructions for diluting a single stock to make a list of specified volumes and concentrations (with optional multiplicative factors for each), along with a specified volume % excess. The Diluted Stock option uses the highest dilution concentration as a sub-stock for making the remaining concentrations, useful for achieving pipettable stock volumes for large dilutions. </t>
    </r>
    <r>
      <rPr>
        <i/>
        <u/>
        <sz val="10"/>
        <color theme="1" tint="0.249977111117893"/>
        <rFont val="Calibri"/>
        <family val="2"/>
        <scheme val="minor"/>
      </rPr>
      <t>Only modify orange fields.</t>
    </r>
    <r>
      <rPr>
        <sz val="10"/>
        <color theme="1" tint="0.249977111117893"/>
        <rFont val="Calibri"/>
        <family val="2"/>
        <scheme val="minor"/>
      </rPr>
      <t xml:space="preserve">
</t>
    </r>
    <r>
      <rPr>
        <b/>
        <sz val="8"/>
        <color theme="1" tint="0.249977111117893"/>
        <rFont val="Calibri"/>
        <family val="2"/>
        <scheme val="minor"/>
      </rPr>
      <t>Calculation:</t>
    </r>
    <r>
      <rPr>
        <sz val="8"/>
        <color theme="1" tint="0.249977111117893"/>
        <rFont val="Calibri"/>
        <family val="2"/>
        <scheme val="minor"/>
      </rPr>
      <t xml:space="preserve"> Prep conc = target conc × conc factor. Prep vol = singular vol (single rxn) × vol factor (# rxns) × excess. Stock vol = prep conc × prep vol ÷ stock conc. Diluent vol = prep vol – stock vol.</t>
    </r>
  </si>
  <si>
    <r>
      <rPr>
        <b/>
        <sz val="10"/>
        <rFont val="Calibri"/>
        <family val="2"/>
        <scheme val="minor"/>
      </rPr>
      <t>EXAMPLE:</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t>
    </r>
    <r>
      <rPr>
        <sz val="10"/>
        <color theme="1"/>
        <rFont val="Calibri"/>
        <family val="2"/>
        <scheme val="minor"/>
      </rPr>
      <t xml:space="preserve">, with a </t>
    </r>
    <r>
      <rPr>
        <sz val="10"/>
        <color rgb="FFFF697B"/>
        <rFont val="Calibri"/>
        <family val="2"/>
        <scheme val="minor"/>
      </rPr>
      <t>triplicate</t>
    </r>
    <r>
      <rPr>
        <sz val="10"/>
        <color theme="1"/>
        <rFont val="Calibri"/>
        <family val="2"/>
        <scheme val="minor"/>
      </rPr>
      <t xml:space="preserve"> </t>
    </r>
    <r>
      <rPr>
        <b/>
        <i/>
        <sz val="10"/>
        <color rgb="FFFF697B"/>
        <rFont val="Calibri"/>
        <family val="2"/>
        <scheme val="minor"/>
      </rPr>
      <t>Factor</t>
    </r>
    <r>
      <rPr>
        <i/>
        <sz val="10"/>
        <color theme="1"/>
        <rFont val="Calibri"/>
        <family val="2"/>
        <scheme val="minor"/>
      </rPr>
      <t xml:space="preserve"> </t>
    </r>
    <r>
      <rPr>
        <sz val="10"/>
        <color theme="1"/>
        <rFont val="Calibri"/>
        <family val="2"/>
        <scheme val="minor"/>
      </rPr>
      <t xml:space="preserve">of the 0.5 M and 0.1 M rxns, and a </t>
    </r>
    <r>
      <rPr>
        <sz val="10"/>
        <color rgb="FFFF697B"/>
        <rFont val="Calibri"/>
        <family val="2"/>
        <scheme val="minor"/>
      </rPr>
      <t>duplicate</t>
    </r>
    <r>
      <rPr>
        <sz val="10"/>
        <color theme="1"/>
        <rFont val="Calibri"/>
        <family val="2"/>
        <scheme val="minor"/>
      </rPr>
      <t xml:space="preserve"> of the rest, preparing </t>
    </r>
    <r>
      <rPr>
        <sz val="10"/>
        <color rgb="FFFF99FF"/>
        <rFont val="Calibri"/>
        <family val="2"/>
        <scheme val="minor"/>
      </rPr>
      <t xml:space="preserve">5% </t>
    </r>
    <r>
      <rPr>
        <b/>
        <i/>
        <sz val="10"/>
        <color rgb="FFFF99FF"/>
        <rFont val="Calibri"/>
        <family val="2"/>
        <scheme val="minor"/>
      </rPr>
      <t>Excess</t>
    </r>
    <r>
      <rPr>
        <sz val="10"/>
        <color rgb="FFFF99FF"/>
        <rFont val="Calibri"/>
        <family val="2"/>
        <scheme val="minor"/>
      </rPr>
      <t xml:space="preserve"> </t>
    </r>
    <r>
      <rPr>
        <sz val="10"/>
        <color theme="1"/>
        <rFont val="Calibri"/>
        <family val="2"/>
        <scheme val="minor"/>
      </rPr>
      <t>for all dilutions. I see at the bottom that I must prepare at least</t>
    </r>
    <r>
      <rPr>
        <sz val="10"/>
        <color theme="9"/>
        <rFont val="Calibri"/>
        <family val="2"/>
        <scheme val="minor"/>
      </rPr>
      <t xml:space="preserve"> </t>
    </r>
    <r>
      <rPr>
        <sz val="10"/>
        <color rgb="FF00B050"/>
        <rFont val="Calibri"/>
        <family val="2"/>
        <scheme val="minor"/>
      </rPr>
      <t xml:space="preserve">2520 µL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624 µL of the 2 M stuff (</t>
    </r>
    <r>
      <rPr>
        <b/>
        <i/>
        <sz val="10"/>
        <color rgb="FFFFC000"/>
        <rFont val="Calibri"/>
        <family val="2"/>
        <scheme val="minor"/>
      </rPr>
      <t>Maximum Preparatory Volume</t>
    </r>
    <r>
      <rPr>
        <sz val="10"/>
        <color rgb="FFFFC000"/>
        <rFont val="Calibri"/>
        <family val="2"/>
        <scheme val="minor"/>
      </rPr>
      <t>)</t>
    </r>
    <r>
      <rPr>
        <sz val="10"/>
        <color theme="1"/>
        <rFont val="Calibri"/>
        <family val="2"/>
        <scheme val="minor"/>
      </rPr>
      <t xml:space="preserve">. First I aliquot </t>
    </r>
    <r>
      <rPr>
        <sz val="10"/>
        <color rgb="FF7030A0"/>
        <rFont val="Calibri"/>
        <family val="2"/>
        <scheme val="minor"/>
      </rPr>
      <t xml:space="preserve">all of the </t>
    </r>
    <r>
      <rPr>
        <b/>
        <i/>
        <sz val="10"/>
        <color rgb="FF7030A0"/>
        <rFont val="Calibri"/>
        <family val="2"/>
        <scheme val="minor"/>
      </rPr>
      <t>Diluent Volumes</t>
    </r>
    <r>
      <rPr>
        <sz val="10"/>
        <color rgb="FF7030A0"/>
        <rFont val="Calibri"/>
        <family val="2"/>
        <scheme val="minor"/>
      </rPr>
      <t xml:space="preserve"> (except for #1, the top conc.) </t>
    </r>
    <r>
      <rPr>
        <sz val="10"/>
        <color theme="1"/>
        <rFont val="Calibri"/>
        <family val="2"/>
        <scheme val="minor"/>
      </rPr>
      <t xml:space="preserve">in tubes large enough to hold the max prep volumes of each concentration. Then I follow the </t>
    </r>
    <r>
      <rPr>
        <b/>
        <i/>
        <sz val="10"/>
        <color theme="1"/>
        <rFont val="Calibri"/>
        <family val="2"/>
        <scheme val="minor"/>
      </rPr>
      <t>Dilute</t>
    </r>
    <r>
      <rPr>
        <sz val="10"/>
        <color theme="1"/>
        <rFont val="Calibri"/>
        <family val="2"/>
        <scheme val="minor"/>
      </rPr>
      <t xml:space="preserve"> column instructions and start the series by</t>
    </r>
    <r>
      <rPr>
        <sz val="10"/>
        <color rgb="FFC00000"/>
        <rFont val="Calibri"/>
        <family val="2"/>
        <scheme val="minor"/>
      </rPr>
      <t xml:space="preserve"> diluting 308.7 µL of the 2 M stuff in 308.7 µL diluent to make 617.4 µL of the 1 M stuff (dilution #2)</t>
    </r>
    <r>
      <rPr>
        <sz val="10"/>
        <color theme="1"/>
        <rFont val="Calibri"/>
        <family val="2"/>
        <scheme val="minor"/>
      </rPr>
      <t xml:space="preserve">. </t>
    </r>
    <r>
      <rPr>
        <i/>
        <sz val="10"/>
        <color theme="1"/>
        <rFont val="Calibri"/>
        <family val="2"/>
        <scheme val="minor"/>
      </rPr>
      <t>Et cetera</t>
    </r>
    <r>
      <rPr>
        <sz val="10"/>
        <color theme="1"/>
        <rFont val="Calibri"/>
        <family val="2"/>
        <scheme val="minor"/>
      </rPr>
      <t xml:space="preserve">. </t>
    </r>
  </si>
  <si>
    <t>pSPB001</t>
  </si>
  <si>
    <r>
      <t>V</t>
    </r>
    <r>
      <rPr>
        <b/>
        <vertAlign val="subscript"/>
        <sz val="12"/>
        <color rgb="FF0070C0"/>
        <rFont val="Calibri Light"/>
        <family val="2"/>
        <scheme val="major"/>
      </rPr>
      <t xml:space="preserve">DNA
</t>
    </r>
    <r>
      <rPr>
        <b/>
        <i/>
        <sz val="9"/>
        <color rgb="FF0070C0"/>
        <rFont val="Calibri Light"/>
        <family val="2"/>
        <scheme val="major"/>
      </rPr>
      <t>opt</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</si>
  <si>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(Da)</t>
    </r>
  </si>
  <si>
    <t>pSPB003</t>
  </si>
  <si>
    <t>pSPB004</t>
  </si>
  <si>
    <t>pSPB005</t>
  </si>
  <si>
    <r>
      <t xml:space="preserve">• </t>
    </r>
    <r>
      <rPr>
        <b/>
        <sz val="11"/>
        <color theme="1"/>
        <rFont val="Calibri"/>
        <family val="2"/>
        <scheme val="minor"/>
      </rPr>
      <t>1.0–4.0E-14 mol</t>
    </r>
    <r>
      <rPr>
        <sz val="11"/>
        <color theme="1"/>
        <rFont val="Calibri"/>
        <family val="2"/>
        <scheme val="minor"/>
      </rPr>
      <t xml:space="preserve"> (</t>
    </r>
    <r>
      <rPr>
        <b/>
        <sz val="11"/>
        <color theme="1"/>
        <rFont val="Calibri"/>
        <family val="2"/>
        <scheme val="minor"/>
      </rPr>
      <t>10–40 fmol</t>
    </r>
    <r>
      <rPr>
        <sz val="11"/>
        <color theme="1"/>
        <rFont val="Calibri"/>
        <family val="2"/>
        <scheme val="minor"/>
      </rPr>
      <t xml:space="preserve">) optimal for Golden Gate Assembly.      </t>
    </r>
    <r>
      <rPr>
        <b/>
        <sz val="11"/>
        <color theme="1"/>
        <rFont val="Calibri"/>
        <family val="2"/>
        <scheme val="minor"/>
      </rPr>
      <t xml:space="preserve">25 or 50 nM </t>
    </r>
    <r>
      <rPr>
        <sz val="11"/>
        <color theme="1"/>
        <rFont val="Calibri"/>
        <family val="2"/>
        <scheme val="minor"/>
      </rPr>
      <t>is a good part storage concentration (12.5 or 25 fmol per 0.5 µL).</t>
    </r>
  </si>
  <si>
    <r>
      <rPr>
        <b/>
        <i/>
        <sz val="9"/>
        <color theme="2"/>
        <rFont val="Calibri Light"/>
        <family val="2"/>
        <scheme val="major"/>
      </rPr>
      <t>MW</t>
    </r>
    <r>
      <rPr>
        <b/>
        <vertAlign val="subscript"/>
        <sz val="10"/>
        <color theme="2"/>
        <rFont val="Calibri Light"/>
        <family val="2"/>
        <scheme val="major"/>
      </rPr>
      <t>DNA</t>
    </r>
    <r>
      <rPr>
        <b/>
        <sz val="10"/>
        <color theme="2"/>
        <rFont val="Calibri Light"/>
        <family val="2"/>
        <scheme val="major"/>
      </rPr>
      <t>*</t>
    </r>
    <r>
      <rPr>
        <b/>
        <vertAlign val="subscript"/>
        <sz val="10"/>
        <color theme="2"/>
        <rFont val="Calibri Light"/>
        <family val="2"/>
        <scheme val="major"/>
      </rPr>
      <t xml:space="preserve">
</t>
    </r>
    <r>
      <rPr>
        <b/>
        <sz val="10"/>
        <color theme="2"/>
        <rFont val="Calibri Light"/>
        <family val="2"/>
        <scheme val="major"/>
      </rPr>
      <t>(kDa)</t>
    </r>
  </si>
  <si>
    <t>DNA Conc: circular DNA base pair average molar mass changed from 615.88 (my calculation) to 617.96, used in the NEBioCalculator. For linear DNAs, 36.04 g/mol would need to be added to account for terminal OH/H.</t>
  </si>
  <si>
    <t>* The error in DNA absorbance measurement is larger than the error in estimation of [DNA] using length alone: linearity instead of circularity, lack of phosphorylation, and %GC alter the DNA molar mass by &lt;0.3% of anything ≥50 bp. Here, DNA is calculated to be circular, non-coordinated, -1 charge/bp with the molar mass used in the NEBioCalculator.</t>
  </si>
  <si>
    <t>[DMSO]</t>
  </si>
  <si>
    <t>[GC Enhancer]</t>
  </si>
  <si>
    <t>Q5/Phusion PCR (1)</t>
  </si>
  <si>
    <t>Q5/Phusion PCR (2)</t>
  </si>
  <si>
    <t>Q5/Phusion PCR (3)</t>
  </si>
  <si>
    <t>Custom Q5/Phusion PCR</t>
  </si>
  <si>
    <r>
      <t xml:space="preserve">Custom </t>
    </r>
    <r>
      <rPr>
        <i/>
        <sz val="12"/>
        <color theme="2" tint="-0.749992370372631"/>
        <rFont val="Segoe UI"/>
        <family val="2"/>
      </rPr>
      <t>Taq</t>
    </r>
    <r>
      <rPr>
        <sz val="12"/>
        <color theme="2" tint="-0.749992370372631"/>
        <rFont val="Segoe UI"/>
        <family val="2"/>
      </rPr>
      <t xml:space="preserve"> Genotyping PCR</t>
    </r>
  </si>
  <si>
    <r>
      <rPr>
        <i/>
        <sz val="12"/>
        <color theme="2" tint="-0.749992370372631"/>
        <rFont val="Segoe UI"/>
        <family val="2"/>
      </rPr>
      <t>Taq</t>
    </r>
    <r>
      <rPr>
        <sz val="12"/>
        <color theme="2" tint="-0.749992370372631"/>
        <rFont val="Segoe UI"/>
        <family val="2"/>
      </rPr>
      <t xml:space="preserve"> Genotyping PCR (2)</t>
    </r>
  </si>
  <si>
    <r>
      <rPr>
        <i/>
        <sz val="12"/>
        <color theme="2" tint="-0.749992370372631"/>
        <rFont val="Segoe UI"/>
        <family val="2"/>
      </rPr>
      <t>Taq</t>
    </r>
    <r>
      <rPr>
        <sz val="12"/>
        <color theme="2" tint="-0.749992370372631"/>
        <rFont val="Segoe UI"/>
        <family val="2"/>
      </rPr>
      <t xml:space="preserve"> Genotyping PCR (1)</t>
    </r>
  </si>
  <si>
    <r>
      <rPr>
        <i/>
        <sz val="12"/>
        <color theme="2" tint="-0.749992370372631"/>
        <rFont val="Segoe UI"/>
        <family val="2"/>
      </rPr>
      <t>Taq</t>
    </r>
    <r>
      <rPr>
        <sz val="12"/>
        <color theme="2" tint="-0.749992370372631"/>
        <rFont val="Segoe UI"/>
        <family val="2"/>
      </rPr>
      <t xml:space="preserve"> Genotyping PCR (3)</t>
    </r>
  </si>
  <si>
    <r>
      <t>V</t>
    </r>
    <r>
      <rPr>
        <b/>
        <vertAlign val="subscript"/>
        <sz val="10"/>
        <color rgb="FF0070C0"/>
        <rFont val="Calibri Light"/>
        <family val="2"/>
        <scheme val="major"/>
      </rPr>
      <t>total</t>
    </r>
    <r>
      <rPr>
        <b/>
        <sz val="10"/>
        <color rgb="FF0070C0"/>
        <rFont val="Calibri Light"/>
        <family val="2"/>
        <scheme val="major"/>
      </rPr>
      <t>:</t>
    </r>
  </si>
  <si>
    <r>
      <t>V</t>
    </r>
    <r>
      <rPr>
        <b/>
        <vertAlign val="subscript"/>
        <sz val="10"/>
        <color rgb="FF0070C0"/>
        <rFont val="Calibri Light"/>
        <family val="2"/>
        <scheme val="major"/>
      </rPr>
      <t>primer</t>
    </r>
    <r>
      <rPr>
        <b/>
        <sz val="10"/>
        <color rgb="FF0070C0"/>
        <rFont val="Calibri Light"/>
        <family val="2"/>
        <scheme val="major"/>
      </rPr>
      <t>:</t>
    </r>
  </si>
  <si>
    <r>
      <t>V</t>
    </r>
    <r>
      <rPr>
        <b/>
        <vertAlign val="subscript"/>
        <sz val="12"/>
        <color rgb="FF0070C0"/>
        <rFont val="Calibri Light"/>
        <family val="2"/>
        <scheme val="major"/>
      </rPr>
      <t>primer</t>
    </r>
    <r>
      <rPr>
        <b/>
        <sz val="12"/>
        <color rgb="FF0070C0"/>
        <rFont val="Calibri Light"/>
        <family val="2"/>
        <scheme val="major"/>
      </rPr>
      <t>:</t>
    </r>
  </si>
  <si>
    <t>pSPB001.dil</t>
  </si>
  <si>
    <r>
      <rPr>
        <sz val="11"/>
        <color theme="2" tint="-9.9978637043366805E-2"/>
        <rFont val="Calibri"/>
        <family val="2"/>
        <scheme val="minor"/>
      </rPr>
      <t xml:space="preserve">2 U/µL </t>
    </r>
    <r>
      <rPr>
        <b/>
        <sz val="11"/>
        <color theme="1" tint="0.34998626667073579"/>
        <rFont val="Calibri"/>
        <family val="2"/>
        <scheme val="minor"/>
      </rPr>
      <t>DNA polymerase</t>
    </r>
  </si>
  <si>
    <r>
      <t>Example:</t>
    </r>
    <r>
      <rPr>
        <sz val="10"/>
        <color theme="1" tint="0.34998626667073579"/>
        <rFont val="Calibri"/>
        <family val="2"/>
        <scheme val="minor"/>
      </rPr>
      <t xml:space="preserve"> pSPB001 is a 3200 bp plasmid, miniprepped and measured by Nanodrop to be 200 ng/µL. Inputting these values, you see that the plasmid concentration is 101.48 nM. You want to use 25 fmol of the plasmid in an assembly reaction, so you set the "V.DNA for:" heading to 2.5e-14 mol and see that you'd have to use 0.25 µL of the plasmid in a reaction. But you like to normalize all your plasmids to 50 nM so that you can simply use 0.5 µL of any plasmid to get 25 fmol. So under the "Dilution to" heading, set the concentration to 5.0e-8 M (50 nM); and for pSPB001 input the sample volume (58 µL remaining), and then you see the necessary dilution of the plasmid: 2.03-fold by adding 59.7 µL of diluent (e.g. DNA-grade Tris buffer). Once diluted, you can use a standard 0.5 µL of it. And you can input the molar concentration as 50 nM, which strikes out and overrides the original 200 ng/µL mass concentration you originally inputted.
For sequencing, your service asks for 500 ng in a final 15 µL with 1.67 µM primer (25 pmol). You keep 10 µM dilutions of your sequencing primers and use 2.5 µL per reaction to get the required primer concentration (1.67 µM). To determine the volume of each plasmid that equates to 500 ng, under the "Sequencing: mass" header, first set the mass to 500 ng, V.total to 15 µL, and V.primer to 2.5 µL. The DNA volume for 500 ng will be calculated for each DNA whose mass concentration or length with molar concentration are specified. For pSPB001, inputting a 3200 bp length and 200 ng/µL ρ results in the expected 2.5 µL for 500 ng. Afer diluting it 2.03-fold to 50 nM (labeled pSPB001.dil), you see you the expected roughly doubled volume for 500 ng, 5.06 µL. To prepare a sequencing sample, add the variable water volumes to all tubes, then the primer volume, then the variable plasmid volumes.
For pSPB003, I received 4.0 µg of a plasmid, which I diluted in 20 µL to get a 200 ng/µL solution. I'm given the molecular weight of the plasmid, 2e6 Da, which I can use instead of the length for any calculation.
</t>
    </r>
    <r>
      <rPr>
        <b/>
        <i/>
        <sz val="10"/>
        <color theme="1" tint="0.34998626667073579"/>
        <rFont val="Calibri"/>
        <family val="2"/>
        <scheme val="minor"/>
      </rPr>
      <t>Only modify orange fields.</t>
    </r>
  </si>
  <si>
    <t>Stock Vol.</t>
  </si>
  <si>
    <t>Dil. Vol.</t>
  </si>
  <si>
    <r>
      <t xml:space="preserve">Conc. Factor
</t>
    </r>
    <r>
      <rPr>
        <b/>
        <sz val="6"/>
        <color rgb="FF7030A0"/>
        <rFont val="Calibri"/>
        <family val="2"/>
        <scheme val="minor"/>
      </rPr>
      <t>(opt, default ×1)</t>
    </r>
  </si>
  <si>
    <r>
      <t xml:space="preserve">Vol. Factor
</t>
    </r>
    <r>
      <rPr>
        <b/>
        <sz val="6"/>
        <color rgb="FFFF697B"/>
        <rFont val="Calibri"/>
        <family val="2"/>
        <scheme val="minor"/>
      </rPr>
      <t>(opt, default ×1)</t>
    </r>
  </si>
  <si>
    <t>Prep. Conc.</t>
  </si>
  <si>
    <t xml:space="preserve">PCR/DNA Conc/Nonserial Dilution: Number format code that rounds to &gt;200 µL volumes to the nearest 0.1 µL, and ≤200 µL volumes to the nearest 0.01 µL: [&gt;200]0.#;[&gt;20]0.##;0.##. </t>
  </si>
  <si>
    <t>You may choose to format other calculators' calculated values as the same.</t>
  </si>
  <si>
    <r>
      <t xml:space="preserve">Unit
</t>
    </r>
    <r>
      <rPr>
        <sz val="6"/>
        <color theme="2" tint="-0.249977111117893"/>
        <rFont val="Calibri"/>
        <family val="2"/>
        <scheme val="minor"/>
      </rPr>
      <t>(opt)</t>
    </r>
  </si>
  <si>
    <r>
      <rPr>
        <b/>
        <sz val="10"/>
        <rFont val="Calibri"/>
        <family val="2"/>
        <scheme val="minor"/>
      </rPr>
      <t>EXAMPLE:</t>
    </r>
    <r>
      <rPr>
        <sz val="10"/>
        <color theme="1"/>
        <rFont val="Calibri"/>
        <family val="2"/>
        <scheme val="minor"/>
      </rPr>
      <t xml:space="preserve"> From a</t>
    </r>
    <r>
      <rPr>
        <sz val="10"/>
        <rFont val="Calibri"/>
        <family val="2"/>
        <scheme val="minor"/>
      </rPr>
      <t xml:space="preserve"> 10 M </t>
    </r>
    <r>
      <rPr>
        <b/>
        <i/>
        <sz val="10"/>
        <rFont val="Calibri"/>
        <family val="2"/>
        <scheme val="minor"/>
      </rPr>
      <t>Stock Conc</t>
    </r>
    <r>
      <rPr>
        <i/>
        <sz val="10"/>
        <rFont val="Calibri"/>
        <family val="2"/>
        <scheme val="minor"/>
      </rPr>
      <t>entration</t>
    </r>
    <r>
      <rPr>
        <sz val="10"/>
        <color theme="1"/>
        <rFont val="Calibri"/>
        <family val="2"/>
        <scheme val="minor"/>
      </rPr>
      <t xml:space="preserve">, I want a mixed dilution series of two-fold and three-fold spanning </t>
    </r>
    <r>
      <rPr>
        <sz val="10"/>
        <color theme="5"/>
        <rFont val="Calibri"/>
        <family val="2"/>
        <scheme val="minor"/>
      </rPr>
      <t>2 M – 0.01 – 0 M</t>
    </r>
    <r>
      <rPr>
        <sz val="10"/>
        <color theme="1"/>
        <rFont val="Calibri"/>
        <family val="2"/>
        <scheme val="minor"/>
      </rPr>
      <t xml:space="preserve">, with </t>
    </r>
    <r>
      <rPr>
        <sz val="10"/>
        <color theme="4"/>
        <rFont val="Calibri"/>
        <family val="2"/>
        <scheme val="minor"/>
      </rPr>
      <t>150 µL in each rxn (</t>
    </r>
    <r>
      <rPr>
        <b/>
        <i/>
        <sz val="10"/>
        <color theme="4"/>
        <rFont val="Calibri"/>
        <family val="2"/>
        <scheme val="minor"/>
      </rPr>
      <t>Singular Volume</t>
    </r>
    <r>
      <rPr>
        <b/>
        <sz val="10"/>
        <color theme="4"/>
        <rFont val="Calibri"/>
        <family val="2"/>
        <scheme val="minor"/>
      </rPr>
      <t>)</t>
    </r>
    <r>
      <rPr>
        <sz val="10"/>
        <color theme="1"/>
        <rFont val="Calibri"/>
        <family val="2"/>
        <scheme val="minor"/>
      </rPr>
      <t xml:space="preserve">, made at a </t>
    </r>
    <r>
      <rPr>
        <sz val="10"/>
        <color rgb="FF7030A0"/>
        <rFont val="Calibri"/>
        <family val="2"/>
        <scheme val="minor"/>
      </rPr>
      <t xml:space="preserve">2﻿× </t>
    </r>
    <r>
      <rPr>
        <b/>
        <i/>
        <sz val="10"/>
        <color rgb="FF7030A0"/>
        <rFont val="Calibri"/>
        <family val="2"/>
        <scheme val="minor"/>
      </rPr>
      <t>Concentration Factor</t>
    </r>
    <r>
      <rPr>
        <sz val="10"/>
        <color theme="1"/>
        <rFont val="Calibri"/>
        <family val="2"/>
        <scheme val="minor"/>
      </rPr>
      <t xml:space="preserve"> (so that I can mix it 1:1 with cells), with a </t>
    </r>
    <r>
      <rPr>
        <sz val="10"/>
        <color rgb="FFFF697B"/>
        <rFont val="Calibri"/>
        <family val="2"/>
        <scheme val="minor"/>
      </rPr>
      <t>triplicate</t>
    </r>
    <r>
      <rPr>
        <sz val="10"/>
        <color theme="1"/>
        <rFont val="Calibri"/>
        <family val="2"/>
        <scheme val="minor"/>
      </rPr>
      <t xml:space="preserve"> of the 0.5 M and 0.1 M rxns, and a </t>
    </r>
    <r>
      <rPr>
        <sz val="10"/>
        <color rgb="FFFF697B"/>
        <rFont val="Calibri"/>
        <family val="2"/>
        <scheme val="minor"/>
      </rPr>
      <t>duplicate</t>
    </r>
    <r>
      <rPr>
        <sz val="10"/>
        <color theme="1"/>
        <rFont val="Calibri"/>
        <family val="2"/>
        <scheme val="minor"/>
      </rPr>
      <t xml:space="preserve"> of the rest </t>
    </r>
    <r>
      <rPr>
        <b/>
        <sz val="10"/>
        <color rgb="FFFF697B"/>
        <rFont val="Calibri"/>
        <family val="2"/>
        <scheme val="minor"/>
      </rPr>
      <t>(</t>
    </r>
    <r>
      <rPr>
        <b/>
        <i/>
        <sz val="10"/>
        <color rgb="FFFF697B"/>
        <rFont val="Calibri"/>
        <family val="2"/>
        <scheme val="minor"/>
      </rPr>
      <t>Vol. Factor</t>
    </r>
    <r>
      <rPr>
        <sz val="10"/>
        <color rgb="FFFF697B"/>
        <rFont val="Calibri"/>
        <family val="2"/>
        <scheme val="minor"/>
      </rPr>
      <t>)</t>
    </r>
    <r>
      <rPr>
        <sz val="10"/>
        <color theme="1"/>
        <rFont val="Calibri"/>
        <family val="2"/>
        <scheme val="minor"/>
      </rPr>
      <t xml:space="preserve">, preparing </t>
    </r>
    <r>
      <rPr>
        <sz val="10"/>
        <color rgb="FFFF99FF"/>
        <rFont val="Calibri"/>
        <family val="2"/>
        <scheme val="minor"/>
      </rPr>
      <t xml:space="preserve">5% excess </t>
    </r>
    <r>
      <rPr>
        <sz val="10"/>
        <color theme="1"/>
        <rFont val="Calibri"/>
        <family val="2"/>
        <scheme val="minor"/>
      </rPr>
      <t xml:space="preserve">for all dilutions. When </t>
    </r>
    <r>
      <rPr>
        <b/>
        <i/>
        <sz val="10"/>
        <color theme="1"/>
        <rFont val="Calibri"/>
        <family val="2"/>
        <scheme val="minor"/>
      </rPr>
      <t>Diluted Stock?</t>
    </r>
    <r>
      <rPr>
        <sz val="10"/>
        <color theme="1"/>
        <rFont val="Calibri"/>
        <family val="2"/>
        <scheme val="minor"/>
      </rPr>
      <t xml:space="preserve"> is set to "no", I find that I'd have to pipette 0.63 µL of the 10 M stock for the lowest 0.01 M concentration, which I think is too small to pipette. So I switch the setting to "yes", changing the instructions to make lower concentrations from the top 4 M preparatory concentration instead of from the 10 M stock, after which my minimum pipetting volume is 1.58 µL. I see at the bottom that I must prepare at least</t>
    </r>
    <r>
      <rPr>
        <sz val="10"/>
        <color theme="9"/>
        <rFont val="Calibri"/>
        <family val="2"/>
        <scheme val="minor"/>
      </rPr>
      <t xml:space="preserve"> </t>
    </r>
    <r>
      <rPr>
        <sz val="10"/>
        <color rgb="FF00B050"/>
        <rFont val="Calibri"/>
        <family val="2"/>
        <scheme val="minor"/>
      </rPr>
      <t xml:space="preserve">2.033 mL </t>
    </r>
    <r>
      <rPr>
        <b/>
        <i/>
        <sz val="10"/>
        <color rgb="FF00B050"/>
        <rFont val="Calibri"/>
        <family val="2"/>
        <scheme val="minor"/>
      </rPr>
      <t>Total Diluent</t>
    </r>
    <r>
      <rPr>
        <sz val="10"/>
        <color theme="1"/>
        <rFont val="Calibri"/>
        <family val="2"/>
        <scheme val="minor"/>
      </rPr>
      <t xml:space="preserve"> and at least </t>
    </r>
    <r>
      <rPr>
        <sz val="10"/>
        <color rgb="FFFFC000"/>
        <rFont val="Calibri"/>
        <family val="2"/>
        <scheme val="minor"/>
      </rPr>
      <t>490µL of the 4 M stuff (</t>
    </r>
    <r>
      <rPr>
        <b/>
        <i/>
        <sz val="10"/>
        <color rgb="FFFFC000"/>
        <rFont val="Calibri"/>
        <family val="2"/>
        <scheme val="minor"/>
      </rPr>
      <t>Prep Volume</t>
    </r>
    <r>
      <rPr>
        <sz val="10"/>
        <color rgb="FFFFC000"/>
        <rFont val="Calibri"/>
        <family val="2"/>
        <scheme val="minor"/>
      </rPr>
      <t xml:space="preserve"> of top conc)</t>
    </r>
    <r>
      <rPr>
        <sz val="10"/>
        <color theme="1"/>
        <rFont val="Calibri"/>
        <family val="2"/>
        <scheme val="minor"/>
      </rPr>
      <t>. It tells me how to make the the 4 M diluted stock under</t>
    </r>
    <r>
      <rPr>
        <sz val="10"/>
        <color theme="5" tint="-0.249977111117893"/>
        <rFont val="Calibri"/>
        <family val="2"/>
        <scheme val="minor"/>
      </rPr>
      <t xml:space="preserve"> Stock Vol</t>
    </r>
    <r>
      <rPr>
        <sz val="10"/>
        <color theme="1"/>
        <rFont val="Calibri"/>
        <family val="2"/>
        <scheme val="minor"/>
      </rPr>
      <t xml:space="preserve"> and </t>
    </r>
    <r>
      <rPr>
        <sz val="10"/>
        <color theme="5" tint="-0.249977111117893"/>
        <rFont val="Calibri"/>
        <family val="2"/>
        <scheme val="minor"/>
      </rPr>
      <t>Dil Vol</t>
    </r>
    <r>
      <rPr>
        <sz val="10"/>
        <color theme="1"/>
        <rFont val="Calibri"/>
        <family val="2"/>
        <scheme val="minor"/>
      </rPr>
      <t xml:space="preserve">. First I aliquot </t>
    </r>
    <r>
      <rPr>
        <sz val="10"/>
        <color rgb="FF7030A0"/>
        <rFont val="Calibri"/>
        <family val="2"/>
        <scheme val="minor"/>
      </rPr>
      <t xml:space="preserve">all of the </t>
    </r>
    <r>
      <rPr>
        <b/>
        <sz val="10"/>
        <color rgb="FF7030A0"/>
        <rFont val="Calibri"/>
        <family val="2"/>
        <scheme val="minor"/>
      </rPr>
      <t>Diluent Volume</t>
    </r>
    <r>
      <rPr>
        <sz val="10"/>
        <color rgb="FF7030A0"/>
        <rFont val="Calibri"/>
        <family val="2"/>
        <scheme val="minor"/>
      </rPr>
      <t>s</t>
    </r>
    <r>
      <rPr>
        <sz val="10"/>
        <color theme="1"/>
        <rFont val="Calibri"/>
        <family val="2"/>
        <scheme val="minor"/>
      </rPr>
      <t xml:space="preserve"> in tubes large enough to hold the </t>
    </r>
    <r>
      <rPr>
        <b/>
        <sz val="10"/>
        <color rgb="FF7030A0"/>
        <rFont val="Calibri"/>
        <family val="2"/>
        <scheme val="minor"/>
      </rPr>
      <t>Prep</t>
    </r>
    <r>
      <rPr>
        <sz val="10"/>
        <color rgb="FF7030A0"/>
        <rFont val="Calibri"/>
        <family val="2"/>
        <scheme val="minor"/>
      </rPr>
      <t xml:space="preserve">aratory </t>
    </r>
    <r>
      <rPr>
        <b/>
        <sz val="10"/>
        <color rgb="FF7030A0"/>
        <rFont val="Calibri"/>
        <family val="2"/>
        <scheme val="minor"/>
      </rPr>
      <t>Volumes</t>
    </r>
    <r>
      <rPr>
        <sz val="10"/>
        <color theme="1"/>
        <rFont val="Calibri"/>
        <family val="2"/>
        <scheme val="minor"/>
      </rPr>
      <t xml:space="preserve"> of each concentration. Then I add the </t>
    </r>
    <r>
      <rPr>
        <b/>
        <sz val="10"/>
        <color theme="1"/>
        <rFont val="Calibri"/>
        <family val="2"/>
        <scheme val="minor"/>
      </rPr>
      <t>Diluted Stock Volume</t>
    </r>
    <r>
      <rPr>
        <sz val="10"/>
        <color theme="1"/>
        <rFont val="Calibri"/>
        <family val="2"/>
        <scheme val="minor"/>
      </rPr>
      <t xml:space="preserve">s to these to get the </t>
    </r>
    <r>
      <rPr>
        <b/>
        <sz val="10"/>
        <color theme="1"/>
        <rFont val="Calibri"/>
        <family val="2"/>
        <scheme val="minor"/>
      </rPr>
      <t>Prep</t>
    </r>
    <r>
      <rPr>
        <sz val="10"/>
        <color theme="1"/>
        <rFont val="Calibri"/>
        <family val="2"/>
        <scheme val="minor"/>
      </rPr>
      <t xml:space="preserve">aratory </t>
    </r>
    <r>
      <rPr>
        <b/>
        <sz val="10"/>
        <color theme="1"/>
        <rFont val="Calibri"/>
        <family val="2"/>
        <scheme val="minor"/>
      </rPr>
      <t>Conc</t>
    </r>
    <r>
      <rPr>
        <sz val="10"/>
        <color theme="1"/>
        <rFont val="Calibri"/>
        <family val="2"/>
        <scheme val="minor"/>
      </rPr>
      <t xml:space="preserve">entrations of each member of the series. 
</t>
    </r>
    <r>
      <rPr>
        <b/>
        <i/>
        <sz val="10"/>
        <color theme="1"/>
        <rFont val="Calibri"/>
        <family val="2"/>
        <scheme val="minor"/>
      </rPr>
      <t>Only modify orange fields.</t>
    </r>
  </si>
  <si>
    <t>Example: complicated nonserial dilution</t>
  </si>
  <si>
    <t xml:space="preserve">Github: </t>
  </si>
  <si>
    <t>https://github.com/shyambhakta/wetlabcalc</t>
  </si>
  <si>
    <r>
      <rPr>
        <b/>
        <sz val="11"/>
        <color theme="1"/>
        <rFont val="Calibri"/>
        <family val="2"/>
        <scheme val="minor"/>
      </rPr>
      <t>Instructions:</t>
    </r>
    <r>
      <rPr>
        <sz val="11"/>
        <color theme="1"/>
        <rFont val="Calibri"/>
        <family val="2"/>
        <scheme val="minor"/>
      </rPr>
      <t xml:space="preserve"> </t>
    </r>
    <r>
      <rPr>
        <i/>
        <sz val="11"/>
        <color theme="1"/>
        <rFont val="Calibri"/>
        <family val="2"/>
        <scheme val="minor"/>
      </rPr>
      <t>Only modify orange fields.</t>
    </r>
    <r>
      <rPr>
        <sz val="11"/>
        <color theme="1"/>
        <rFont val="Calibri"/>
        <family val="2"/>
        <scheme val="minor"/>
      </rPr>
      <t xml:space="preserve"> Input the number of reactions, approximate template volume per reaction, total reaction volume, and excess percentage (to account for pipetting error requiring a bit more of the master mix when aliquotting; generally 2% is fine). Modify the stock primer concentration if you use something other than 100 µM. For PCR enhancers, enter the final DMSO volume % you want (default 0%), and final GC enhancer concentration (typically 1× or 2× when used). Prepare the master mix using the values in the first column, which includes the excess. (The second column omits the excess, as does the third column but for only 1 reaction.) Add polymerase after mixing water and buffer. Generally, primers and/or template are omitted from the master mix you make as these components may vary in the individual reactions. Find the volume to aliquot from the master mix in the bottom Totals rows. You can see totals that omit one or both of the template and primer volumes. Use the rightmost column, as this is the volume for single PCR volumes. Change the reaction number for aliquotting out a sub-master mix for a group of reactions that need one more common primers, template, or DMSO added.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</si>
</sst>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quot;× &quot;#,###"/>
    <numFmt numFmtId="167" formatCode="0.0E+00"/>
    <numFmt numFmtId="168" formatCode="[&gt;200]0.#;[&gt;20]0.##;0.##"/>
  </numFmts>
  <fonts count="211" x14ac:knownFonts="1">
    <font>
      <sz val="11"/>
      <color theme="1"/>
      <name val="Calibri"/>
      <family val="2"/>
      <scheme val="minor"/>
    </font>
    <font>
      <b/>
      <sz val="11"/>
      <color theme="1"/>
      <name val="Calibri"/>
      <family val="2"/>
      <scheme val="minor"/>
    </font>
    <font>
      <sz val="11"/>
      <color rgb="FF3F3F76"/>
      <name val="Calibri"/>
      <family val="2"/>
      <scheme val="minor"/>
    </font>
    <font>
      <b/>
      <sz val="11"/>
      <color rgb="FFFA7D00"/>
      <name val="Calibri"/>
      <family val="2"/>
      <scheme val="minor"/>
    </font>
    <font>
      <b/>
      <vertAlign val="subscript"/>
      <sz val="11"/>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color rgb="FF3F3F3F"/>
      <name val="Calibri"/>
      <family val="2"/>
      <scheme val="minor"/>
    </font>
    <font>
      <b/>
      <sz val="11"/>
      <color theme="4" tint="-0.249977111117893"/>
      <name val="Calibri Light"/>
      <family val="2"/>
      <scheme val="major"/>
    </font>
    <font>
      <sz val="11"/>
      <color rgb="FF0070C0"/>
      <name val="Calibri Light"/>
      <family val="2"/>
      <scheme val="major"/>
    </font>
    <font>
      <b/>
      <sz val="11"/>
      <color theme="2" tint="-0.749992370372631"/>
      <name val="Calibri"/>
      <family val="2"/>
      <scheme val="minor"/>
    </font>
    <font>
      <b/>
      <vertAlign val="subscript"/>
      <sz val="11"/>
      <color theme="2" tint="-0.749992370372631"/>
      <name val="Calibri"/>
      <family val="2"/>
      <scheme val="minor"/>
    </font>
    <font>
      <b/>
      <i/>
      <sz val="11"/>
      <color theme="2" tint="-0.749992370372631"/>
      <name val="Calibri"/>
      <family val="2"/>
      <scheme val="minor"/>
    </font>
    <font>
      <b/>
      <sz val="12"/>
      <color theme="4" tint="-0.249977111117893"/>
      <name val="Calibri Light"/>
      <family val="2"/>
      <scheme val="major"/>
    </font>
    <font>
      <b/>
      <vertAlign val="subscript"/>
      <sz val="12"/>
      <color theme="4" tint="-0.249977111117893"/>
      <name val="Calibri Light"/>
      <family val="2"/>
      <scheme val="major"/>
    </font>
    <font>
      <b/>
      <i/>
      <sz val="12"/>
      <color theme="4" tint="-0.249977111117893"/>
      <name val="Calibri Light"/>
      <family val="2"/>
      <scheme val="major"/>
    </font>
    <font>
      <sz val="11"/>
      <color theme="1"/>
      <name val="Calibri"/>
      <family val="2"/>
      <scheme val="minor"/>
    </font>
    <font>
      <sz val="11"/>
      <color theme="2" tint="-0.499984740745262"/>
      <name val="Calibri"/>
      <family val="2"/>
      <scheme val="minor"/>
    </font>
    <font>
      <sz val="11"/>
      <color theme="1" tint="0.499984740745262"/>
      <name val="Calibri"/>
      <family val="2"/>
      <scheme val="minor"/>
    </font>
    <font>
      <sz val="11"/>
      <color rgb="FF006100"/>
      <name val="Calibri"/>
      <family val="2"/>
      <scheme val="minor"/>
    </font>
    <font>
      <sz val="11"/>
      <color rgb="FF9C6500"/>
      <name val="Calibri"/>
      <family val="2"/>
      <scheme val="minor"/>
    </font>
    <font>
      <sz val="14"/>
      <color theme="1"/>
      <name val="Calibri"/>
      <family val="2"/>
      <scheme val="minor"/>
    </font>
    <font>
      <i/>
      <sz val="14"/>
      <color theme="1"/>
      <name val="Calibri"/>
      <family val="2"/>
      <scheme val="minor"/>
    </font>
    <font>
      <sz val="14"/>
      <color theme="9" tint="-0.499984740745262"/>
      <name val="Calibri Light"/>
      <family val="2"/>
      <scheme val="major"/>
    </font>
    <font>
      <i/>
      <sz val="14"/>
      <color theme="9" tint="-0.499984740745262"/>
      <name val="Calibri Light"/>
      <family val="2"/>
      <scheme val="major"/>
    </font>
    <font>
      <i/>
      <vertAlign val="subscript"/>
      <sz val="14"/>
      <color theme="9" tint="-0.499984740745262"/>
      <name val="Calibri Light"/>
      <family val="2"/>
      <scheme val="major"/>
    </font>
    <font>
      <b/>
      <sz val="12"/>
      <color theme="1"/>
      <name val="Calibri Light"/>
      <family val="2"/>
      <scheme val="major"/>
    </font>
    <font>
      <i/>
      <sz val="11"/>
      <color theme="3" tint="-0.249977111117893"/>
      <name val="Calibri"/>
      <family val="2"/>
      <scheme val="minor"/>
    </font>
    <font>
      <sz val="11"/>
      <color rgb="FFFF0000"/>
      <name val="Calibri"/>
      <family val="2"/>
      <scheme val="minor"/>
    </font>
    <font>
      <sz val="11"/>
      <color theme="2" tint="-0.249977111117893"/>
      <name val="Calibri"/>
      <family val="2"/>
      <scheme val="minor"/>
    </font>
    <font>
      <vertAlign val="subscript"/>
      <sz val="11"/>
      <color theme="1"/>
      <name val="Calibri"/>
      <family val="2"/>
      <scheme val="minor"/>
    </font>
    <font>
      <b/>
      <sz val="12"/>
      <color theme="1"/>
      <name val="Calibri"/>
      <family val="2"/>
      <scheme val="minor"/>
    </font>
    <font>
      <b/>
      <sz val="8"/>
      <color theme="1"/>
      <name val="Calibri"/>
      <family val="2"/>
      <scheme val="minor"/>
    </font>
    <font>
      <b/>
      <i/>
      <sz val="8"/>
      <color theme="1"/>
      <name val="Calibri"/>
      <family val="2"/>
      <scheme val="minor"/>
    </font>
    <font>
      <b/>
      <sz val="8"/>
      <color theme="2" tint="-0.249977111117893"/>
      <name val="Calibri"/>
      <family val="2"/>
      <scheme val="minor"/>
    </font>
    <font>
      <b/>
      <vertAlign val="subscript"/>
      <sz val="12"/>
      <color theme="1"/>
      <name val="Calibri"/>
      <family val="2"/>
      <scheme val="minor"/>
    </font>
    <font>
      <sz val="10"/>
      <color theme="1"/>
      <name val="Calibri"/>
      <family val="2"/>
      <scheme val="minor"/>
    </font>
    <font>
      <b/>
      <sz val="8"/>
      <name val="Calibri"/>
      <family val="2"/>
      <scheme val="minor"/>
    </font>
    <font>
      <sz val="5"/>
      <color theme="1"/>
      <name val="Calibri"/>
      <family val="2"/>
      <scheme val="minor"/>
    </font>
    <font>
      <sz val="11"/>
      <color theme="0" tint="-0.14999847407452621"/>
      <name val="Calibri"/>
      <family val="2"/>
      <scheme val="minor"/>
    </font>
    <font>
      <b/>
      <sz val="11"/>
      <color theme="4" tint="-0.499984740745262"/>
      <name val="Calibri"/>
      <family val="2"/>
      <scheme val="minor"/>
    </font>
    <font>
      <sz val="11"/>
      <color theme="4" tint="-0.499984740745262"/>
      <name val="Calibri"/>
      <family val="2"/>
      <scheme val="minor"/>
    </font>
    <font>
      <sz val="11"/>
      <color rgb="FF3F3F3F"/>
      <name val="Calibri"/>
      <family val="2"/>
      <scheme val="minor"/>
    </font>
    <font>
      <sz val="11"/>
      <color rgb="FF9C0006"/>
      <name val="Calibri"/>
      <family val="2"/>
      <scheme val="minor"/>
    </font>
    <font>
      <i/>
      <sz val="11"/>
      <color theme="4" tint="-0.499984740745262"/>
      <name val="Calibri"/>
      <family val="2"/>
      <scheme val="minor"/>
    </font>
    <font>
      <b/>
      <sz val="11"/>
      <color theme="5" tint="-0.249977111117893"/>
      <name val="Calibri"/>
      <family val="2"/>
      <scheme val="minor"/>
    </font>
    <font>
      <b/>
      <i/>
      <sz val="11"/>
      <color theme="5" tint="-0.249977111117893"/>
      <name val="Calibri"/>
      <family val="2"/>
      <scheme val="minor"/>
    </font>
    <font>
      <sz val="12"/>
      <color theme="2" tint="-0.749992370372631"/>
      <name val="Segoe UI"/>
      <family val="2"/>
    </font>
    <font>
      <sz val="11"/>
      <color theme="2" tint="-0.749992370372631"/>
      <name val="Calibri Light"/>
      <family val="2"/>
      <scheme val="major"/>
    </font>
    <font>
      <sz val="11"/>
      <name val="Calibri Light"/>
      <family val="2"/>
      <scheme val="major"/>
    </font>
    <font>
      <i/>
      <sz val="11"/>
      <color theme="2" tint="-9.9978637043366805E-2"/>
      <name val="Calibri"/>
      <family val="2"/>
      <scheme val="minor"/>
    </font>
    <font>
      <b/>
      <sz val="11"/>
      <color theme="2" tint="-0.249977111117893"/>
      <name val="Calibri"/>
      <family val="2"/>
      <scheme val="minor"/>
    </font>
    <font>
      <b/>
      <i/>
      <sz val="11"/>
      <color theme="1" tint="0.34998626667073579"/>
      <name val="Calibri"/>
      <family val="2"/>
      <scheme val="minor"/>
    </font>
    <font>
      <b/>
      <sz val="11"/>
      <color theme="1" tint="0.34998626667073579"/>
      <name val="Calibri"/>
      <family val="2"/>
      <scheme val="minor"/>
    </font>
    <font>
      <i/>
      <sz val="11"/>
      <color theme="1" tint="0.34998626667073579"/>
      <name val="Calibri"/>
      <family val="2"/>
      <scheme val="minor"/>
    </font>
    <font>
      <sz val="11"/>
      <color theme="1" tint="0.34998626667073579"/>
      <name val="Calibri"/>
      <family val="2"/>
      <scheme val="minor"/>
    </font>
    <font>
      <b/>
      <vertAlign val="subscript"/>
      <sz val="11"/>
      <color theme="1" tint="0.34998626667073579"/>
      <name val="Calibri"/>
      <family val="2"/>
      <scheme val="minor"/>
    </font>
    <font>
      <b/>
      <i/>
      <sz val="11"/>
      <color theme="4" tint="-0.499984740745262"/>
      <name val="Calibri"/>
      <family val="2"/>
      <scheme val="minor"/>
    </font>
    <font>
      <b/>
      <sz val="12"/>
      <color theme="2" tint="-0.749992370372631"/>
      <name val="Segoe UI Semibold"/>
      <family val="2"/>
    </font>
    <font>
      <sz val="12"/>
      <color theme="1"/>
      <name val="Calibri"/>
      <family val="2"/>
      <scheme val="minor"/>
    </font>
    <font>
      <i/>
      <sz val="12"/>
      <color theme="2" tint="-0.749992370372631"/>
      <name val="Segoe UI"/>
      <family val="2"/>
    </font>
    <font>
      <b/>
      <sz val="12"/>
      <name val="Calibri Light"/>
      <family val="2"/>
      <scheme val="major"/>
    </font>
    <font>
      <b/>
      <sz val="11"/>
      <name val="Calibri Light"/>
      <family val="2"/>
      <scheme val="major"/>
    </font>
    <font>
      <b/>
      <sz val="11"/>
      <color theme="0" tint="-4.9989318521683403E-2"/>
      <name val="Calibri"/>
      <family val="2"/>
      <scheme val="minor"/>
    </font>
    <font>
      <i/>
      <vertAlign val="subscript"/>
      <sz val="11"/>
      <color theme="1"/>
      <name val="Calibri"/>
      <family val="2"/>
      <scheme val="minor"/>
    </font>
    <font>
      <sz val="11"/>
      <color theme="8" tint="-0.499984740745262"/>
      <name val="Calibri"/>
      <family val="2"/>
      <scheme val="minor"/>
    </font>
    <font>
      <b/>
      <sz val="11"/>
      <color theme="8" tint="-0.499984740745262"/>
      <name val="Calibri"/>
      <family val="2"/>
      <scheme val="minor"/>
    </font>
    <font>
      <i/>
      <sz val="10"/>
      <color theme="1"/>
      <name val="Calibri"/>
      <family val="2"/>
      <scheme val="minor"/>
    </font>
    <font>
      <sz val="6"/>
      <color theme="1"/>
      <name val="Calibri"/>
      <family val="2"/>
      <scheme val="minor"/>
    </font>
    <font>
      <i/>
      <sz val="11"/>
      <color rgb="FFFF0000"/>
      <name val="Calibri"/>
      <family val="2"/>
      <scheme val="minor"/>
    </font>
    <font>
      <vertAlign val="subscript"/>
      <sz val="11"/>
      <color rgb="FFFF0000"/>
      <name val="Calibri"/>
      <family val="2"/>
      <scheme val="minor"/>
    </font>
    <font>
      <i/>
      <vertAlign val="subscript"/>
      <sz val="11"/>
      <color rgb="FFFF0000"/>
      <name val="Calibri"/>
      <family val="2"/>
      <scheme val="minor"/>
    </font>
    <font>
      <b/>
      <vertAlign val="superscript"/>
      <sz val="11"/>
      <color theme="1"/>
      <name val="Calibri"/>
      <family val="2"/>
      <scheme val="minor"/>
    </font>
    <font>
      <b/>
      <i/>
      <sz val="12"/>
      <color theme="1"/>
      <name val="Calibri Light"/>
      <family val="2"/>
      <scheme val="major"/>
    </font>
    <font>
      <b/>
      <vertAlign val="subscript"/>
      <sz val="12"/>
      <color theme="1"/>
      <name val="Calibri Light"/>
      <family val="2"/>
      <scheme val="major"/>
    </font>
    <font>
      <sz val="11"/>
      <color theme="2" tint="-9.9978637043366805E-2"/>
      <name val="Calibri"/>
      <family val="2"/>
      <scheme val="minor"/>
    </font>
    <font>
      <sz val="11"/>
      <color theme="9" tint="0.39997558519241921"/>
      <name val="Calibri"/>
      <family val="2"/>
      <scheme val="minor"/>
    </font>
    <font>
      <b/>
      <i/>
      <sz val="9"/>
      <color theme="5" tint="-0.249977111117893"/>
      <name val="Calibri"/>
      <family val="2"/>
      <scheme val="minor"/>
    </font>
    <font>
      <b/>
      <sz val="8"/>
      <color rgb="FF000000"/>
      <name val="Arial"/>
      <family val="2"/>
    </font>
    <font>
      <sz val="8"/>
      <color rgb="FF000000"/>
      <name val="Arial"/>
      <family val="2"/>
    </font>
    <font>
      <vertAlign val="subscript"/>
      <sz val="8"/>
      <color rgb="FF000000"/>
      <name val="Arial"/>
      <family val="2"/>
    </font>
    <font>
      <b/>
      <i/>
      <vertAlign val="subscript"/>
      <sz val="11"/>
      <color theme="4" tint="-0.499984740745262"/>
      <name val="Calibri"/>
      <family val="2"/>
      <scheme val="minor"/>
    </font>
    <font>
      <b/>
      <vertAlign val="subscript"/>
      <sz val="11"/>
      <color theme="4" tint="-0.249977111117893"/>
      <name val="Calibri Light"/>
      <family val="2"/>
      <scheme val="major"/>
    </font>
    <font>
      <b/>
      <i/>
      <sz val="11"/>
      <color theme="4" tint="-0.249977111117893"/>
      <name val="Calibri Light"/>
      <family val="2"/>
      <scheme val="major"/>
    </font>
    <font>
      <sz val="11"/>
      <color theme="0" tint="-0.499984740745262"/>
      <name val="Calibri"/>
      <family val="2"/>
      <scheme val="minor"/>
    </font>
    <font>
      <b/>
      <sz val="11"/>
      <color rgb="FF0070C0"/>
      <name val="Calibri"/>
      <family val="2"/>
      <scheme val="minor"/>
    </font>
    <font>
      <b/>
      <i/>
      <sz val="12"/>
      <color rgb="FF0070C0"/>
      <name val="Calibri Light"/>
      <family val="2"/>
      <scheme val="major"/>
    </font>
    <font>
      <b/>
      <vertAlign val="subscript"/>
      <sz val="12"/>
      <color rgb="FF0070C0"/>
      <name val="Calibri Light"/>
      <family val="2"/>
      <scheme val="major"/>
    </font>
    <font>
      <b/>
      <i/>
      <sz val="9"/>
      <color rgb="FF0070C0"/>
      <name val="Calibri Light"/>
      <family val="2"/>
      <scheme val="major"/>
    </font>
    <font>
      <b/>
      <i/>
      <sz val="11"/>
      <color theme="1"/>
      <name val="Calibri"/>
      <family val="2"/>
      <scheme val="minor"/>
    </font>
    <font>
      <sz val="9"/>
      <color theme="2" tint="-0.249977111117893"/>
      <name val="Calibri"/>
      <family val="2"/>
      <scheme val="minor"/>
    </font>
    <font>
      <sz val="12"/>
      <color rgb="FF3F3F76"/>
      <name val="Calibri"/>
      <family val="2"/>
      <scheme val="minor"/>
    </font>
    <font>
      <b/>
      <sz val="11"/>
      <color rgb="FF0070C0"/>
      <name val="Calibri Light"/>
      <family val="2"/>
      <scheme val="major"/>
    </font>
    <font>
      <b/>
      <sz val="12"/>
      <color rgb="FF0070C0"/>
      <name val="Calibri Light"/>
      <family val="2"/>
      <scheme val="major"/>
    </font>
    <font>
      <b/>
      <sz val="8"/>
      <color rgb="FF0070C0"/>
      <name val="Calibri Light"/>
      <family val="2"/>
      <scheme val="major"/>
    </font>
    <font>
      <b/>
      <i/>
      <sz val="10"/>
      <color rgb="FF0070C0"/>
      <name val="Calibri Light"/>
      <family val="2"/>
      <scheme val="major"/>
    </font>
    <font>
      <b/>
      <vertAlign val="subscript"/>
      <sz val="10"/>
      <color rgb="FF0070C0"/>
      <name val="Calibri Light"/>
      <family val="2"/>
      <scheme val="major"/>
    </font>
    <font>
      <b/>
      <sz val="10"/>
      <color rgb="FF0070C0"/>
      <name val="Calibri Light"/>
      <family val="2"/>
      <scheme val="major"/>
    </font>
    <font>
      <b/>
      <sz val="12"/>
      <color theme="2" tint="-0.499984740745262"/>
      <name val="Calibri Light"/>
      <family val="2"/>
      <scheme val="major"/>
    </font>
    <font>
      <sz val="11"/>
      <color theme="1"/>
      <name val="Calibri Light"/>
      <family val="2"/>
      <scheme val="major"/>
    </font>
    <font>
      <b/>
      <i/>
      <sz val="11"/>
      <color rgb="FF0070C0"/>
      <name val="Calibri"/>
      <family val="2"/>
      <scheme val="minor"/>
    </font>
    <font>
      <sz val="11"/>
      <color rgb="FF0070C0"/>
      <name val="Calibri"/>
      <family val="2"/>
      <scheme val="minor"/>
    </font>
    <font>
      <i/>
      <sz val="11"/>
      <color rgb="FF0070C0"/>
      <name val="Calibri"/>
      <family val="2"/>
      <scheme val="minor"/>
    </font>
    <font>
      <sz val="11"/>
      <color theme="2"/>
      <name val="Calibri"/>
      <family val="2"/>
      <scheme val="minor"/>
    </font>
    <font>
      <b/>
      <sz val="11"/>
      <color theme="2"/>
      <name val="Calibri"/>
      <family val="2"/>
      <scheme val="minor"/>
    </font>
    <font>
      <sz val="8"/>
      <color theme="9" tint="0.39997558519241921"/>
      <name val="Calibri"/>
      <family val="2"/>
      <scheme val="minor"/>
    </font>
    <font>
      <sz val="10"/>
      <color theme="5"/>
      <name val="Calibri"/>
      <family val="2"/>
      <scheme val="minor"/>
    </font>
    <font>
      <sz val="10"/>
      <color theme="4"/>
      <name val="Calibri"/>
      <family val="2"/>
      <scheme val="minor"/>
    </font>
    <font>
      <sz val="11"/>
      <color theme="4"/>
      <name val="Calibri"/>
      <family val="2"/>
      <scheme val="minor"/>
    </font>
    <font>
      <sz val="10"/>
      <color theme="9"/>
      <name val="Calibri"/>
      <family val="2"/>
      <scheme val="minor"/>
    </font>
    <font>
      <sz val="10"/>
      <color rgb="FFFFC000"/>
      <name val="Calibri"/>
      <family val="2"/>
      <scheme val="minor"/>
    </font>
    <font>
      <sz val="10"/>
      <color rgb="FFC00000"/>
      <name val="Calibri"/>
      <family val="2"/>
      <scheme val="minor"/>
    </font>
    <font>
      <sz val="10"/>
      <color rgb="FFFF697B"/>
      <name val="Calibri"/>
      <family val="2"/>
      <scheme val="minor"/>
    </font>
    <font>
      <sz val="11"/>
      <color rgb="FFFF697B"/>
      <name val="Calibri"/>
      <family val="2"/>
      <scheme val="minor"/>
    </font>
    <font>
      <b/>
      <sz val="11"/>
      <color rgb="FFFF697B"/>
      <name val="Calibri"/>
      <family val="2"/>
      <scheme val="minor"/>
    </font>
    <font>
      <b/>
      <sz val="11"/>
      <color theme="4"/>
      <name val="Calibri"/>
      <family val="2"/>
      <scheme val="minor"/>
    </font>
    <font>
      <sz val="6"/>
      <color theme="4"/>
      <name val="Calibri"/>
      <family val="2"/>
      <scheme val="minor"/>
    </font>
    <font>
      <b/>
      <sz val="11"/>
      <color theme="5"/>
      <name val="Calibri"/>
      <family val="2"/>
      <scheme val="minor"/>
    </font>
    <font>
      <sz val="6"/>
      <color theme="5"/>
      <name val="Calibri"/>
      <family val="2"/>
      <scheme val="minor"/>
    </font>
    <font>
      <sz val="10"/>
      <color rgb="FF00B050"/>
      <name val="Calibri"/>
      <family val="2"/>
      <scheme val="minor"/>
    </font>
    <font>
      <sz val="10"/>
      <color rgb="FF7030A0"/>
      <name val="Calibri"/>
      <family val="2"/>
      <scheme val="minor"/>
    </font>
    <font>
      <sz val="11"/>
      <color theme="1" tint="0.249977111117893"/>
      <name val="Calibri"/>
      <family val="2"/>
      <scheme val="minor"/>
    </font>
    <font>
      <b/>
      <sz val="8"/>
      <color theme="1" tint="0.249977111117893"/>
      <name val="Calibri"/>
      <family val="2"/>
      <scheme val="minor"/>
    </font>
    <font>
      <sz val="8"/>
      <color theme="1" tint="0.249977111117893"/>
      <name val="Calibri"/>
      <family val="2"/>
      <scheme val="minor"/>
    </font>
    <font>
      <b/>
      <sz val="11"/>
      <color theme="1" tint="0.249977111117893"/>
      <name val="Calibri"/>
      <family val="2"/>
      <scheme val="minor"/>
    </font>
    <font>
      <sz val="6"/>
      <color theme="1" tint="0.249977111117893"/>
      <name val="Calibri"/>
      <family val="2"/>
      <scheme val="minor"/>
    </font>
    <font>
      <b/>
      <sz val="11"/>
      <name val="Calibri"/>
      <family val="2"/>
      <scheme val="minor"/>
    </font>
    <font>
      <b/>
      <sz val="11"/>
      <color rgb="FF00B050"/>
      <name val="Calibri"/>
      <family val="2"/>
      <scheme val="minor"/>
    </font>
    <font>
      <b/>
      <sz val="11"/>
      <color rgb="FF7030A0"/>
      <name val="Calibri"/>
      <family val="2"/>
      <scheme val="minor"/>
    </font>
    <font>
      <b/>
      <sz val="10"/>
      <name val="Calibri"/>
      <family val="2"/>
      <scheme val="minor"/>
    </font>
    <font>
      <b/>
      <sz val="11"/>
      <color rgb="FFC00000"/>
      <name val="Calibri"/>
      <family val="2"/>
      <scheme val="minor"/>
    </font>
    <font>
      <b/>
      <sz val="11"/>
      <color rgb="FFFFC000"/>
      <name val="Calibri"/>
      <family val="2"/>
      <scheme val="minor"/>
    </font>
    <font>
      <i/>
      <sz val="11"/>
      <color theme="1" tint="0.249977111117893"/>
      <name val="Calibri"/>
      <family val="2"/>
      <scheme val="minor"/>
    </font>
    <font>
      <sz val="12"/>
      <color theme="1"/>
      <name val="Segoe UI"/>
      <family val="2"/>
    </font>
    <font>
      <sz val="12"/>
      <color theme="2" tint="-0.499984740745262"/>
      <name val="Segoe UI"/>
      <family val="2"/>
    </font>
    <font>
      <sz val="9"/>
      <color theme="2" tint="-0.499984740745262"/>
      <name val="Calibri"/>
      <family val="2"/>
      <scheme val="minor"/>
    </font>
    <font>
      <sz val="9"/>
      <color theme="1" tint="0.249977111117893"/>
      <name val="Calibri"/>
      <family val="2"/>
      <scheme val="minor"/>
    </font>
    <font>
      <sz val="12"/>
      <color theme="1" tint="0.249977111117893"/>
      <name val="Segoe UI"/>
      <family val="2"/>
    </font>
    <font>
      <sz val="14"/>
      <color theme="1" tint="0.249977111117893"/>
      <name val="Segoe UI"/>
      <family val="2"/>
    </font>
    <font>
      <b/>
      <sz val="12"/>
      <color theme="1" tint="0.34998626667073579"/>
      <name val="Calibri Light"/>
      <family val="2"/>
      <scheme val="major"/>
    </font>
    <font>
      <b/>
      <sz val="9.5"/>
      <color theme="1" tint="0.34998626667073579"/>
      <name val="Calibri"/>
      <family val="2"/>
      <scheme val="minor"/>
    </font>
    <font>
      <b/>
      <i/>
      <sz val="10"/>
      <color theme="1"/>
      <name val="Calibri"/>
      <family val="2"/>
      <scheme val="minor"/>
    </font>
    <font>
      <sz val="10"/>
      <color rgb="FFFF99FF"/>
      <name val="Calibri"/>
      <family val="2"/>
      <scheme val="minor"/>
    </font>
    <font>
      <b/>
      <sz val="11"/>
      <color rgb="FFFF99FF"/>
      <name val="Calibri"/>
      <family val="2"/>
      <scheme val="minor"/>
    </font>
    <font>
      <sz val="8"/>
      <color rgb="FF333333"/>
      <name val="Arial"/>
      <family val="2"/>
    </font>
    <font>
      <i/>
      <sz val="8"/>
      <color rgb="FF333333"/>
      <name val="Arial"/>
      <family val="2"/>
    </font>
    <font>
      <sz val="10"/>
      <color rgb="FF3F3F76"/>
      <name val="Calibri"/>
      <family val="2"/>
      <scheme val="minor"/>
    </font>
    <font>
      <sz val="12"/>
      <color theme="1" tint="0.34998626667073579"/>
      <name val="Calibri"/>
      <family val="2"/>
      <scheme val="minor"/>
    </font>
    <font>
      <sz val="12"/>
      <color theme="1" tint="0.249977111117893"/>
      <name val="Calibri"/>
      <family val="2"/>
      <scheme val="minor"/>
    </font>
    <font>
      <sz val="10"/>
      <color theme="1" tint="0.249977111117893"/>
      <name val="Calibri"/>
      <family val="2"/>
      <scheme val="minor"/>
    </font>
    <font>
      <b/>
      <sz val="11"/>
      <color theme="8"/>
      <name val="Calibri"/>
      <family val="2"/>
      <scheme val="minor"/>
    </font>
    <font>
      <b/>
      <i/>
      <sz val="10"/>
      <color theme="2"/>
      <name val="Calibri Light"/>
      <family val="2"/>
      <scheme val="major"/>
    </font>
    <font>
      <b/>
      <vertAlign val="subscript"/>
      <sz val="10"/>
      <color theme="2"/>
      <name val="Calibri Light"/>
      <family val="2"/>
      <scheme val="major"/>
    </font>
    <font>
      <b/>
      <sz val="10"/>
      <color theme="2"/>
      <name val="Calibri Light"/>
      <family val="2"/>
      <scheme val="major"/>
    </font>
    <font>
      <vertAlign val="superscript"/>
      <sz val="11"/>
      <color theme="1"/>
      <name val="Calibri"/>
      <family val="2"/>
      <scheme val="minor"/>
    </font>
    <font>
      <sz val="11"/>
      <color theme="8"/>
      <name val="Calibri"/>
      <family val="2"/>
      <scheme val="minor"/>
    </font>
    <font>
      <vertAlign val="subscript"/>
      <sz val="11"/>
      <color theme="2" tint="-9.9978637043366805E-2"/>
      <name val="Calibri"/>
      <family val="2"/>
      <scheme val="minor"/>
    </font>
    <font>
      <b/>
      <i/>
      <vertAlign val="subscript"/>
      <sz val="9"/>
      <color theme="5" tint="-0.249977111117893"/>
      <name val="Calibri"/>
      <family val="2"/>
      <scheme val="minor"/>
    </font>
    <font>
      <sz val="6"/>
      <color rgb="FFFF697B"/>
      <name val="Calibri"/>
      <family val="2"/>
      <scheme val="minor"/>
    </font>
    <font>
      <b/>
      <i/>
      <sz val="10"/>
      <color rgb="FFFF697B"/>
      <name val="Calibri"/>
      <family val="2"/>
      <scheme val="minor"/>
    </font>
    <font>
      <b/>
      <i/>
      <sz val="10"/>
      <color rgb="FFFF99FF"/>
      <name val="Calibri"/>
      <family val="2"/>
      <scheme val="minor"/>
    </font>
    <font>
      <b/>
      <i/>
      <sz val="10"/>
      <color rgb="FF00B050"/>
      <name val="Calibri"/>
      <family val="2"/>
      <scheme val="minor"/>
    </font>
    <font>
      <b/>
      <i/>
      <sz val="10"/>
      <color rgb="FFFFC000"/>
      <name val="Calibri"/>
      <family val="2"/>
      <scheme val="minor"/>
    </font>
    <font>
      <b/>
      <i/>
      <sz val="10"/>
      <color rgb="FF7030A0"/>
      <name val="Calibri"/>
      <family val="2"/>
      <scheme val="minor"/>
    </font>
    <font>
      <i/>
      <sz val="12"/>
      <color theme="1"/>
      <name val="Segoe UI"/>
      <family val="2"/>
    </font>
    <font>
      <sz val="9"/>
      <color theme="1"/>
      <name val="Calibri"/>
      <family val="2"/>
      <scheme val="minor"/>
    </font>
    <font>
      <b/>
      <sz val="9"/>
      <color theme="1"/>
      <name val="Calibri"/>
      <family val="2"/>
      <scheme val="minor"/>
    </font>
    <font>
      <i/>
      <sz val="11"/>
      <color theme="2" tint="-0.749992370372631"/>
      <name val="Calibri"/>
      <family val="2"/>
      <scheme val="minor"/>
    </font>
    <font>
      <sz val="11"/>
      <color theme="2" tint="-0.749992370372631"/>
      <name val="Calibri"/>
      <family val="2"/>
      <scheme val="minor"/>
    </font>
    <font>
      <i/>
      <sz val="11"/>
      <color rgb="FF3F3F76"/>
      <name val="Calibri"/>
      <family val="2"/>
      <scheme val="minor"/>
    </font>
    <font>
      <sz val="6"/>
      <color theme="2" tint="-0.249977111117893"/>
      <name val="Calibri"/>
      <family val="2"/>
      <scheme val="minor"/>
    </font>
    <font>
      <i/>
      <u/>
      <sz val="11"/>
      <color theme="1" tint="0.249977111117893"/>
      <name val="Calibri"/>
      <family val="2"/>
      <scheme val="minor"/>
    </font>
    <font>
      <i/>
      <u/>
      <sz val="10"/>
      <color theme="1" tint="0.249977111117893"/>
      <name val="Calibri"/>
      <family val="2"/>
      <scheme val="minor"/>
    </font>
    <font>
      <sz val="9"/>
      <color rgb="FFFF8B99"/>
      <name val="Calibri"/>
      <family val="2"/>
      <scheme val="minor"/>
    </font>
    <font>
      <b/>
      <sz val="11"/>
      <color rgb="FFFF8B99"/>
      <name val="Calibri"/>
      <family val="2"/>
      <scheme val="minor"/>
    </font>
    <font>
      <b/>
      <sz val="11"/>
      <color theme="0" tint="-0.14999847407452621"/>
      <name val="Calibri"/>
      <family val="2"/>
      <scheme val="minor"/>
    </font>
    <font>
      <sz val="9"/>
      <color theme="9" tint="-0.249977111117893"/>
      <name val="Calibri"/>
      <family val="2"/>
      <scheme val="minor"/>
    </font>
    <font>
      <b/>
      <sz val="11"/>
      <color theme="9" tint="-0.249977111117893"/>
      <name val="Calibri"/>
      <family val="2"/>
      <scheme val="minor"/>
    </font>
    <font>
      <sz val="9"/>
      <color rgb="FF0070C0"/>
      <name val="Calibri"/>
      <family val="2"/>
      <scheme val="minor"/>
    </font>
    <font>
      <sz val="9"/>
      <color theme="5" tint="-0.249977111117893"/>
      <name val="Calibri"/>
      <family val="2"/>
      <scheme val="minor"/>
    </font>
    <font>
      <i/>
      <sz val="9"/>
      <color theme="5" tint="-0.249977111117893"/>
      <name val="Calibri"/>
      <family val="2"/>
      <scheme val="minor"/>
    </font>
    <font>
      <b/>
      <sz val="9"/>
      <color rgb="FF0070C0"/>
      <name val="Calibri"/>
      <family val="2"/>
      <scheme val="minor"/>
    </font>
    <font>
      <sz val="9"/>
      <color rgb="FFCC99FF"/>
      <name val="Calibri"/>
      <family val="2"/>
      <scheme val="minor"/>
    </font>
    <font>
      <i/>
      <sz val="9"/>
      <color rgb="FFCC99FF"/>
      <name val="Calibri"/>
      <family val="2"/>
      <scheme val="minor"/>
    </font>
    <font>
      <b/>
      <sz val="11"/>
      <color rgb="FFCC99FF"/>
      <name val="Calibri"/>
      <family val="2"/>
      <scheme val="minor"/>
    </font>
    <font>
      <b/>
      <i/>
      <sz val="9"/>
      <color theme="2"/>
      <name val="Calibri Light"/>
      <family val="2"/>
      <scheme val="major"/>
    </font>
    <font>
      <sz val="8"/>
      <name val="Calibri"/>
      <family val="2"/>
      <scheme val="minor"/>
    </font>
    <font>
      <b/>
      <sz val="10"/>
      <color theme="1" tint="0.34998626667073579"/>
      <name val="Calibri Light"/>
      <family val="2"/>
      <scheme val="major"/>
    </font>
    <font>
      <b/>
      <sz val="10"/>
      <color theme="1" tint="0.34998626667073579"/>
      <name val="Calibri"/>
      <family val="2"/>
      <scheme val="minor"/>
    </font>
    <font>
      <b/>
      <i/>
      <sz val="10"/>
      <color theme="1" tint="0.34998626667073579"/>
      <name val="Calibri"/>
      <family val="2"/>
      <scheme val="minor"/>
    </font>
    <font>
      <sz val="10"/>
      <color theme="1" tint="0.34998626667073579"/>
      <name val="Calibri"/>
      <family val="2"/>
      <scheme val="minor"/>
    </font>
    <font>
      <sz val="11"/>
      <color rgb="FFFF99FF"/>
      <name val="Calibri"/>
      <family val="2"/>
      <scheme val="minor"/>
    </font>
    <font>
      <b/>
      <sz val="11"/>
      <color theme="5" tint="-0.249977111117893"/>
      <name val="Calibri"/>
      <family val="2"/>
    </font>
    <font>
      <b/>
      <sz val="11"/>
      <name val="Calibri"/>
      <family val="2"/>
    </font>
    <font>
      <b/>
      <sz val="6"/>
      <color rgb="FF7030A0"/>
      <name val="Calibri"/>
      <family val="2"/>
      <scheme val="minor"/>
    </font>
    <font>
      <b/>
      <sz val="6"/>
      <color rgb="FFFF697B"/>
      <name val="Calibri"/>
      <family val="2"/>
      <scheme val="minor"/>
    </font>
    <font>
      <sz val="11"/>
      <color theme="5"/>
      <name val="Calibri"/>
      <family val="2"/>
      <scheme val="minor"/>
    </font>
    <font>
      <sz val="11"/>
      <color rgb="FF7030A0"/>
      <name val="Calibri"/>
      <family val="2"/>
      <scheme val="minor"/>
    </font>
    <font>
      <sz val="10"/>
      <name val="Calibri"/>
      <family val="2"/>
      <scheme val="minor"/>
    </font>
    <font>
      <b/>
      <i/>
      <sz val="10"/>
      <name val="Calibri"/>
      <family val="2"/>
      <scheme val="minor"/>
    </font>
    <font>
      <b/>
      <i/>
      <sz val="10"/>
      <color theme="4"/>
      <name val="Calibri"/>
      <family val="2"/>
      <scheme val="minor"/>
    </font>
    <font>
      <b/>
      <sz val="10"/>
      <color theme="4"/>
      <name val="Calibri"/>
      <family val="2"/>
      <scheme val="minor"/>
    </font>
    <font>
      <b/>
      <sz val="10"/>
      <color rgb="FFFF697B"/>
      <name val="Calibri"/>
      <family val="2"/>
      <scheme val="minor"/>
    </font>
    <font>
      <sz val="10"/>
      <color theme="5" tint="-0.249977111117893"/>
      <name val="Calibri"/>
      <family val="2"/>
      <scheme val="minor"/>
    </font>
    <font>
      <b/>
      <sz val="10"/>
      <color rgb="FF7030A0"/>
      <name val="Calibri"/>
      <family val="2"/>
      <scheme val="minor"/>
    </font>
    <font>
      <b/>
      <sz val="10"/>
      <color theme="1"/>
      <name val="Calibri"/>
      <family val="2"/>
      <scheme val="minor"/>
    </font>
    <font>
      <i/>
      <sz val="10"/>
      <name val="Calibri"/>
      <family val="2"/>
      <scheme val="minor"/>
    </font>
    <font>
      <u/>
      <sz val="11"/>
      <color theme="10"/>
      <name val="Calibri"/>
      <family val="2"/>
      <scheme val="minor"/>
    </font>
    <font>
      <b/>
      <sz val="16"/>
      <color theme="1"/>
      <name val="Calibri"/>
      <family val="2"/>
      <scheme val="minor"/>
    </font>
    <font>
      <u/>
      <sz val="16"/>
      <color theme="10"/>
      <name val="Calibri"/>
      <family val="2"/>
      <scheme val="minor"/>
    </font>
  </fonts>
  <fills count="26">
    <fill>
      <patternFill patternType="none"/>
    </fill>
    <fill>
      <patternFill patternType="gray125"/>
    </fill>
    <fill>
      <patternFill patternType="solid">
        <fgColor rgb="FFFFCC99"/>
      </patternFill>
    </fill>
    <fill>
      <patternFill patternType="solid">
        <fgColor rgb="FFF2F2F2"/>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ADAD"/>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
      <patternFill patternType="solid">
        <fgColor theme="5" tint="0.79998168889431442"/>
        <bgColor indexed="64"/>
      </patternFill>
    </fill>
    <fill>
      <patternFill patternType="solid">
        <fgColor rgb="FFFEE3C2"/>
        <bgColor indexed="64"/>
      </patternFill>
    </fill>
    <fill>
      <patternFill patternType="solid">
        <fgColor rgb="FFFFC7CE"/>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rgb="FFCC99FF"/>
        <bgColor indexed="64"/>
      </patternFill>
    </fill>
    <fill>
      <patternFill patternType="solid">
        <fgColor rgb="FFFEDBB0"/>
        <bgColor indexed="64"/>
      </patternFill>
    </fill>
    <fill>
      <patternFill patternType="solid">
        <fgColor rgb="FFF9F9F9"/>
        <bgColor indexed="64"/>
      </patternFill>
    </fill>
    <fill>
      <patternFill patternType="solid">
        <fgColor rgb="FFF2F2F2"/>
        <bgColor indexed="64"/>
      </patternFill>
    </fill>
    <fill>
      <patternFill patternType="solid">
        <fgColor rgb="FFFFE8D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39997558519241921"/>
        <bgColor indexed="64"/>
      </patternFill>
    </fill>
  </fills>
  <borders count="14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rgb="FF7F7F7F"/>
      </bottom>
      <diagonal/>
    </border>
    <border>
      <left/>
      <right style="thick">
        <color indexed="64"/>
      </right>
      <top/>
      <bottom/>
      <diagonal/>
    </border>
    <border>
      <left/>
      <right style="thin">
        <color rgb="FF7F7F7F"/>
      </right>
      <top style="thin">
        <color rgb="FF7F7F7F"/>
      </top>
      <bottom style="thin">
        <color rgb="FF7F7F7F"/>
      </bottom>
      <diagonal/>
    </border>
    <border>
      <left/>
      <right style="thin">
        <color rgb="FF3F3F3F"/>
      </right>
      <top style="thin">
        <color rgb="FF3F3F3F"/>
      </top>
      <bottom style="thin">
        <color rgb="FF3F3F3F"/>
      </bottom>
      <diagonal/>
    </border>
    <border>
      <left style="thin">
        <color rgb="FF3F3F3F"/>
      </left>
      <right style="thick">
        <color indexed="64"/>
      </right>
      <top style="thin">
        <color rgb="FF3F3F3F"/>
      </top>
      <bottom style="thin">
        <color rgb="FF3F3F3F"/>
      </bottom>
      <diagonal/>
    </border>
    <border>
      <left style="thick">
        <color indexed="64"/>
      </left>
      <right/>
      <top/>
      <bottom/>
      <diagonal/>
    </border>
    <border>
      <left style="thick">
        <color indexed="64"/>
      </left>
      <right/>
      <top style="thin">
        <color rgb="FF7F7F7F"/>
      </top>
      <bottom style="thin">
        <color rgb="FF7F7F7F"/>
      </bottom>
      <diagonal/>
    </border>
    <border>
      <left style="thick">
        <color indexed="64"/>
      </left>
      <right style="thin">
        <color rgb="FF3F3F3F"/>
      </right>
      <top style="thin">
        <color rgb="FF3F3F3F"/>
      </top>
      <bottom style="thin">
        <color rgb="FF3F3F3F"/>
      </bottom>
      <diagonal/>
    </border>
    <border>
      <left/>
      <right/>
      <top style="thin">
        <color rgb="FF7F7F7F"/>
      </top>
      <bottom/>
      <diagonal/>
    </border>
    <border>
      <left style="thin">
        <color rgb="FF7F7F7F"/>
      </left>
      <right style="thick">
        <color theme="2" tint="-0.749992370372631"/>
      </right>
      <top style="thin">
        <color rgb="FF7F7F7F"/>
      </top>
      <bottom style="thin">
        <color rgb="FF7F7F7F"/>
      </bottom>
      <diagonal/>
    </border>
    <border>
      <left/>
      <right style="thick">
        <color theme="2" tint="-0.749992370372631"/>
      </right>
      <top/>
      <bottom/>
      <diagonal/>
    </border>
    <border>
      <left/>
      <right style="thick">
        <color theme="2" tint="-0.749992370372631"/>
      </right>
      <top style="thin">
        <color rgb="FF3F3F3F"/>
      </top>
      <bottom/>
      <diagonal/>
    </border>
    <border>
      <left style="thin">
        <color rgb="FF3F3F3F"/>
      </left>
      <right/>
      <top style="thin">
        <color rgb="FF3F3F3F"/>
      </top>
      <bottom style="thin">
        <color rgb="FF3F3F3F"/>
      </bottom>
      <diagonal/>
    </border>
    <border>
      <left/>
      <right style="thick">
        <color theme="2" tint="-0.749992370372631"/>
      </right>
      <top style="thin">
        <color rgb="FF3F3F3F"/>
      </top>
      <bottom style="thin">
        <color rgb="FF3F3F3F"/>
      </bottom>
      <diagonal/>
    </border>
    <border>
      <left/>
      <right/>
      <top style="thin">
        <color rgb="FF3F3F3F"/>
      </top>
      <bottom style="thin">
        <color rgb="FF3F3F3F"/>
      </bottom>
      <diagonal/>
    </border>
    <border>
      <left style="thin">
        <color rgb="FF7F7F7F"/>
      </left>
      <right/>
      <top style="thin">
        <color rgb="FF7F7F7F"/>
      </top>
      <bottom style="thin">
        <color rgb="FF7F7F7F"/>
      </bottom>
      <diagonal/>
    </border>
    <border>
      <left style="thick">
        <color theme="2" tint="-0.749992370372631"/>
      </left>
      <right style="thick">
        <color theme="2" tint="-0.749992370372631"/>
      </right>
      <top style="thin">
        <color rgb="FF3F3F3F"/>
      </top>
      <bottom style="thin">
        <color rgb="FF3F3F3F"/>
      </bottom>
      <diagonal/>
    </border>
    <border>
      <left style="thick">
        <color theme="2" tint="-0.749992370372631"/>
      </left>
      <right style="thick">
        <color theme="2" tint="-0.749992370372631"/>
      </right>
      <top style="thin">
        <color rgb="FF7F7F7F"/>
      </top>
      <bottom style="thin">
        <color rgb="FF3F3F3F"/>
      </bottom>
      <diagonal/>
    </border>
    <border>
      <left style="thick">
        <color theme="2" tint="-0.749992370372631"/>
      </left>
      <right style="thick">
        <color theme="2" tint="-0.749992370372631"/>
      </right>
      <top style="thin">
        <color rgb="FF7F7F7F"/>
      </top>
      <bottom style="thin">
        <color rgb="FF7F7F7F"/>
      </bottom>
      <diagonal/>
    </border>
    <border>
      <left style="thick">
        <color theme="2" tint="-0.749992370372631"/>
      </left>
      <right/>
      <top style="thin">
        <color rgb="FF3F3F3F"/>
      </top>
      <bottom/>
      <diagonal/>
    </border>
    <border>
      <left/>
      <right style="thin">
        <color rgb="FF7F7F7F"/>
      </right>
      <top/>
      <bottom style="thick">
        <color indexed="64"/>
      </bottom>
      <diagonal/>
    </border>
    <border>
      <left style="thin">
        <color rgb="FF7F7F7F"/>
      </left>
      <right style="thin">
        <color rgb="FF7F7F7F"/>
      </right>
      <top style="thick">
        <color indexed="64"/>
      </top>
      <bottom style="thin">
        <color rgb="FF7F7F7F"/>
      </bottom>
      <diagonal/>
    </border>
    <border>
      <left style="thin">
        <color rgb="FF7F7F7F"/>
      </left>
      <right style="thin">
        <color rgb="FF7F7F7F"/>
      </right>
      <top style="thin">
        <color rgb="FF7F7F7F"/>
      </top>
      <bottom/>
      <diagonal/>
    </border>
    <border>
      <left style="thin">
        <color rgb="FF7F7F7F"/>
      </left>
      <right style="thick">
        <color indexed="64"/>
      </right>
      <top style="thick">
        <color indexed="64"/>
      </top>
      <bottom/>
      <diagonal/>
    </border>
    <border>
      <left style="thick">
        <color indexed="64"/>
      </left>
      <right/>
      <top style="thick">
        <color indexed="64"/>
      </top>
      <bottom/>
      <diagonal/>
    </border>
    <border>
      <left/>
      <right/>
      <top/>
      <bottom style="thick">
        <color indexed="64"/>
      </bottom>
      <diagonal/>
    </border>
    <border>
      <left style="thin">
        <color rgb="FF7F7F7F"/>
      </left>
      <right/>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ck">
        <color indexed="64"/>
      </bottom>
      <diagonal/>
    </border>
    <border>
      <left style="thin">
        <color rgb="FF7F7F7F"/>
      </left>
      <right/>
      <top/>
      <bottom style="thick">
        <color indexed="64"/>
      </bottom>
      <diagonal/>
    </border>
    <border>
      <left/>
      <right style="double">
        <color indexed="64"/>
      </right>
      <top/>
      <bottom/>
      <diagonal/>
    </border>
    <border>
      <left style="double">
        <color indexed="64"/>
      </left>
      <right style="double">
        <color indexed="64"/>
      </right>
      <top/>
      <bottom/>
      <diagonal/>
    </border>
    <border>
      <left style="thick">
        <color indexed="64"/>
      </left>
      <right style="thin">
        <color rgb="FF7F7F7F"/>
      </right>
      <top style="thin">
        <color rgb="FF7F7F7F"/>
      </top>
      <bottom style="thin">
        <color rgb="FF7F7F7F"/>
      </bottom>
      <diagonal/>
    </border>
    <border>
      <left style="thin">
        <color rgb="FF7F7F7F"/>
      </left>
      <right style="thick">
        <color indexed="64"/>
      </right>
      <top/>
      <bottom/>
      <diagonal/>
    </border>
    <border>
      <left/>
      <right/>
      <top/>
      <bottom style="double">
        <color indexed="64"/>
      </bottom>
      <diagonal/>
    </border>
    <border>
      <left style="thin">
        <color rgb="FF7F7F7F"/>
      </left>
      <right style="thick">
        <color indexed="64"/>
      </right>
      <top style="double">
        <color indexed="64"/>
      </top>
      <bottom/>
      <diagonal/>
    </border>
    <border>
      <left style="thick">
        <color indexed="64"/>
      </left>
      <right/>
      <top/>
      <bottom style="double">
        <color indexed="64"/>
      </bottom>
      <diagonal/>
    </border>
    <border>
      <left/>
      <right style="thin">
        <color rgb="FF7F7F7F"/>
      </right>
      <top/>
      <bottom style="thin">
        <color rgb="FF7F7F7F"/>
      </bottom>
      <diagonal/>
    </border>
    <border>
      <left style="thin">
        <color rgb="FF3F3F3F"/>
      </left>
      <right style="thick">
        <color indexed="64"/>
      </right>
      <top/>
      <bottom style="thin">
        <color rgb="FF3F3F3F"/>
      </bottom>
      <diagonal/>
    </border>
    <border>
      <left style="thin">
        <color rgb="FF3F3F3F"/>
      </left>
      <right style="thin">
        <color rgb="FF3F3F3F"/>
      </right>
      <top/>
      <bottom style="thin">
        <color rgb="FF3F3F3F"/>
      </bottom>
      <diagonal/>
    </border>
    <border>
      <left/>
      <right style="thick">
        <color indexed="64"/>
      </right>
      <top/>
      <bottom style="double">
        <color indexed="64"/>
      </bottom>
      <diagonal/>
    </border>
    <border>
      <left/>
      <right style="thin">
        <color rgb="FF3F3F3F"/>
      </right>
      <top/>
      <bottom style="thin">
        <color rgb="FF3F3F3F"/>
      </bottom>
      <diagonal/>
    </border>
    <border>
      <left/>
      <right/>
      <top style="thin">
        <color rgb="FF3F3F3F"/>
      </top>
      <bottom/>
      <diagonal/>
    </border>
    <border>
      <left style="thin">
        <color rgb="FF3F3F3F"/>
      </left>
      <right style="thin">
        <color indexed="64"/>
      </right>
      <top style="double">
        <color indexed="64"/>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7F7F7F"/>
      </top>
      <bottom style="thin">
        <color rgb="FF7F7F7F"/>
      </bottom>
      <diagonal/>
    </border>
    <border>
      <left style="thin">
        <color indexed="64"/>
      </left>
      <right style="thin">
        <color indexed="64"/>
      </right>
      <top style="double">
        <color indexed="64"/>
      </top>
      <bottom style="thin">
        <color indexed="64"/>
      </bottom>
      <diagonal/>
    </border>
    <border>
      <left/>
      <right style="thin">
        <color indexed="64"/>
      </right>
      <top style="thin">
        <color rgb="FF3F3F3F"/>
      </top>
      <bottom style="thin">
        <color rgb="FF3F3F3F"/>
      </bottom>
      <diagonal/>
    </border>
    <border>
      <left style="thin">
        <color rgb="FF3F3F3F"/>
      </left>
      <right style="thin">
        <color rgb="FF3F3F3F"/>
      </right>
      <top style="thin">
        <color rgb="FF3F3F3F"/>
      </top>
      <bottom/>
      <diagonal/>
    </border>
    <border>
      <left style="thin">
        <color rgb="FF7F7F7F"/>
      </left>
      <right/>
      <top/>
      <bottom style="thin">
        <color rgb="FF7F7F7F"/>
      </bottom>
      <diagonal/>
    </border>
    <border>
      <left style="thin">
        <color rgb="FF7F7F7F"/>
      </left>
      <right style="thick">
        <color indexed="64"/>
      </right>
      <top style="double">
        <color indexed="64"/>
      </top>
      <bottom style="thin">
        <color rgb="FF7F7F7F"/>
      </bottom>
      <diagonal/>
    </border>
    <border>
      <left style="thin">
        <color rgb="FF7F7F7F"/>
      </left>
      <right style="thick">
        <color indexed="64"/>
      </right>
      <top style="thin">
        <color rgb="FF7F7F7F"/>
      </top>
      <bottom style="thin">
        <color rgb="FF7F7F7F"/>
      </bottom>
      <diagonal/>
    </border>
    <border>
      <left style="thin">
        <color indexed="64"/>
      </left>
      <right/>
      <top/>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style="medium">
        <color rgb="FFAAAAAA"/>
      </bottom>
      <diagonal/>
    </border>
    <border>
      <left style="thick">
        <color indexed="64"/>
      </left>
      <right style="thick">
        <color theme="2" tint="-0.749992370372631"/>
      </right>
      <top style="thin">
        <color rgb="FF7F7F7F"/>
      </top>
      <bottom/>
      <diagonal/>
    </border>
    <border>
      <left/>
      <right style="thick">
        <color indexed="64"/>
      </right>
      <top style="thin">
        <color rgb="FF7F7F7F"/>
      </top>
      <bottom style="thin">
        <color rgb="FF3F3F3F"/>
      </bottom>
      <diagonal/>
    </border>
    <border>
      <left style="thick">
        <color indexed="64"/>
      </left>
      <right style="thick">
        <color theme="2" tint="-0.749992370372631"/>
      </right>
      <top style="thin">
        <color rgb="FF3F3F3F"/>
      </top>
      <bottom style="thin">
        <color rgb="FF3F3F3F"/>
      </bottom>
      <diagonal/>
    </border>
    <border>
      <left/>
      <right style="thick">
        <color indexed="64"/>
      </right>
      <top style="thin">
        <color rgb="FF3F3F3F"/>
      </top>
      <bottom/>
      <diagonal/>
    </border>
    <border>
      <left style="thin">
        <color rgb="FF7F7F7F"/>
      </left>
      <right style="thick">
        <color theme="2" tint="-0.749992370372631"/>
      </right>
      <top/>
      <bottom style="thin">
        <color rgb="FF7F7F7F"/>
      </bottom>
      <diagonal/>
    </border>
    <border>
      <left/>
      <right/>
      <top/>
      <bottom style="medium">
        <color indexed="64"/>
      </bottom>
      <diagonal/>
    </border>
    <border>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thick">
        <color indexed="64"/>
      </right>
      <top/>
      <bottom style="medium">
        <color indexed="64"/>
      </bottom>
      <diagonal/>
    </border>
    <border>
      <left style="thick">
        <color indexed="64"/>
      </left>
      <right/>
      <top/>
      <bottom style="medium">
        <color indexed="64"/>
      </bottom>
      <diagonal/>
    </border>
    <border>
      <left style="thin">
        <color rgb="FF3F3F3F"/>
      </left>
      <right style="thin">
        <color rgb="FF3F3F3F"/>
      </right>
      <top style="thin">
        <color rgb="FF3F3F3F"/>
      </top>
      <bottom style="thick">
        <color indexed="64"/>
      </bottom>
      <diagonal/>
    </border>
    <border>
      <left style="thin">
        <color rgb="FF3F3F3F"/>
      </left>
      <right/>
      <top style="thin">
        <color rgb="FF3F3F3F"/>
      </top>
      <bottom style="thick">
        <color indexed="64"/>
      </bottom>
      <diagonal/>
    </border>
    <border>
      <left style="thick">
        <color indexed="64"/>
      </left>
      <right/>
      <top/>
      <bottom style="thick">
        <color indexed="64"/>
      </bottom>
      <diagonal/>
    </border>
    <border>
      <left style="thin">
        <color rgb="FF7F7F7F"/>
      </left>
      <right/>
      <top/>
      <bottom style="medium">
        <color indexed="64"/>
      </bottom>
      <diagonal/>
    </border>
    <border>
      <left/>
      <right style="medium">
        <color indexed="64"/>
      </right>
      <top/>
      <bottom/>
      <diagonal/>
    </border>
    <border>
      <left style="thin">
        <color rgb="FF7F7F7F"/>
      </left>
      <right style="medium">
        <color indexed="64"/>
      </right>
      <top style="thin">
        <color rgb="FF7F7F7F"/>
      </top>
      <bottom style="thin">
        <color rgb="FF7F7F7F"/>
      </bottom>
      <diagonal/>
    </border>
    <border>
      <left/>
      <right style="medium">
        <color indexed="64"/>
      </right>
      <top/>
      <bottom style="thin">
        <color rgb="FF7F7F7F"/>
      </bottom>
      <diagonal/>
    </border>
    <border>
      <left style="medium">
        <color indexed="64"/>
      </left>
      <right/>
      <top/>
      <bottom/>
      <diagonal/>
    </border>
    <border>
      <left/>
      <right style="thick">
        <color indexed="64"/>
      </right>
      <top style="thin">
        <color rgb="FF3F3F3F"/>
      </top>
      <bottom style="thin">
        <color rgb="FF3F3F3F"/>
      </bottom>
      <diagonal/>
    </border>
    <border>
      <left/>
      <right style="thick">
        <color indexed="64"/>
      </right>
      <top style="thin">
        <color rgb="FF7F7F7F"/>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style="thin">
        <color rgb="FF3F3F3F"/>
      </top>
      <bottom style="thin">
        <color rgb="FF3F3F3F"/>
      </bottom>
      <diagonal/>
    </border>
    <border>
      <left style="thin">
        <color rgb="FF7F7F7F"/>
      </left>
      <right style="thick">
        <color indexed="64"/>
      </right>
      <top/>
      <bottom style="thin">
        <color rgb="FF7F7F7F"/>
      </bottom>
      <diagonal/>
    </border>
    <border>
      <left/>
      <right style="thin">
        <color rgb="FF7F7F7F"/>
      </right>
      <top/>
      <bottom/>
      <diagonal/>
    </border>
    <border>
      <left style="thin">
        <color rgb="FF7F7F7F"/>
      </left>
      <right style="thin">
        <color rgb="FF7F7F7F"/>
      </right>
      <top/>
      <bottom/>
      <diagonal/>
    </border>
    <border>
      <left style="thin">
        <color rgb="FF7F7F7F"/>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n">
        <color theme="1" tint="0.34998626667073579"/>
      </right>
      <top/>
      <bottom/>
      <diagonal/>
    </border>
    <border>
      <left style="thin">
        <color theme="1" tint="0.34998626667073579"/>
      </left>
      <right style="thin">
        <color theme="1" tint="0.34998626667073579"/>
      </right>
      <top/>
      <bottom/>
      <diagonal/>
    </border>
    <border>
      <left/>
      <right style="thin">
        <color theme="1" tint="0.34998626667073579"/>
      </right>
      <top/>
      <bottom style="thin">
        <color rgb="FF7F7F7F"/>
      </bottom>
      <diagonal/>
    </border>
    <border>
      <left style="thin">
        <color theme="1" tint="0.34998626667073579"/>
      </left>
      <right style="thin">
        <color theme="1" tint="0.34998626667073579"/>
      </right>
      <top style="thin">
        <color rgb="FF7F7F7F"/>
      </top>
      <bottom style="thin">
        <color rgb="FF3F3F3F"/>
      </bottom>
      <diagonal/>
    </border>
    <border>
      <left style="thin">
        <color theme="1" tint="0.34998626667073579"/>
      </left>
      <right/>
      <top/>
      <bottom style="thin">
        <color rgb="FF7F7F7F"/>
      </bottom>
      <diagonal/>
    </border>
    <border>
      <left/>
      <right/>
      <top/>
      <bottom style="thin">
        <color theme="1" tint="0.34998626667073579"/>
      </bottom>
      <diagonal/>
    </border>
    <border>
      <left style="thin">
        <color theme="1" tint="0.34998626667073579"/>
      </left>
      <right style="thin">
        <color rgb="FF7F7F7F"/>
      </right>
      <top style="thin">
        <color theme="1" tint="0.34998626667073579"/>
      </top>
      <bottom style="thin">
        <color theme="1" tint="0.34998626667073579"/>
      </bottom>
      <diagonal/>
    </border>
    <border>
      <left style="thin">
        <color indexed="64"/>
      </left>
      <right/>
      <top/>
      <bottom style="thin">
        <color theme="2" tint="-9.9978637043366805E-2"/>
      </bottom>
      <diagonal/>
    </border>
    <border>
      <left/>
      <right/>
      <top/>
      <bottom style="thin">
        <color theme="2" tint="-9.9978637043366805E-2"/>
      </bottom>
      <diagonal/>
    </border>
    <border>
      <left style="thin">
        <color rgb="FF3F3F3F"/>
      </left>
      <right style="medium">
        <color indexed="64"/>
      </right>
      <top style="thin">
        <color rgb="FF7F7F7F"/>
      </top>
      <bottom style="thin">
        <color rgb="FF7F7F7F"/>
      </bottom>
      <diagonal/>
    </border>
    <border>
      <left/>
      <right style="thin">
        <color rgb="FF3F3F3F"/>
      </right>
      <top/>
      <bottom style="medium">
        <color indexed="64"/>
      </bottom>
      <diagonal/>
    </border>
    <border>
      <left/>
      <right style="thick">
        <color indexed="64"/>
      </right>
      <top/>
      <bottom style="medium">
        <color indexed="64"/>
      </bottom>
      <diagonal/>
    </border>
    <border>
      <left/>
      <right style="thin">
        <color rgb="FF7F7F7F"/>
      </right>
      <top style="medium">
        <color indexed="64"/>
      </top>
      <bottom/>
      <diagonal/>
    </border>
    <border>
      <left style="thin">
        <color rgb="FF7F7F7F"/>
      </left>
      <right style="thick">
        <color indexed="64"/>
      </right>
      <top style="medium">
        <color indexed="64"/>
      </top>
      <bottom/>
      <diagonal/>
    </border>
    <border>
      <left style="thick">
        <color indexed="64"/>
      </left>
      <right/>
      <top style="medium">
        <color indexed="64"/>
      </top>
      <bottom/>
      <diagonal/>
    </border>
    <border>
      <left style="thin">
        <color indexed="64"/>
      </left>
      <right style="thick">
        <color indexed="64"/>
      </right>
      <top style="thin">
        <color rgb="FF3F3F3F"/>
      </top>
      <bottom style="thin">
        <color rgb="FF3F3F3F"/>
      </bottom>
      <diagonal/>
    </border>
    <border>
      <left/>
      <right style="thin">
        <color rgb="FF3F3F3F"/>
      </right>
      <top/>
      <bottom/>
      <diagonal/>
    </border>
    <border>
      <left style="thin">
        <color rgb="FF3F3F3F"/>
      </left>
      <right style="thick">
        <color indexed="64"/>
      </right>
      <top style="thin">
        <color rgb="FF3F3F3F"/>
      </top>
      <bottom/>
      <diagonal/>
    </border>
    <border>
      <left style="thick">
        <color theme="2" tint="-0.749992370372631"/>
      </left>
      <right/>
      <top style="thin">
        <color rgb="FF7F7F7F"/>
      </top>
      <bottom/>
      <diagonal/>
    </border>
    <border>
      <left style="thick">
        <color indexed="64"/>
      </left>
      <right style="thick">
        <color theme="2" tint="-0.749992370372631"/>
      </right>
      <top/>
      <bottom style="thin">
        <color rgb="FF3F3F3F"/>
      </bottom>
      <diagonal/>
    </border>
    <border>
      <left style="thick">
        <color theme="2" tint="-0.749992370372631"/>
      </left>
      <right style="thick">
        <color theme="2" tint="-0.749992370372631"/>
      </right>
      <top/>
      <bottom style="thin">
        <color rgb="FF3F3F3F"/>
      </bottom>
      <diagonal/>
    </border>
    <border>
      <left style="thick">
        <color theme="2" tint="-0.749992370372631"/>
      </left>
      <right/>
      <top/>
      <bottom style="thin">
        <color rgb="FF3F3F3F"/>
      </bottom>
      <diagonal/>
    </border>
    <border>
      <left/>
      <right/>
      <top style="thick">
        <color indexed="64"/>
      </top>
      <bottom/>
      <diagonal/>
    </border>
    <border>
      <left/>
      <right/>
      <top/>
      <bottom style="thin">
        <color rgb="FF3F3F3F"/>
      </bottom>
      <diagonal/>
    </border>
    <border>
      <left style="mediumDashed">
        <color indexed="64"/>
      </left>
      <right/>
      <top/>
      <bottom/>
      <diagonal/>
    </border>
    <border>
      <left style="mediumDashed">
        <color indexed="64"/>
      </left>
      <right/>
      <top/>
      <bottom style="thin">
        <color theme="1" tint="0.34998626667073579"/>
      </bottom>
      <diagonal/>
    </border>
    <border>
      <left style="thick">
        <color indexed="64"/>
      </left>
      <right/>
      <top style="thin">
        <color rgb="FF3F3F3F"/>
      </top>
      <bottom style="thin">
        <color rgb="FF3F3F3F"/>
      </bottom>
      <diagonal/>
    </border>
    <border>
      <left style="mediumDashed">
        <color indexed="64"/>
      </left>
      <right/>
      <top style="thin">
        <color theme="1" tint="0.34998626667073579"/>
      </top>
      <bottom style="thin">
        <color rgb="FF3F3F3F"/>
      </bottom>
      <diagonal/>
    </border>
    <border>
      <left style="mediumDashed">
        <color indexed="64"/>
      </left>
      <right/>
      <top style="thin">
        <color theme="1" tint="0.34998626667073579"/>
      </top>
      <bottom style="thin">
        <color rgb="FF7F7F7F"/>
      </bottom>
      <diagonal/>
    </border>
    <border>
      <left style="mediumDashed">
        <color indexed="64"/>
      </left>
      <right/>
      <top style="thin">
        <color rgb="FF3F3F3F"/>
      </top>
      <bottom style="thin">
        <color rgb="FF3F3F3F"/>
      </bottom>
      <diagonal/>
    </border>
    <border>
      <left/>
      <right/>
      <top style="thin">
        <color theme="1" tint="0.34998626667073579"/>
      </top>
      <bottom style="thin">
        <color rgb="FF3F3F3F"/>
      </bottom>
      <diagonal/>
    </border>
    <border>
      <left style="thin">
        <color rgb="FF3F3F3F"/>
      </left>
      <right/>
      <top/>
      <bottom/>
      <diagonal/>
    </border>
    <border>
      <left style="medium">
        <color indexed="64"/>
      </left>
      <right/>
      <top style="thin">
        <color rgb="FF3F3F3F"/>
      </top>
      <bottom style="thin">
        <color rgb="FF3F3F3F"/>
      </bottom>
      <diagonal/>
    </border>
    <border>
      <left/>
      <right/>
      <top/>
      <bottom style="thick">
        <color theme="8"/>
      </bottom>
      <diagonal/>
    </border>
    <border>
      <left style="thin">
        <color theme="1" tint="0.34998626667073579"/>
      </left>
      <right/>
      <top/>
      <bottom/>
      <diagonal/>
    </border>
    <border>
      <left/>
      <right/>
      <top/>
      <bottom style="thin">
        <color indexed="64"/>
      </bottom>
      <diagonal/>
    </border>
    <border>
      <left style="thick">
        <color indexed="64"/>
      </left>
      <right/>
      <top/>
      <bottom style="thin">
        <color rgb="FF3F3F3F"/>
      </bottom>
      <diagonal/>
    </border>
    <border>
      <left style="thin">
        <color rgb="FF7F7F7F"/>
      </left>
      <right/>
      <top/>
      <bottom style="thin">
        <color rgb="FF3F3F3F"/>
      </bottom>
      <diagonal/>
    </border>
    <border>
      <left/>
      <right style="medium">
        <color indexed="64"/>
      </right>
      <top style="thin">
        <color rgb="FF3F3F3F"/>
      </top>
      <bottom style="thin">
        <color rgb="FF3F3F3F"/>
      </bottom>
      <diagonal/>
    </border>
    <border>
      <left/>
      <right style="thin">
        <color rgb="FF3F3F3F"/>
      </right>
      <top style="thin">
        <color rgb="FF3F3F3F"/>
      </top>
      <bottom/>
      <diagonal/>
    </border>
    <border>
      <left style="thick">
        <color theme="2" tint="-0.749992370372631"/>
      </left>
      <right style="thick">
        <color theme="2" tint="-0.749992370372631"/>
      </right>
      <top style="thin">
        <color rgb="FF3F3F3F"/>
      </top>
      <bottom/>
      <diagonal/>
    </border>
    <border>
      <left style="thick">
        <color theme="2" tint="-0.749992370372631"/>
      </left>
      <right style="thin">
        <color rgb="FF7F7F7F"/>
      </right>
      <top style="thin">
        <color rgb="FF7F7F7F"/>
      </top>
      <bottom/>
      <diagonal/>
    </border>
    <border>
      <left style="thick">
        <color theme="2" tint="-0.749992370372631"/>
      </left>
      <right style="thin">
        <color rgb="FF7F7F7F"/>
      </right>
      <top/>
      <bottom style="thin">
        <color rgb="FF7F7F7F"/>
      </bottom>
      <diagonal/>
    </border>
    <border>
      <left/>
      <right/>
      <top style="thin">
        <color rgb="FF7F7F7F"/>
      </top>
      <bottom style="thin">
        <color rgb="FF3F3F3F"/>
      </bottom>
      <diagonal/>
    </border>
    <border>
      <left/>
      <right style="thin">
        <color rgb="FF7F7F7F"/>
      </right>
      <top style="thin">
        <color rgb="FF7F7F7F"/>
      </top>
      <bottom style="thin">
        <color rgb="FF3F3F3F"/>
      </bottom>
      <diagonal/>
    </border>
    <border>
      <left style="thin">
        <color indexed="64"/>
      </left>
      <right/>
      <top style="thin">
        <color rgb="FF7F7F7F"/>
      </top>
      <bottom style="thin">
        <color rgb="FF7F7F7F"/>
      </bottom>
      <diagonal/>
    </border>
    <border>
      <left style="thin">
        <color indexed="64"/>
      </left>
      <right/>
      <top style="thin">
        <color rgb="FF7F7F7F"/>
      </top>
      <bottom/>
      <diagonal/>
    </border>
    <border>
      <left style="thin">
        <color indexed="64"/>
      </left>
      <right/>
      <top style="thin">
        <color indexed="64"/>
      </top>
      <bottom style="thin">
        <color rgb="FF3F3F3F"/>
      </bottom>
      <diagonal/>
    </border>
    <border>
      <left/>
      <right style="thin">
        <color rgb="FF3F3F3F"/>
      </right>
      <top style="thin">
        <color indexed="64"/>
      </top>
      <bottom style="thin">
        <color rgb="FF3F3F3F"/>
      </bottom>
      <diagonal/>
    </border>
    <border>
      <left/>
      <right style="thin">
        <color rgb="FF3F3F3F"/>
      </right>
      <top style="thin">
        <color rgb="FF3F3F3F"/>
      </top>
      <bottom style="thin">
        <color indexed="64"/>
      </bottom>
      <diagonal/>
    </border>
    <border>
      <left style="thin">
        <color rgb="FF3F3F3F"/>
      </left>
      <right style="thin">
        <color rgb="FF3F3F3F"/>
      </right>
      <top style="thin">
        <color rgb="FF3F3F3F"/>
      </top>
      <bottom style="thin">
        <color indexed="64"/>
      </bottom>
      <diagonal/>
    </border>
  </borders>
  <cellStyleXfs count="9">
    <xf numFmtId="0" fontId="0" fillId="0" borderId="0"/>
    <xf numFmtId="0" fontId="2" fillId="2" borderId="1" applyNumberFormat="0" applyAlignment="0" applyProtection="0"/>
    <xf numFmtId="0" fontId="3" fillId="3" borderId="1" applyNumberFormat="0" applyAlignment="0" applyProtection="0"/>
    <xf numFmtId="0" fontId="8" fillId="3" borderId="2" applyNumberFormat="0" applyAlignment="0" applyProtection="0"/>
    <xf numFmtId="0" fontId="20" fillId="10" borderId="0" applyNumberFormat="0" applyBorder="0" applyAlignment="0" applyProtection="0"/>
    <xf numFmtId="0" fontId="21" fillId="11" borderId="0" applyNumberFormat="0" applyBorder="0" applyAlignment="0" applyProtection="0"/>
    <xf numFmtId="9" fontId="17" fillId="0" borderId="0" applyFont="0" applyFill="0" applyBorder="0" applyAlignment="0" applyProtection="0"/>
    <xf numFmtId="0" fontId="44" fillId="14" borderId="0" applyNumberFormat="0" applyBorder="0" applyAlignment="0" applyProtection="0"/>
    <xf numFmtId="0" fontId="208" fillId="0" borderId="0" applyNumberFormat="0" applyFill="0" applyBorder="0" applyAlignment="0" applyProtection="0"/>
  </cellStyleXfs>
  <cellXfs count="744">
    <xf numFmtId="0" fontId="0" fillId="0" borderId="0" xfId="0"/>
    <xf numFmtId="0" fontId="1" fillId="0" borderId="0" xfId="0" applyFont="1" applyAlignment="1">
      <alignment horizontal="right"/>
    </xf>
    <xf numFmtId="0" fontId="5" fillId="0" borderId="0" xfId="0" applyFont="1"/>
    <xf numFmtId="0" fontId="2" fillId="2" borderId="1" xfId="1"/>
    <xf numFmtId="0" fontId="3" fillId="3" borderId="1" xfId="2"/>
    <xf numFmtId="0" fontId="6" fillId="0" borderId="0" xfId="0" applyFont="1" applyAlignment="1">
      <alignment horizontal="right"/>
    </xf>
    <xf numFmtId="0" fontId="6" fillId="0" borderId="0" xfId="0" applyFont="1"/>
    <xf numFmtId="0" fontId="0" fillId="0" borderId="0" xfId="0" applyFont="1"/>
    <xf numFmtId="3" fontId="2" fillId="2" borderId="1" xfId="1" applyNumberFormat="1"/>
    <xf numFmtId="0" fontId="0" fillId="0" borderId="0" xfId="0" applyAlignment="1">
      <alignment horizontal="right"/>
    </xf>
    <xf numFmtId="0" fontId="8" fillId="3" borderId="2" xfId="3"/>
    <xf numFmtId="0" fontId="9" fillId="0" borderId="0" xfId="0" applyFont="1"/>
    <xf numFmtId="0" fontId="0" fillId="0" borderId="0" xfId="0" applyAlignment="1">
      <alignment horizontal="center"/>
    </xf>
    <xf numFmtId="0" fontId="14"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8" fillId="0" borderId="0" xfId="0" applyFont="1" applyAlignment="1">
      <alignment horizontal="right"/>
    </xf>
    <xf numFmtId="0" fontId="18" fillId="0" borderId="0" xfId="0" applyFont="1"/>
    <xf numFmtId="0" fontId="0" fillId="0" borderId="0" xfId="0" applyAlignment="1"/>
    <xf numFmtId="164" fontId="7" fillId="0" borderId="0" xfId="0" applyNumberFormat="1" applyFont="1"/>
    <xf numFmtId="9" fontId="2" fillId="2" borderId="1" xfId="1" applyNumberFormat="1"/>
    <xf numFmtId="0" fontId="19" fillId="0" borderId="0" xfId="0" applyFont="1"/>
    <xf numFmtId="164" fontId="8" fillId="3" borderId="2" xfId="3" applyNumberFormat="1"/>
    <xf numFmtId="0" fontId="10" fillId="0" borderId="0" xfId="0" applyFont="1" applyAlignment="1">
      <alignment vertical="top"/>
    </xf>
    <xf numFmtId="0" fontId="27" fillId="0" borderId="0" xfId="0" applyFont="1" applyAlignment="1">
      <alignment vertical="center"/>
    </xf>
    <xf numFmtId="0" fontId="28" fillId="0" borderId="0" xfId="0" applyFont="1" applyFill="1" applyBorder="1" applyAlignment="1">
      <alignment horizontal="right"/>
    </xf>
    <xf numFmtId="164" fontId="5" fillId="2" borderId="5" xfId="1" applyNumberFormat="1" applyFont="1" applyBorder="1" applyAlignment="1">
      <alignment horizontal="right"/>
    </xf>
    <xf numFmtId="0" fontId="0" fillId="0" borderId="4" xfId="0" applyBorder="1"/>
    <xf numFmtId="0" fontId="8" fillId="3" borderId="6" xfId="3" applyBorder="1"/>
    <xf numFmtId="0" fontId="2" fillId="2" borderId="5" xfId="1" applyBorder="1"/>
    <xf numFmtId="0" fontId="6" fillId="0" borderId="4" xfId="0" applyFont="1" applyBorder="1" applyAlignment="1">
      <alignment horizontal="center"/>
    </xf>
    <xf numFmtId="0" fontId="0" fillId="0" borderId="9" xfId="0" applyBorder="1"/>
    <xf numFmtId="0" fontId="30" fillId="0" borderId="4" xfId="0" applyFont="1" applyBorder="1"/>
    <xf numFmtId="0" fontId="30" fillId="0" borderId="0" xfId="0" applyFont="1"/>
    <xf numFmtId="0" fontId="32" fillId="0" borderId="0" xfId="0" applyFont="1" applyAlignment="1">
      <alignment horizontal="center"/>
    </xf>
    <xf numFmtId="0" fontId="32" fillId="0" borderId="4"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right"/>
    </xf>
    <xf numFmtId="0" fontId="0" fillId="0" borderId="0" xfId="0" applyBorder="1"/>
    <xf numFmtId="0" fontId="0" fillId="0" borderId="11" xfId="0" applyBorder="1"/>
    <xf numFmtId="0" fontId="2" fillId="2" borderId="5" xfId="1" applyNumberFormat="1" applyBorder="1"/>
    <xf numFmtId="0" fontId="2" fillId="2" borderId="1" xfId="1" applyNumberFormat="1"/>
    <xf numFmtId="0" fontId="39" fillId="0" borderId="0" xfId="0" applyFont="1"/>
    <xf numFmtId="0" fontId="0" fillId="0" borderId="4" xfId="0" applyBorder="1" applyAlignment="1">
      <alignment horizontal="left"/>
    </xf>
    <xf numFmtId="0" fontId="2" fillId="13" borderId="1" xfId="1" applyFill="1" applyAlignment="1">
      <alignment horizontal="left"/>
    </xf>
    <xf numFmtId="0" fontId="0" fillId="0" borderId="0" xfId="0" applyAlignment="1">
      <alignment horizontal="left"/>
    </xf>
    <xf numFmtId="0" fontId="0" fillId="0" borderId="0" xfId="0" applyBorder="1" applyAlignment="1">
      <alignment horizontal="left"/>
    </xf>
    <xf numFmtId="0" fontId="0" fillId="0" borderId="0" xfId="0" applyBorder="1" applyAlignment="1">
      <alignment horizontal="center"/>
    </xf>
    <xf numFmtId="0" fontId="2" fillId="2" borderId="1" xfId="1" applyAlignment="1">
      <alignment horizontal="right"/>
    </xf>
    <xf numFmtId="0" fontId="0" fillId="0" borderId="8" xfId="0" applyBorder="1"/>
    <xf numFmtId="0" fontId="40" fillId="0" borderId="0" xfId="0" applyFont="1"/>
    <xf numFmtId="0" fontId="0" fillId="0" borderId="0" xfId="0" applyNumberFormat="1"/>
    <xf numFmtId="0" fontId="41" fillId="0" borderId="0" xfId="0" applyFont="1" applyAlignment="1">
      <alignment horizontal="right"/>
    </xf>
    <xf numFmtId="0" fontId="41" fillId="3" borderId="2" xfId="3" applyFont="1"/>
    <xf numFmtId="0" fontId="41" fillId="3" borderId="7" xfId="3" applyFont="1" applyBorder="1"/>
    <xf numFmtId="0" fontId="42" fillId="2" borderId="5" xfId="1" applyFont="1" applyBorder="1"/>
    <xf numFmtId="0" fontId="42" fillId="0" borderId="0" xfId="0" applyFont="1"/>
    <xf numFmtId="0" fontId="41" fillId="3" borderId="6" xfId="3" applyFont="1" applyBorder="1"/>
    <xf numFmtId="0" fontId="6" fillId="0" borderId="0" xfId="0" applyFont="1" applyAlignment="1">
      <alignment horizontal="center"/>
    </xf>
    <xf numFmtId="0" fontId="47" fillId="0" borderId="0" xfId="0" applyFont="1" applyAlignment="1">
      <alignment horizontal="right"/>
    </xf>
    <xf numFmtId="0" fontId="49" fillId="0" borderId="0" xfId="0" applyFont="1" applyAlignment="1">
      <alignment vertical="top"/>
    </xf>
    <xf numFmtId="0" fontId="51" fillId="0" borderId="0" xfId="0" applyFont="1"/>
    <xf numFmtId="0" fontId="52" fillId="3" borderId="7" xfId="3" applyFont="1" applyBorder="1"/>
    <xf numFmtId="0" fontId="53" fillId="0" borderId="0" xfId="0" applyFont="1" applyAlignment="1">
      <alignment horizontal="right"/>
    </xf>
    <xf numFmtId="0" fontId="56" fillId="0" borderId="0" xfId="0" applyFont="1"/>
    <xf numFmtId="0" fontId="54" fillId="0" borderId="0" xfId="0" applyFont="1" applyAlignment="1">
      <alignment horizontal="right"/>
    </xf>
    <xf numFmtId="0" fontId="56" fillId="0" borderId="4" xfId="0" applyFont="1" applyBorder="1"/>
    <xf numFmtId="0" fontId="55" fillId="0" borderId="0" xfId="0" applyFont="1"/>
    <xf numFmtId="0" fontId="58" fillId="0" borderId="0" xfId="0" applyFont="1" applyAlignment="1">
      <alignment horizontal="right"/>
    </xf>
    <xf numFmtId="0" fontId="47" fillId="0" borderId="23" xfId="0" applyFont="1" applyBorder="1" applyAlignment="1">
      <alignment horizontal="right"/>
    </xf>
    <xf numFmtId="9" fontId="2" fillId="2" borderId="24" xfId="1" applyNumberFormat="1" applyBorder="1"/>
    <xf numFmtId="9" fontId="0" fillId="0" borderId="26" xfId="0" applyNumberFormat="1" applyBorder="1"/>
    <xf numFmtId="0" fontId="6" fillId="0" borderId="27" xfId="0" applyFont="1" applyBorder="1" applyAlignment="1">
      <alignment horizontal="right"/>
    </xf>
    <xf numFmtId="0" fontId="6" fillId="0" borderId="28" xfId="0" applyFont="1" applyBorder="1" applyAlignment="1">
      <alignment horizontal="right"/>
    </xf>
    <xf numFmtId="164" fontId="8" fillId="3" borderId="2" xfId="3" applyNumberFormat="1" applyAlignment="1">
      <alignment horizontal="right"/>
    </xf>
    <xf numFmtId="0" fontId="55" fillId="0" borderId="8" xfId="0" applyFont="1" applyBorder="1" applyAlignment="1">
      <alignment horizontal="right"/>
    </xf>
    <xf numFmtId="9" fontId="2" fillId="2" borderId="30" xfId="1" applyNumberFormat="1" applyBorder="1"/>
    <xf numFmtId="9" fontId="0" fillId="0" borderId="4" xfId="6" applyFont="1" applyBorder="1"/>
    <xf numFmtId="0" fontId="58" fillId="0" borderId="0" xfId="0" applyFont="1" applyFill="1" applyBorder="1" applyAlignment="1">
      <alignment horizontal="right"/>
    </xf>
    <xf numFmtId="0" fontId="60" fillId="0" borderId="0" xfId="0" applyFont="1"/>
    <xf numFmtId="0" fontId="0" fillId="0" borderId="33" xfId="0" applyBorder="1"/>
    <xf numFmtId="0" fontId="50" fillId="15" borderId="34" xfId="0" applyFont="1" applyFill="1" applyBorder="1" applyAlignment="1">
      <alignment vertical="top"/>
    </xf>
    <xf numFmtId="0" fontId="5" fillId="15" borderId="34" xfId="0" applyFont="1" applyFill="1" applyBorder="1"/>
    <xf numFmtId="0" fontId="62" fillId="15" borderId="34" xfId="0" applyFont="1" applyFill="1" applyBorder="1" applyAlignment="1"/>
    <xf numFmtId="0" fontId="63" fillId="15" borderId="34" xfId="0" applyFont="1" applyFill="1" applyBorder="1"/>
    <xf numFmtId="0" fontId="2" fillId="2" borderId="35" xfId="1" applyBorder="1"/>
    <xf numFmtId="0" fontId="0" fillId="0" borderId="36" xfId="0" applyBorder="1"/>
    <xf numFmtId="0" fontId="2" fillId="2" borderId="30" xfId="1" applyBorder="1" applyAlignment="1">
      <alignment horizontal="right"/>
    </xf>
    <xf numFmtId="0" fontId="32" fillId="0" borderId="37" xfId="0" applyFont="1" applyBorder="1" applyAlignment="1">
      <alignment horizontal="center"/>
    </xf>
    <xf numFmtId="0" fontId="0" fillId="0" borderId="38" xfId="0" applyBorder="1"/>
    <xf numFmtId="0" fontId="2" fillId="2" borderId="40" xfId="1" applyBorder="1"/>
    <xf numFmtId="0" fontId="32" fillId="0" borderId="37" xfId="0" applyFont="1" applyBorder="1"/>
    <xf numFmtId="0" fontId="2" fillId="2" borderId="40" xfId="1" applyNumberFormat="1" applyBorder="1"/>
    <xf numFmtId="0" fontId="2" fillId="13" borderId="30" xfId="1" applyFill="1" applyBorder="1" applyAlignment="1">
      <alignment horizontal="left"/>
    </xf>
    <xf numFmtId="0" fontId="33" fillId="0" borderId="43" xfId="0" applyFont="1" applyFill="1" applyBorder="1" applyAlignment="1">
      <alignment horizontal="center" wrapText="1"/>
    </xf>
    <xf numFmtId="0" fontId="35" fillId="0" borderId="37" xfId="0" applyFont="1" applyBorder="1" applyAlignment="1">
      <alignment horizontal="center"/>
    </xf>
    <xf numFmtId="0" fontId="37" fillId="0" borderId="37" xfId="0" applyFont="1" applyBorder="1"/>
    <xf numFmtId="0" fontId="0" fillId="0" borderId="0" xfId="0" applyBorder="1" applyAlignment="1"/>
    <xf numFmtId="0" fontId="0" fillId="17" borderId="0" xfId="0" applyFill="1" applyBorder="1" applyAlignment="1">
      <alignment horizontal="center" wrapText="1"/>
    </xf>
    <xf numFmtId="0" fontId="0" fillId="17" borderId="0" xfId="0" applyFill="1" applyBorder="1" applyAlignment="1"/>
    <xf numFmtId="0" fontId="0" fillId="17" borderId="0" xfId="0" applyFill="1" applyBorder="1" applyAlignment="1">
      <alignment horizontal="center"/>
    </xf>
    <xf numFmtId="0" fontId="0" fillId="17" borderId="0" xfId="0" applyFill="1" applyBorder="1"/>
    <xf numFmtId="0" fontId="0" fillId="17" borderId="0" xfId="0" applyFill="1"/>
    <xf numFmtId="11" fontId="66" fillId="3" borderId="42" xfId="3" applyNumberFormat="1" applyFont="1" applyBorder="1"/>
    <xf numFmtId="0" fontId="67" fillId="3" borderId="44" xfId="3" applyFont="1" applyBorder="1"/>
    <xf numFmtId="0" fontId="67" fillId="3" borderId="42" xfId="3" applyFont="1" applyBorder="1" applyAlignment="1">
      <alignment horizontal="left"/>
    </xf>
    <xf numFmtId="0" fontId="67" fillId="3" borderId="42" xfId="3" applyFont="1" applyBorder="1"/>
    <xf numFmtId="0" fontId="67" fillId="3" borderId="6" xfId="3" applyFont="1" applyBorder="1"/>
    <xf numFmtId="0" fontId="67" fillId="3" borderId="2" xfId="3" applyFont="1" applyAlignment="1">
      <alignment horizontal="left"/>
    </xf>
    <xf numFmtId="0" fontId="67" fillId="3" borderId="6" xfId="3" applyFont="1" applyBorder="1" applyAlignment="1">
      <alignment horizontal="left"/>
    </xf>
    <xf numFmtId="0" fontId="67" fillId="3" borderId="2" xfId="3" applyFont="1"/>
    <xf numFmtId="11" fontId="67" fillId="3" borderId="42" xfId="3" applyNumberFormat="1" applyFont="1" applyBorder="1"/>
    <xf numFmtId="11" fontId="67" fillId="3" borderId="46" xfId="3" applyNumberFormat="1" applyFont="1" applyBorder="1"/>
    <xf numFmtId="0" fontId="67" fillId="3" borderId="47" xfId="3" applyFont="1" applyBorder="1"/>
    <xf numFmtId="0" fontId="0" fillId="0" borderId="45" xfId="0" applyBorder="1"/>
    <xf numFmtId="0" fontId="67" fillId="3" borderId="48" xfId="2" applyFont="1" applyBorder="1"/>
    <xf numFmtId="0" fontId="67" fillId="3" borderId="50" xfId="2" applyFont="1" applyBorder="1"/>
    <xf numFmtId="0" fontId="2" fillId="2" borderId="49" xfId="1" applyBorder="1"/>
    <xf numFmtId="0" fontId="67" fillId="3" borderId="51" xfId="3" applyFont="1" applyBorder="1"/>
    <xf numFmtId="0" fontId="67" fillId="3" borderId="52" xfId="3" applyFont="1" applyBorder="1"/>
    <xf numFmtId="0" fontId="8" fillId="3" borderId="2" xfId="3" applyNumberFormat="1"/>
    <xf numFmtId="0" fontId="0" fillId="0" borderId="0" xfId="0" applyAlignment="1">
      <alignment horizontal="center" vertical="center" wrapText="1"/>
    </xf>
    <xf numFmtId="0" fontId="1" fillId="0" borderId="0" xfId="0" applyFont="1" applyAlignment="1">
      <alignment horizontal="center" vertical="center" wrapText="1"/>
    </xf>
    <xf numFmtId="9" fontId="0" fillId="17" borderId="0" xfId="0" applyNumberFormat="1" applyFill="1" applyBorder="1"/>
    <xf numFmtId="0" fontId="0" fillId="17" borderId="0" xfId="0" applyFill="1" applyAlignment="1">
      <alignment horizontal="center" vertical="center" wrapText="1"/>
    </xf>
    <xf numFmtId="165" fontId="8" fillId="3" borderId="2" xfId="3" applyNumberFormat="1"/>
    <xf numFmtId="0" fontId="8" fillId="3" borderId="2" xfId="3" applyAlignment="1">
      <alignment horizontal="right"/>
    </xf>
    <xf numFmtId="0" fontId="8" fillId="3" borderId="2" xfId="3" applyAlignment="1">
      <alignment horizontal="right"/>
    </xf>
    <xf numFmtId="0" fontId="32" fillId="0" borderId="39" xfId="0" applyFont="1" applyBorder="1" applyAlignment="1">
      <alignment horizontal="center"/>
    </xf>
    <xf numFmtId="0" fontId="2" fillId="13" borderId="30" xfId="1" applyFill="1" applyBorder="1"/>
    <xf numFmtId="0" fontId="2" fillId="2" borderId="30" xfId="1" applyBorder="1"/>
    <xf numFmtId="0" fontId="8" fillId="3" borderId="42" xfId="3" applyBorder="1"/>
    <xf numFmtId="0" fontId="60" fillId="0" borderId="37" xfId="0" applyFont="1" applyBorder="1" applyAlignment="1">
      <alignment horizontal="center" vertical="center"/>
    </xf>
    <xf numFmtId="0" fontId="2" fillId="2" borderId="1" xfId="1" applyAlignment="1">
      <alignment horizontal="right" wrapText="1"/>
    </xf>
    <xf numFmtId="0" fontId="2" fillId="2" borderId="1" xfId="1" applyAlignment="1">
      <alignment horizontal="left"/>
    </xf>
    <xf numFmtId="0" fontId="0" fillId="17" borderId="0" xfId="0" applyFill="1" applyAlignment="1">
      <alignment wrapText="1"/>
    </xf>
    <xf numFmtId="0" fontId="33" fillId="0" borderId="37" xfId="0" applyFont="1" applyFill="1" applyBorder="1" applyAlignment="1">
      <alignment horizontal="center" wrapText="1"/>
    </xf>
    <xf numFmtId="0" fontId="8" fillId="3" borderId="2" xfId="3" applyAlignment="1">
      <alignment horizontal="left"/>
    </xf>
    <xf numFmtId="0" fontId="32" fillId="0" borderId="37" xfId="0" applyFont="1" applyBorder="1" applyAlignment="1">
      <alignment wrapText="1"/>
    </xf>
    <xf numFmtId="0" fontId="66" fillId="13" borderId="41" xfId="3" applyFont="1" applyFill="1" applyBorder="1"/>
    <xf numFmtId="0" fontId="66" fillId="13" borderId="7" xfId="3" applyFont="1" applyFill="1" applyBorder="1"/>
    <xf numFmtId="0" fontId="2" fillId="2" borderId="54" xfId="1" applyBorder="1" applyAlignment="1">
      <alignment horizontal="left"/>
    </xf>
    <xf numFmtId="0" fontId="2" fillId="2" borderId="55" xfId="1" applyBorder="1" applyAlignment="1">
      <alignment horizontal="left"/>
    </xf>
    <xf numFmtId="0" fontId="66" fillId="3" borderId="42" xfId="3" applyFont="1" applyBorder="1"/>
    <xf numFmtId="0" fontId="67" fillId="3" borderId="2" xfId="3" applyFont="1"/>
    <xf numFmtId="0" fontId="67" fillId="3" borderId="2" xfId="3" applyNumberFormat="1" applyFont="1"/>
    <xf numFmtId="0" fontId="1" fillId="0" borderId="37" xfId="0" applyFont="1" applyBorder="1" applyAlignment="1">
      <alignment horizontal="left"/>
    </xf>
    <xf numFmtId="0" fontId="13" fillId="0" borderId="0" xfId="0" applyFont="1" applyAlignment="1">
      <alignment horizontal="center"/>
    </xf>
    <xf numFmtId="0" fontId="11" fillId="0" borderId="0" xfId="0" applyFont="1" applyAlignment="1">
      <alignment horizontal="center"/>
    </xf>
    <xf numFmtId="0" fontId="27" fillId="0" borderId="0" xfId="0" applyFont="1" applyAlignment="1">
      <alignment horizontal="center" vertical="center"/>
    </xf>
    <xf numFmtId="0" fontId="8" fillId="3" borderId="10" xfId="3" applyBorder="1"/>
    <xf numFmtId="0" fontId="8" fillId="3" borderId="7" xfId="3" applyBorder="1" applyAlignment="1"/>
    <xf numFmtId="0" fontId="8" fillId="3" borderId="6" xfId="3" applyBorder="1" applyAlignment="1">
      <alignment horizontal="center"/>
    </xf>
    <xf numFmtId="0" fontId="13" fillId="0" borderId="0" xfId="0" applyFont="1" applyAlignment="1">
      <alignment horizontal="left"/>
    </xf>
    <xf numFmtId="0" fontId="32" fillId="0" borderId="37" xfId="0" applyFont="1" applyBorder="1" applyAlignment="1">
      <alignment horizontal="center" vertical="center" wrapText="1"/>
    </xf>
    <xf numFmtId="0" fontId="77" fillId="0" borderId="0" xfId="0" applyFont="1" applyAlignment="1">
      <alignment horizontal="right"/>
    </xf>
    <xf numFmtId="0" fontId="77" fillId="0" borderId="0" xfId="0" applyFont="1" applyAlignment="1">
      <alignment horizontal="left"/>
    </xf>
    <xf numFmtId="9" fontId="6" fillId="0" borderId="26" xfId="0" applyNumberFormat="1" applyFont="1" applyBorder="1"/>
    <xf numFmtId="0" fontId="78" fillId="0" borderId="0" xfId="0" applyFont="1" applyAlignment="1">
      <alignment horizontal="right"/>
    </xf>
    <xf numFmtId="0" fontId="76" fillId="0" borderId="0" xfId="0" applyFont="1"/>
    <xf numFmtId="0" fontId="59" fillId="0" borderId="0" xfId="0" applyFont="1" applyBorder="1" applyAlignment="1"/>
    <xf numFmtId="0" fontId="59" fillId="0" borderId="0" xfId="0" applyFont="1" applyAlignment="1"/>
    <xf numFmtId="0" fontId="67" fillId="3" borderId="48" xfId="3" applyFont="1" applyBorder="1"/>
    <xf numFmtId="0" fontId="2" fillId="2" borderId="1" xfId="1"/>
    <xf numFmtId="0" fontId="2" fillId="2" borderId="25" xfId="1" applyBorder="1"/>
    <xf numFmtId="0" fontId="80" fillId="20" borderId="59" xfId="0" applyFont="1" applyFill="1" applyBorder="1" applyAlignment="1">
      <alignment vertical="center" wrapText="1"/>
    </xf>
    <xf numFmtId="9" fontId="2" fillId="2" borderId="24" xfId="6" applyNumberFormat="1" applyFont="1" applyFill="1" applyBorder="1"/>
    <xf numFmtId="0" fontId="54" fillId="3" borderId="2" xfId="3" applyFont="1"/>
    <xf numFmtId="0" fontId="43" fillId="3" borderId="15" xfId="3" applyFont="1" applyBorder="1"/>
    <xf numFmtId="0" fontId="56" fillId="3" borderId="7" xfId="3" applyFont="1" applyBorder="1"/>
    <xf numFmtId="0" fontId="54" fillId="3" borderId="6" xfId="3" applyFont="1" applyBorder="1"/>
    <xf numFmtId="0" fontId="56" fillId="2" borderId="5" xfId="1" applyFont="1" applyBorder="1"/>
    <xf numFmtId="0" fontId="0" fillId="0" borderId="0" xfId="0"/>
    <xf numFmtId="0" fontId="0" fillId="0" borderId="4" xfId="0" applyFont="1" applyBorder="1"/>
    <xf numFmtId="0" fontId="6" fillId="0" borderId="0" xfId="0" applyFont="1"/>
    <xf numFmtId="0" fontId="41" fillId="3" borderId="2" xfId="3" applyFont="1"/>
    <xf numFmtId="0" fontId="42" fillId="3" borderId="7" xfId="3" applyFont="1" applyBorder="1"/>
    <xf numFmtId="0" fontId="41" fillId="3" borderId="6" xfId="3" applyFont="1" applyBorder="1"/>
    <xf numFmtId="0" fontId="85" fillId="0" borderId="0" xfId="0" applyFont="1"/>
    <xf numFmtId="0" fontId="85" fillId="0" borderId="0" xfId="0" applyFont="1" applyAlignment="1">
      <alignment horizontal="right"/>
    </xf>
    <xf numFmtId="0" fontId="8" fillId="3" borderId="2" xfId="3" applyFont="1"/>
    <xf numFmtId="0" fontId="0" fillId="0" borderId="0" xfId="0" applyAlignment="1">
      <alignment vertical="top"/>
    </xf>
    <xf numFmtId="0" fontId="2" fillId="2" borderId="1" xfId="1" applyAlignment="1">
      <alignment horizontal="center"/>
    </xf>
    <xf numFmtId="0" fontId="2" fillId="22" borderId="1" xfId="1" applyFill="1"/>
    <xf numFmtId="0" fontId="0" fillId="0" borderId="0" xfId="0" applyFont="1" applyBorder="1"/>
    <xf numFmtId="0" fontId="70" fillId="0" borderId="0" xfId="0" applyFont="1" applyAlignment="1">
      <alignment horizontal="center"/>
    </xf>
    <xf numFmtId="0" fontId="0" fillId="0" borderId="28" xfId="0" applyBorder="1"/>
    <xf numFmtId="0" fontId="1" fillId="0" borderId="65" xfId="0" applyFont="1" applyBorder="1" applyAlignment="1">
      <alignment horizontal="right"/>
    </xf>
    <xf numFmtId="0" fontId="2" fillId="2" borderId="67" xfId="1" applyBorder="1"/>
    <xf numFmtId="9" fontId="2" fillId="2" borderId="67" xfId="1" applyNumberFormat="1" applyBorder="1" applyAlignment="1">
      <alignment horizontal="right"/>
    </xf>
    <xf numFmtId="0" fontId="0" fillId="0" borderId="73" xfId="0" applyBorder="1"/>
    <xf numFmtId="0" fontId="41" fillId="2" borderId="5" xfId="1" applyFont="1" applyBorder="1"/>
    <xf numFmtId="0" fontId="2" fillId="2" borderId="67" xfId="1" applyFont="1" applyBorder="1"/>
    <xf numFmtId="9" fontId="2" fillId="2" borderId="30" xfId="1" applyNumberFormat="1" applyFont="1" applyBorder="1"/>
    <xf numFmtId="0" fontId="0" fillId="0" borderId="28" xfId="0" applyBorder="1" applyAlignment="1">
      <alignment horizontal="center"/>
    </xf>
    <xf numFmtId="0" fontId="6" fillId="0" borderId="65" xfId="0" applyFont="1" applyBorder="1" applyAlignment="1">
      <alignment horizontal="center"/>
    </xf>
    <xf numFmtId="0" fontId="0" fillId="0" borderId="0" xfId="0" applyFont="1" applyAlignment="1">
      <alignment horizontal="center"/>
    </xf>
    <xf numFmtId="0" fontId="94" fillId="0" borderId="3" xfId="0" applyFont="1" applyBorder="1" applyAlignment="1">
      <alignment horizontal="center" vertical="center" wrapText="1"/>
    </xf>
    <xf numFmtId="0" fontId="93" fillId="0" borderId="0" xfId="0" applyFont="1" applyAlignment="1">
      <alignment horizontal="right"/>
    </xf>
    <xf numFmtId="0" fontId="3" fillId="3" borderId="5" xfId="2" applyBorder="1"/>
    <xf numFmtId="0" fontId="2" fillId="2" borderId="75" xfId="1" applyBorder="1"/>
    <xf numFmtId="0" fontId="3" fillId="3" borderId="75" xfId="2" applyBorder="1"/>
    <xf numFmtId="0" fontId="14" fillId="0" borderId="74" xfId="0" applyFont="1" applyBorder="1" applyAlignment="1">
      <alignment vertical="center"/>
    </xf>
    <xf numFmtId="0" fontId="0" fillId="0" borderId="74" xfId="0" applyBorder="1"/>
    <xf numFmtId="0" fontId="83" fillId="0" borderId="0" xfId="0" applyFont="1" applyAlignment="1">
      <alignment vertical="center"/>
    </xf>
    <xf numFmtId="0" fontId="14" fillId="0" borderId="0" xfId="0" applyFont="1" applyBorder="1" applyAlignment="1">
      <alignment vertical="center"/>
    </xf>
    <xf numFmtId="0" fontId="9" fillId="0" borderId="77" xfId="0" applyFont="1" applyBorder="1" applyAlignment="1">
      <alignment vertical="center"/>
    </xf>
    <xf numFmtId="2" fontId="56" fillId="0" borderId="0" xfId="0" applyNumberFormat="1" applyFont="1"/>
    <xf numFmtId="2" fontId="56" fillId="0" borderId="4" xfId="0" applyNumberFormat="1" applyFont="1" applyBorder="1"/>
    <xf numFmtId="0" fontId="42" fillId="2" borderId="5" xfId="1" applyFont="1" applyBorder="1"/>
    <xf numFmtId="0" fontId="56" fillId="0" borderId="0" xfId="0" applyFont="1"/>
    <xf numFmtId="0" fontId="56" fillId="0" borderId="4" xfId="0" applyFont="1" applyBorder="1"/>
    <xf numFmtId="0" fontId="55" fillId="0" borderId="0" xfId="0" applyFont="1"/>
    <xf numFmtId="0" fontId="5" fillId="0" borderId="0" xfId="0" applyFont="1"/>
    <xf numFmtId="0" fontId="30" fillId="0" borderId="4" xfId="0" applyFont="1" applyBorder="1"/>
    <xf numFmtId="0" fontId="30" fillId="0" borderId="0" xfId="0" applyFont="1"/>
    <xf numFmtId="9" fontId="30" fillId="0" borderId="4" xfId="6" applyFont="1" applyBorder="1"/>
    <xf numFmtId="0" fontId="7" fillId="0" borderId="0" xfId="0" applyFont="1"/>
    <xf numFmtId="0" fontId="29" fillId="2" borderId="1" xfId="1" applyFont="1" applyAlignment="1">
      <alignment horizontal="right"/>
    </xf>
    <xf numFmtId="0" fontId="0" fillId="0" borderId="9" xfId="0" applyBorder="1"/>
    <xf numFmtId="0" fontId="29" fillId="12" borderId="1" xfId="1" applyFont="1" applyFill="1" applyAlignment="1">
      <alignment horizontal="right"/>
    </xf>
    <xf numFmtId="0" fontId="30" fillId="0" borderId="4" xfId="0" applyFont="1" applyBorder="1" applyAlignment="1">
      <alignment horizontal="right"/>
    </xf>
    <xf numFmtId="0" fontId="101" fillId="0" borderId="0" xfId="0" applyFont="1" applyAlignment="1">
      <alignment horizontal="right"/>
    </xf>
    <xf numFmtId="0" fontId="86" fillId="3" borderId="2" xfId="3" applyFont="1"/>
    <xf numFmtId="0" fontId="102" fillId="3" borderId="15" xfId="3" applyFont="1" applyBorder="1"/>
    <xf numFmtId="0" fontId="103" fillId="0" borderId="8" xfId="0" applyFont="1" applyBorder="1" applyAlignment="1">
      <alignment horizontal="right"/>
    </xf>
    <xf numFmtId="0" fontId="86" fillId="3" borderId="7" xfId="3" applyFont="1" applyBorder="1"/>
    <xf numFmtId="0" fontId="0" fillId="0" borderId="0" xfId="0" applyAlignment="1">
      <alignment horizontal="center"/>
    </xf>
    <xf numFmtId="0" fontId="1" fillId="0" borderId="28" xfId="0" applyFont="1" applyBorder="1" applyAlignment="1">
      <alignment horizontal="right"/>
    </xf>
    <xf numFmtId="0" fontId="8" fillId="3" borderId="70" xfId="3" applyNumberFormat="1" applyFont="1" applyBorder="1" applyAlignment="1">
      <alignment horizontal="right"/>
    </xf>
    <xf numFmtId="0" fontId="8" fillId="3" borderId="71" xfId="3" applyBorder="1"/>
    <xf numFmtId="0" fontId="90" fillId="0" borderId="72" xfId="0" applyFont="1" applyBorder="1" applyAlignment="1">
      <alignment horizontal="right"/>
    </xf>
    <xf numFmtId="0" fontId="8" fillId="3" borderId="70" xfId="3" applyNumberFormat="1" applyBorder="1" applyAlignment="1">
      <alignment horizontal="right"/>
    </xf>
    <xf numFmtId="0" fontId="104" fillId="0" borderId="0" xfId="0" applyFont="1" applyAlignment="1">
      <alignment horizontal="center"/>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05" fillId="3" borderId="6" xfId="3" applyFont="1" applyBorder="1"/>
    <xf numFmtId="0" fontId="24" fillId="8" borderId="0" xfId="0" applyFont="1" applyFill="1" applyAlignment="1">
      <alignment horizontal="center"/>
    </xf>
    <xf numFmtId="0" fontId="8" fillId="3" borderId="17" xfId="3" applyBorder="1"/>
    <xf numFmtId="0" fontId="8" fillId="3" borderId="78" xfId="3" applyBorder="1" applyAlignment="1"/>
    <xf numFmtId="0" fontId="41" fillId="3" borderId="17" xfId="3" applyFont="1" applyBorder="1"/>
    <xf numFmtId="0" fontId="0" fillId="0" borderId="79" xfId="0" applyBorder="1"/>
    <xf numFmtId="9" fontId="0" fillId="0" borderId="80" xfId="0" applyNumberFormat="1" applyBorder="1"/>
    <xf numFmtId="0" fontId="0" fillId="0" borderId="81" xfId="0" applyBorder="1"/>
    <xf numFmtId="0" fontId="102" fillId="3" borderId="82" xfId="3" applyFont="1" applyBorder="1"/>
    <xf numFmtId="9" fontId="2" fillId="2" borderId="83" xfId="1" applyNumberFormat="1" applyBorder="1"/>
    <xf numFmtId="0" fontId="8" fillId="3" borderId="70" xfId="3" applyBorder="1"/>
    <xf numFmtId="9" fontId="56" fillId="2" borderId="30" xfId="1" applyNumberFormat="1" applyFont="1" applyBorder="1"/>
    <xf numFmtId="9" fontId="56" fillId="0" borderId="4" xfId="6" applyFont="1" applyBorder="1"/>
    <xf numFmtId="0" fontId="55" fillId="0" borderId="0" xfId="0" applyFont="1" applyAlignment="1">
      <alignment horizontal="right"/>
    </xf>
    <xf numFmtId="0" fontId="54" fillId="0" borderId="28" xfId="0" applyFont="1" applyBorder="1" applyAlignment="1">
      <alignment horizontal="right"/>
    </xf>
    <xf numFmtId="0" fontId="54" fillId="3" borderId="70" xfId="3" applyNumberFormat="1" applyFont="1" applyBorder="1" applyAlignment="1">
      <alignment horizontal="right"/>
    </xf>
    <xf numFmtId="0" fontId="54" fillId="3" borderId="71" xfId="3" applyFont="1" applyBorder="1"/>
    <xf numFmtId="0" fontId="53" fillId="0" borderId="72" xfId="0" applyFont="1" applyBorder="1" applyAlignment="1">
      <alignment horizontal="right"/>
    </xf>
    <xf numFmtId="0" fontId="56" fillId="0" borderId="28" xfId="0" applyFont="1" applyBorder="1"/>
    <xf numFmtId="0" fontId="56" fillId="2" borderId="5" xfId="1" applyFont="1" applyBorder="1" applyAlignment="1">
      <alignment horizontal="right"/>
    </xf>
    <xf numFmtId="0" fontId="56" fillId="0" borderId="0" xfId="0" applyFont="1" applyAlignment="1">
      <alignment horizontal="right"/>
    </xf>
    <xf numFmtId="0" fontId="54" fillId="3" borderId="2" xfId="3" applyFont="1" applyAlignment="1"/>
    <xf numFmtId="0" fontId="54" fillId="3" borderId="10" xfId="3" applyFont="1" applyBorder="1"/>
    <xf numFmtId="0" fontId="54" fillId="0" borderId="0" xfId="0" applyFont="1" applyBorder="1" applyAlignment="1">
      <alignment horizontal="right"/>
    </xf>
    <xf numFmtId="0" fontId="54" fillId="0" borderId="66" xfId="0" applyFont="1" applyBorder="1" applyAlignment="1">
      <alignment horizontal="right"/>
    </xf>
    <xf numFmtId="0" fontId="56" fillId="2" borderId="25" xfId="1" applyFont="1" applyBorder="1"/>
    <xf numFmtId="0" fontId="56" fillId="2" borderId="25" xfId="1" applyNumberFormat="1" applyFont="1" applyBorder="1" applyAlignment="1">
      <alignment horizontal="right"/>
    </xf>
    <xf numFmtId="0" fontId="56" fillId="0" borderId="29" xfId="0" applyFont="1" applyBorder="1"/>
    <xf numFmtId="0" fontId="56" fillId="2" borderId="87" xfId="1" applyNumberFormat="1" applyFont="1" applyBorder="1" applyAlignment="1">
      <alignment horizontal="right"/>
    </xf>
    <xf numFmtId="0" fontId="56" fillId="0" borderId="88" xfId="0" applyFont="1" applyBorder="1"/>
    <xf numFmtId="0" fontId="0" fillId="0" borderId="0" xfId="0"/>
    <xf numFmtId="0" fontId="0" fillId="0" borderId="90" xfId="0" applyBorder="1"/>
    <xf numFmtId="0" fontId="0" fillId="0" borderId="90" xfId="0" applyBorder="1" applyAlignment="1">
      <alignment vertical="center"/>
    </xf>
    <xf numFmtId="0" fontId="0" fillId="0" borderId="89" xfId="0" applyBorder="1" applyAlignment="1">
      <alignment vertical="center"/>
    </xf>
    <xf numFmtId="0" fontId="87" fillId="0" borderId="91" xfId="0" applyFont="1" applyBorder="1" applyAlignment="1">
      <alignment horizontal="center" vertical="center" wrapText="1"/>
    </xf>
    <xf numFmtId="0" fontId="87" fillId="0" borderId="92" xfId="0" applyFont="1" applyBorder="1" applyAlignment="1">
      <alignment horizontal="center" vertical="center"/>
    </xf>
    <xf numFmtId="0" fontId="32" fillId="0" borderId="39" xfId="0" applyFont="1" applyBorder="1" applyAlignment="1">
      <alignment horizontal="center" vertical="center" wrapText="1"/>
    </xf>
    <xf numFmtId="0" fontId="2" fillId="2" borderId="30" xfId="1" applyNumberFormat="1" applyBorder="1"/>
    <xf numFmtId="0" fontId="24" fillId="8" borderId="0" xfId="0" applyFont="1" applyFill="1" applyAlignment="1">
      <alignment horizontal="left"/>
    </xf>
    <xf numFmtId="0" fontId="78" fillId="0" borderId="84" xfId="0" applyFont="1" applyBorder="1" applyAlignment="1">
      <alignment horizontal="right"/>
    </xf>
    <xf numFmtId="0" fontId="78" fillId="0" borderId="23" xfId="0" applyFont="1" applyBorder="1" applyAlignment="1">
      <alignment horizontal="right"/>
    </xf>
    <xf numFmtId="0" fontId="106" fillId="0" borderId="0" xfId="0" applyFont="1" applyAlignment="1">
      <alignment horizontal="right"/>
    </xf>
    <xf numFmtId="0" fontId="109" fillId="0" borderId="0" xfId="0" applyFont="1"/>
    <xf numFmtId="0" fontId="116" fillId="0" borderId="0" xfId="0" applyFont="1" applyAlignment="1">
      <alignment horizontal="center" vertical="center" wrapText="1"/>
    </xf>
    <xf numFmtId="0" fontId="118" fillId="0" borderId="0" xfId="0" applyFont="1" applyAlignment="1">
      <alignment horizontal="center" vertical="center" wrapText="1"/>
    </xf>
    <xf numFmtId="0" fontId="115" fillId="0" borderId="74" xfId="0" applyFont="1" applyBorder="1" applyAlignment="1">
      <alignment horizontal="center" vertical="center" wrapText="1"/>
    </xf>
    <xf numFmtId="0" fontId="122" fillId="0" borderId="0" xfId="0" applyFont="1"/>
    <xf numFmtId="0" fontId="122" fillId="17" borderId="0" xfId="0" applyFont="1" applyFill="1" applyBorder="1"/>
    <xf numFmtId="0" fontId="125" fillId="0" borderId="0" xfId="0" applyFont="1" applyAlignment="1">
      <alignment horizontal="right"/>
    </xf>
    <xf numFmtId="0" fontId="125" fillId="0" borderId="0" xfId="0" applyFont="1" applyAlignment="1">
      <alignment horizontal="center" vertical="center" wrapText="1"/>
    </xf>
    <xf numFmtId="0" fontId="125" fillId="0" borderId="74" xfId="0" applyFont="1" applyBorder="1" applyAlignment="1">
      <alignment horizontal="center" vertical="center" wrapText="1"/>
    </xf>
    <xf numFmtId="0" fontId="122" fillId="0" borderId="0" xfId="0" applyFont="1" applyAlignment="1">
      <alignment horizontal="center" vertical="center" wrapText="1"/>
    </xf>
    <xf numFmtId="0" fontId="125" fillId="3" borderId="6" xfId="3" applyFont="1" applyBorder="1"/>
    <xf numFmtId="0" fontId="125" fillId="3" borderId="2" xfId="3" applyNumberFormat="1" applyFont="1"/>
    <xf numFmtId="0" fontId="127" fillId="0" borderId="0" xfId="0" applyFont="1" applyAlignment="1">
      <alignment horizontal="right"/>
    </xf>
    <xf numFmtId="0" fontId="125" fillId="0" borderId="0" xfId="0" applyNumberFormat="1" applyFont="1" applyAlignment="1"/>
    <xf numFmtId="0" fontId="129" fillId="0" borderId="0" xfId="0" applyFont="1" applyAlignment="1">
      <alignment horizontal="center" vertical="center" wrapText="1"/>
    </xf>
    <xf numFmtId="0" fontId="118" fillId="0" borderId="0" xfId="0" applyFont="1"/>
    <xf numFmtId="0" fontId="132" fillId="6" borderId="6" xfId="3" applyNumberFormat="1" applyFont="1" applyFill="1" applyBorder="1"/>
    <xf numFmtId="0" fontId="136" fillId="0" borderId="0" xfId="0" applyFont="1" applyAlignment="1">
      <alignment wrapText="1"/>
    </xf>
    <xf numFmtId="0" fontId="2" fillId="17" borderId="1" xfId="1" applyFill="1"/>
    <xf numFmtId="0" fontId="2" fillId="17" borderId="1" xfId="1" applyFill="1" applyAlignment="1">
      <alignment horizontal="right"/>
    </xf>
    <xf numFmtId="0" fontId="137" fillId="0" borderId="0" xfId="0" applyFont="1" applyFill="1" applyBorder="1" applyAlignment="1">
      <alignment horizontal="left"/>
    </xf>
    <xf numFmtId="0" fontId="134" fillId="17" borderId="0" xfId="0" applyFont="1" applyFill="1" applyAlignment="1">
      <alignment horizontal="center" vertical="center" wrapText="1"/>
    </xf>
    <xf numFmtId="0" fontId="1" fillId="0" borderId="99" xfId="0" applyFont="1" applyBorder="1" applyAlignment="1">
      <alignment horizontal="right"/>
    </xf>
    <xf numFmtId="0" fontId="30" fillId="0" borderId="100" xfId="0" applyFont="1" applyBorder="1"/>
    <xf numFmtId="0" fontId="7" fillId="0" borderId="69" xfId="0" applyFont="1" applyBorder="1" applyAlignment="1">
      <alignment horizontal="right"/>
    </xf>
    <xf numFmtId="0" fontId="2" fillId="2" borderId="67" xfId="1" applyBorder="1"/>
    <xf numFmtId="0" fontId="7" fillId="0" borderId="65" xfId="0" applyFont="1" applyBorder="1" applyAlignment="1">
      <alignment horizontal="right"/>
    </xf>
    <xf numFmtId="0" fontId="30" fillId="0" borderId="68" xfId="0" applyFont="1" applyBorder="1"/>
    <xf numFmtId="0" fontId="0" fillId="0" borderId="65" xfId="0" applyBorder="1"/>
    <xf numFmtId="0" fontId="30" fillId="0" borderId="65" xfId="0" applyFont="1" applyBorder="1"/>
    <xf numFmtId="0" fontId="7" fillId="0" borderId="69" xfId="0" applyFont="1" applyBorder="1" applyAlignment="1">
      <alignment horizontal="right"/>
    </xf>
    <xf numFmtId="0" fontId="1" fillId="0" borderId="101" xfId="0" applyFont="1" applyBorder="1" applyAlignment="1">
      <alignment horizontal="right"/>
    </xf>
    <xf numFmtId="9" fontId="30" fillId="0" borderId="102" xfId="0" applyNumberFormat="1" applyFont="1" applyBorder="1"/>
    <xf numFmtId="0" fontId="7" fillId="0" borderId="103" xfId="0" applyFont="1" applyBorder="1"/>
    <xf numFmtId="0" fontId="141" fillId="0" borderId="85" xfId="0" applyFont="1" applyBorder="1" applyAlignment="1">
      <alignment horizontal="right"/>
    </xf>
    <xf numFmtId="0" fontId="141" fillId="0" borderId="86" xfId="0" applyFont="1" applyBorder="1" applyAlignment="1">
      <alignment horizontal="right"/>
    </xf>
    <xf numFmtId="0" fontId="54" fillId="3" borderId="52" xfId="3" applyFont="1" applyBorder="1"/>
    <xf numFmtId="0" fontId="54" fillId="3" borderId="42" xfId="3" applyFont="1" applyBorder="1" applyAlignment="1">
      <alignment horizontal="right"/>
    </xf>
    <xf numFmtId="0" fontId="87" fillId="0" borderId="0" xfId="0" applyFont="1" applyAlignment="1">
      <alignment horizontal="center" vertical="center"/>
    </xf>
    <xf numFmtId="0" fontId="144" fillId="0" borderId="0" xfId="0" applyFont="1" applyAlignment="1">
      <alignment horizontal="right"/>
    </xf>
    <xf numFmtId="0" fontId="145" fillId="0" borderId="0" xfId="0" applyFont="1"/>
    <xf numFmtId="0" fontId="91" fillId="0" borderId="0" xfId="0" applyFont="1"/>
    <xf numFmtId="0" fontId="91" fillId="0" borderId="0" xfId="0" applyFont="1"/>
    <xf numFmtId="0" fontId="91" fillId="0" borderId="0" xfId="0" applyFont="1"/>
    <xf numFmtId="0" fontId="91" fillId="0" borderId="0" xfId="0" applyFont="1"/>
    <xf numFmtId="0" fontId="91" fillId="0" borderId="0" xfId="0" applyFont="1"/>
    <xf numFmtId="0" fontId="0" fillId="0" borderId="0" xfId="0"/>
    <xf numFmtId="0" fontId="1" fillId="0" borderId="0" xfId="0" applyFont="1" applyAlignment="1">
      <alignment horizontal="right"/>
    </xf>
    <xf numFmtId="0" fontId="2" fillId="2" borderId="1" xfId="1"/>
    <xf numFmtId="0" fontId="6" fillId="0" borderId="0" xfId="0" applyFont="1" applyAlignment="1">
      <alignment horizontal="right"/>
    </xf>
    <xf numFmtId="0" fontId="6" fillId="0" borderId="0" xfId="0" applyFont="1"/>
    <xf numFmtId="0" fontId="0" fillId="0" borderId="0" xfId="0" applyFont="1"/>
    <xf numFmtId="0" fontId="11" fillId="0" borderId="0" xfId="0" applyFont="1" applyAlignment="1">
      <alignment horizontal="right"/>
    </xf>
    <xf numFmtId="0" fontId="0" fillId="0" borderId="0" xfId="0" applyAlignment="1">
      <alignment horizontal="right"/>
    </xf>
    <xf numFmtId="0" fontId="8" fillId="3" borderId="2" xfId="3"/>
    <xf numFmtId="0" fontId="0" fillId="0" borderId="0" xfId="0" applyAlignment="1">
      <alignment horizontal="center"/>
    </xf>
    <xf numFmtId="0" fontId="0" fillId="0" borderId="4" xfId="0" applyBorder="1"/>
    <xf numFmtId="0" fontId="8" fillId="3" borderId="6" xfId="3" applyBorder="1"/>
    <xf numFmtId="0" fontId="2" fillId="2" borderId="5" xfId="1" applyBorder="1"/>
    <xf numFmtId="0" fontId="0" fillId="0" borderId="0" xfId="0" applyBorder="1"/>
    <xf numFmtId="0" fontId="41" fillId="3" borderId="2" xfId="3" applyFont="1"/>
    <xf numFmtId="0" fontId="41" fillId="3" borderId="7" xfId="3" applyFont="1" applyBorder="1"/>
    <xf numFmtId="0" fontId="42" fillId="0" borderId="0" xfId="0" applyFont="1"/>
    <xf numFmtId="0" fontId="41" fillId="3" borderId="6" xfId="3" applyFont="1" applyBorder="1"/>
    <xf numFmtId="0" fontId="0" fillId="0" borderId="14" xfId="0" applyFont="1" applyBorder="1"/>
    <xf numFmtId="0" fontId="43" fillId="3" borderId="16" xfId="3" applyFont="1" applyBorder="1"/>
    <xf numFmtId="0" fontId="0" fillId="0" borderId="13" xfId="0" applyBorder="1"/>
    <xf numFmtId="0" fontId="43" fillId="3" borderId="19" xfId="3" applyFont="1" applyBorder="1"/>
    <xf numFmtId="0" fontId="0" fillId="0" borderId="16" xfId="0" applyFont="1" applyBorder="1"/>
    <xf numFmtId="0" fontId="0" fillId="0" borderId="20" xfId="0" applyBorder="1"/>
    <xf numFmtId="9" fontId="0" fillId="0" borderId="21" xfId="0" applyNumberFormat="1" applyBorder="1"/>
    <xf numFmtId="0" fontId="13" fillId="0" borderId="0" xfId="0" applyFont="1" applyAlignment="1">
      <alignment horizontal="right"/>
    </xf>
    <xf numFmtId="0" fontId="6" fillId="0" borderId="0" xfId="0" applyFont="1" applyAlignment="1"/>
    <xf numFmtId="0" fontId="41" fillId="3" borderId="16" xfId="3" applyFont="1" applyBorder="1"/>
    <xf numFmtId="0" fontId="45" fillId="2" borderId="5" xfId="1" applyFont="1" applyBorder="1"/>
    <xf numFmtId="0" fontId="41" fillId="3" borderId="19" xfId="3" applyFont="1" applyBorder="1"/>
    <xf numFmtId="0" fontId="42" fillId="0" borderId="22" xfId="0" applyFont="1" applyBorder="1" applyAlignment="1">
      <alignment horizontal="right"/>
    </xf>
    <xf numFmtId="0" fontId="46" fillId="0" borderId="0" xfId="0" applyFont="1" applyAlignment="1">
      <alignment horizontal="right"/>
    </xf>
    <xf numFmtId="0" fontId="47" fillId="0" borderId="0" xfId="0" applyFont="1" applyAlignment="1">
      <alignment horizontal="right"/>
    </xf>
    <xf numFmtId="0" fontId="58" fillId="0" borderId="0" xfId="0" applyFont="1" applyAlignment="1">
      <alignment horizontal="right"/>
    </xf>
    <xf numFmtId="0" fontId="47" fillId="0" borderId="23" xfId="0" applyFont="1" applyBorder="1" applyAlignment="1">
      <alignment horizontal="right"/>
    </xf>
    <xf numFmtId="0" fontId="2" fillId="2" borderId="31" xfId="1" applyBorder="1"/>
    <xf numFmtId="0" fontId="0" fillId="0" borderId="32" xfId="0" applyBorder="1"/>
    <xf numFmtId="0" fontId="2" fillId="2" borderId="1" xfId="1" applyAlignment="1">
      <alignment horizontal="left"/>
    </xf>
    <xf numFmtId="0" fontId="2" fillId="19" borderId="1" xfId="1" applyFill="1" applyAlignment="1">
      <alignment horizontal="right"/>
    </xf>
    <xf numFmtId="0" fontId="2" fillId="19" borderId="1" xfId="1" applyFill="1"/>
    <xf numFmtId="0" fontId="86" fillId="0" borderId="0" xfId="0" applyFont="1" applyAlignment="1">
      <alignment horizontal="right"/>
    </xf>
    <xf numFmtId="0" fontId="0" fillId="0" borderId="32" xfId="0" applyFont="1" applyBorder="1"/>
    <xf numFmtId="0" fontId="70" fillId="0" borderId="0" xfId="0" applyFont="1" applyAlignment="1">
      <alignment horizontal="center"/>
    </xf>
    <xf numFmtId="9" fontId="2" fillId="2" borderId="18" xfId="1" applyNumberFormat="1" applyBorder="1"/>
    <xf numFmtId="9" fontId="0" fillId="0" borderId="60" xfId="0" applyNumberFormat="1" applyBorder="1"/>
    <xf numFmtId="0" fontId="0" fillId="0" borderId="61" xfId="0" applyBorder="1"/>
    <xf numFmtId="0" fontId="43" fillId="3" borderId="17" xfId="3" applyFont="1" applyBorder="1"/>
    <xf numFmtId="0" fontId="0" fillId="0" borderId="63" xfId="0" applyBorder="1"/>
    <xf numFmtId="0" fontId="8" fillId="3" borderId="7" xfId="3" applyBorder="1"/>
    <xf numFmtId="0" fontId="42" fillId="3" borderId="16" xfId="3" applyFont="1" applyBorder="1"/>
    <xf numFmtId="0" fontId="0" fillId="0" borderId="28" xfId="0" applyBorder="1"/>
    <xf numFmtId="0" fontId="90" fillId="0" borderId="0" xfId="0" applyFont="1" applyBorder="1" applyAlignment="1">
      <alignment horizontal="center"/>
    </xf>
    <xf numFmtId="0" fontId="1" fillId="0" borderId="65" xfId="0" applyFont="1" applyBorder="1" applyAlignment="1">
      <alignment horizontal="right"/>
    </xf>
    <xf numFmtId="0" fontId="86" fillId="3" borderId="15" xfId="3" applyFont="1" applyBorder="1"/>
    <xf numFmtId="0" fontId="102" fillId="3" borderId="62" xfId="3" applyFont="1" applyBorder="1"/>
    <xf numFmtId="0" fontId="102" fillId="3" borderId="16" xfId="3" applyFont="1" applyBorder="1"/>
    <xf numFmtId="0" fontId="103" fillId="0" borderId="0" xfId="0" applyFont="1" applyAlignment="1">
      <alignment horizontal="right"/>
    </xf>
    <xf numFmtId="0" fontId="104" fillId="0" borderId="0" xfId="0" applyFont="1"/>
    <xf numFmtId="0" fontId="105" fillId="0" borderId="0" xfId="0" applyFont="1" applyAlignment="1">
      <alignment horizontal="right"/>
    </xf>
    <xf numFmtId="0" fontId="105" fillId="3" borderId="2" xfId="3" applyFont="1"/>
    <xf numFmtId="0" fontId="105" fillId="3" borderId="7" xfId="3" applyFont="1" applyBorder="1"/>
    <xf numFmtId="0" fontId="1" fillId="0" borderId="0" xfId="0" applyFont="1"/>
    <xf numFmtId="0" fontId="6" fillId="0" borderId="65" xfId="0" applyFont="1" applyBorder="1" applyAlignment="1">
      <alignment horizontal="center"/>
    </xf>
    <xf numFmtId="0" fontId="2" fillId="2" borderId="67" xfId="1" applyFont="1" applyBorder="1"/>
    <xf numFmtId="9" fontId="2" fillId="2" borderId="30" xfId="1" applyNumberFormat="1" applyFont="1" applyBorder="1"/>
    <xf numFmtId="0" fontId="1" fillId="0" borderId="28" xfId="0" applyFont="1" applyBorder="1" applyAlignment="1">
      <alignment horizontal="right"/>
    </xf>
    <xf numFmtId="0" fontId="8" fillId="3" borderId="70" xfId="3" applyNumberFormat="1" applyFont="1" applyBorder="1" applyAlignment="1">
      <alignment horizontal="right"/>
    </xf>
    <xf numFmtId="0" fontId="90" fillId="0" borderId="72" xfId="0" applyFont="1" applyBorder="1" applyAlignment="1">
      <alignment horizontal="right"/>
    </xf>
    <xf numFmtId="0" fontId="6" fillId="0" borderId="4" xfId="0" applyFont="1" applyBorder="1" applyAlignment="1">
      <alignment horizontal="center"/>
    </xf>
    <xf numFmtId="0" fontId="8" fillId="3" borderId="2" xfId="3" applyFont="1"/>
    <xf numFmtId="0" fontId="52" fillId="3" borderId="7" xfId="3" applyFont="1" applyBorder="1"/>
    <xf numFmtId="0" fontId="104" fillId="0" borderId="0" xfId="0" applyFont="1" applyAlignment="1">
      <alignment horizontal="center"/>
    </xf>
    <xf numFmtId="0" fontId="105" fillId="3" borderId="6" xfId="3" applyFont="1" applyBorder="1"/>
    <xf numFmtId="0" fontId="30" fillId="0" borderId="4" xfId="0" applyFont="1" applyBorder="1"/>
    <xf numFmtId="0" fontId="41" fillId="0" borderId="0" xfId="0" applyFont="1" applyAlignment="1">
      <alignment horizontal="right"/>
    </xf>
    <xf numFmtId="0" fontId="58" fillId="0" borderId="0" xfId="0" applyFont="1" applyFill="1" applyBorder="1" applyAlignment="1">
      <alignment horizontal="right"/>
    </xf>
    <xf numFmtId="0" fontId="41" fillId="2" borderId="5" xfId="1" applyFont="1" applyBorder="1"/>
    <xf numFmtId="0" fontId="0" fillId="0" borderId="0" xfId="0" applyFont="1" applyAlignment="1">
      <alignment horizontal="center"/>
    </xf>
    <xf numFmtId="0" fontId="91" fillId="0" borderId="0" xfId="0" applyFont="1"/>
    <xf numFmtId="0" fontId="42" fillId="3" borderId="7" xfId="3" applyFont="1" applyBorder="1"/>
    <xf numFmtId="0" fontId="42" fillId="3" borderId="19" xfId="3" applyFont="1" applyBorder="1"/>
    <xf numFmtId="0" fontId="0" fillId="0" borderId="111" xfId="0" applyFont="1" applyBorder="1"/>
    <xf numFmtId="0" fontId="96" fillId="0" borderId="94" xfId="0" applyFont="1" applyBorder="1" applyAlignment="1">
      <alignment horizontal="right" vertical="center"/>
    </xf>
    <xf numFmtId="0" fontId="147" fillId="2" borderId="1" xfId="1" applyFont="1" applyAlignment="1">
      <alignment horizontal="left"/>
    </xf>
    <xf numFmtId="0" fontId="37" fillId="0" borderId="29" xfId="0" applyFont="1" applyBorder="1"/>
    <xf numFmtId="0" fontId="2" fillId="2" borderId="117" xfId="1" applyNumberFormat="1" applyBorder="1" applyAlignment="1">
      <alignment vertical="top"/>
    </xf>
    <xf numFmtId="0" fontId="125" fillId="6" borderId="6" xfId="3" applyFont="1" applyFill="1" applyBorder="1"/>
    <xf numFmtId="0" fontId="127" fillId="6" borderId="105" xfId="3" applyFont="1" applyFill="1" applyBorder="1"/>
    <xf numFmtId="0" fontId="125" fillId="6" borderId="15" xfId="3" applyFont="1" applyFill="1" applyBorder="1"/>
    <xf numFmtId="0" fontId="127" fillId="6" borderId="120" xfId="3" applyFont="1" applyFill="1" applyBorder="1"/>
    <xf numFmtId="0" fontId="125" fillId="0" borderId="112" xfId="0" applyFont="1" applyBorder="1" applyAlignment="1">
      <alignment horizontal="center" vertical="center" wrapText="1"/>
    </xf>
    <xf numFmtId="0" fontId="125" fillId="0" borderId="0" xfId="0" applyNumberFormat="1" applyFont="1" applyBorder="1" applyAlignment="1"/>
    <xf numFmtId="0" fontId="8" fillId="6" borderId="15" xfId="3" applyNumberFormat="1" applyFill="1" applyBorder="1"/>
    <xf numFmtId="0" fontId="132" fillId="6" borderId="121" xfId="3" applyNumberFormat="1" applyFont="1" applyFill="1" applyBorder="1"/>
    <xf numFmtId="0" fontId="131" fillId="6" borderId="121" xfId="3" applyNumberFormat="1" applyFont="1" applyFill="1" applyBorder="1"/>
    <xf numFmtId="0" fontId="125" fillId="6" borderId="121" xfId="3" applyNumberFormat="1" applyFont="1" applyFill="1" applyBorder="1"/>
    <xf numFmtId="0" fontId="109" fillId="2" borderId="5" xfId="1" applyFont="1" applyBorder="1"/>
    <xf numFmtId="0" fontId="109" fillId="2" borderId="18" xfId="1" applyFont="1" applyBorder="1"/>
    <xf numFmtId="0" fontId="2" fillId="2" borderId="18" xfId="1" applyBorder="1"/>
    <xf numFmtId="0" fontId="118" fillId="2" borderId="5" xfId="1" applyFont="1" applyBorder="1"/>
    <xf numFmtId="0" fontId="118" fillId="2" borderId="18" xfId="1" applyFont="1" applyBorder="1"/>
    <xf numFmtId="0" fontId="122" fillId="2" borderId="5" xfId="1" applyFont="1" applyBorder="1"/>
    <xf numFmtId="0" fontId="122" fillId="2" borderId="18" xfId="1" applyFont="1" applyBorder="1"/>
    <xf numFmtId="0" fontId="125" fillId="3" borderId="121" xfId="3" applyFont="1" applyBorder="1"/>
    <xf numFmtId="0" fontId="125" fillId="6" borderId="15" xfId="3" applyNumberFormat="1" applyFont="1" applyFill="1" applyBorder="1"/>
    <xf numFmtId="0" fontId="43" fillId="0" borderId="0" xfId="3" applyFont="1" applyFill="1" applyBorder="1"/>
    <xf numFmtId="0" fontId="148" fillId="0" borderId="0" xfId="0" applyFont="1"/>
    <xf numFmtId="0" fontId="124" fillId="0" borderId="116" xfId="1" applyNumberFormat="1" applyFont="1" applyFill="1" applyBorder="1" applyAlignment="1">
      <alignment horizontal="right" vertical="top" wrapText="1"/>
    </xf>
    <xf numFmtId="0" fontId="124" fillId="0" borderId="119" xfId="0" applyFont="1" applyBorder="1" applyAlignment="1">
      <alignment vertical="top" wrapText="1"/>
    </xf>
    <xf numFmtId="0" fontId="149" fillId="0" borderId="89" xfId="0" applyFont="1" applyBorder="1" applyAlignment="1">
      <alignment vertical="top" wrapText="1"/>
    </xf>
    <xf numFmtId="0" fontId="150" fillId="0" borderId="0" xfId="3" applyFont="1" applyFill="1" applyBorder="1"/>
    <xf numFmtId="0" fontId="94" fillId="0" borderId="93" xfId="0" applyFont="1" applyBorder="1" applyAlignment="1">
      <alignment horizontal="center" vertical="center"/>
    </xf>
    <xf numFmtId="0" fontId="151" fillId="0" borderId="122" xfId="0" applyFont="1" applyBorder="1" applyAlignment="1">
      <alignment horizontal="center"/>
    </xf>
    <xf numFmtId="0" fontId="98" fillId="0" borderId="93" xfId="0" quotePrefix="1" applyFont="1" applyBorder="1" applyAlignment="1">
      <alignment horizontal="center" vertical="center" wrapText="1"/>
    </xf>
    <xf numFmtId="0" fontId="152" fillId="0" borderId="93" xfId="0" applyFont="1" applyBorder="1" applyAlignment="1">
      <alignment horizontal="center" vertical="center" wrapText="1"/>
    </xf>
    <xf numFmtId="0" fontId="96" fillId="0" borderId="95" xfId="0" applyFont="1" applyBorder="1" applyAlignment="1">
      <alignment horizontal="right" vertical="top"/>
    </xf>
    <xf numFmtId="0" fontId="147" fillId="2" borderId="1" xfId="1" applyFont="1" applyAlignment="1">
      <alignment horizontal="left" vertical="top"/>
    </xf>
    <xf numFmtId="0" fontId="37" fillId="0" borderId="0" xfId="0" applyFont="1" applyAlignment="1">
      <alignment vertical="top"/>
    </xf>
    <xf numFmtId="0" fontId="0" fillId="0" borderId="4" xfId="0" applyBorder="1" applyAlignment="1">
      <alignment vertical="center"/>
    </xf>
    <xf numFmtId="0" fontId="100" fillId="0" borderId="123" xfId="0" applyFont="1" applyBorder="1" applyAlignment="1">
      <alignment vertical="center"/>
    </xf>
    <xf numFmtId="0" fontId="0" fillId="0" borderId="124" xfId="0" applyBorder="1"/>
    <xf numFmtId="0" fontId="0" fillId="0" borderId="112" xfId="0" applyBorder="1" applyAlignment="1">
      <alignment vertical="top"/>
    </xf>
    <xf numFmtId="0" fontId="2" fillId="2" borderId="125" xfId="1" applyNumberFormat="1" applyBorder="1" applyAlignment="1">
      <alignment vertical="top"/>
    </xf>
    <xf numFmtId="0" fontId="151" fillId="0" borderId="0" xfId="0" applyFont="1" applyAlignment="1">
      <alignment horizontal="center"/>
    </xf>
    <xf numFmtId="0" fontId="156" fillId="0" borderId="124" xfId="0" applyFont="1" applyBorder="1" applyAlignment="1">
      <alignment horizontal="right"/>
    </xf>
    <xf numFmtId="9" fontId="2" fillId="2" borderId="1" xfId="1" applyNumberFormat="1" applyAlignment="1">
      <alignment horizontal="left"/>
    </xf>
    <xf numFmtId="0" fontId="6" fillId="0" borderId="0" xfId="0" applyFont="1" applyBorder="1"/>
    <xf numFmtId="0" fontId="51" fillId="0" borderId="0" xfId="0" applyFont="1" applyAlignment="1">
      <alignment wrapText="1"/>
    </xf>
    <xf numFmtId="0" fontId="76" fillId="0" borderId="33" xfId="0" applyFont="1" applyBorder="1"/>
    <xf numFmtId="0" fontId="78" fillId="0" borderId="85" xfId="0" applyFont="1" applyBorder="1" applyAlignment="1">
      <alignment horizontal="right"/>
    </xf>
    <xf numFmtId="9" fontId="2" fillId="13" borderId="1" xfId="1" applyNumberFormat="1" applyFill="1"/>
    <xf numFmtId="0" fontId="2" fillId="13" borderId="1" xfId="1" applyFill="1" applyAlignment="1">
      <alignment horizontal="right"/>
    </xf>
    <xf numFmtId="0" fontId="2" fillId="13" borderId="25" xfId="1" applyNumberFormat="1" applyFill="1" applyBorder="1"/>
    <xf numFmtId="0" fontId="76" fillId="0" borderId="0" xfId="0" applyFont="1" applyBorder="1"/>
    <xf numFmtId="0" fontId="0" fillId="0" borderId="0" xfId="0"/>
    <xf numFmtId="0" fontId="132" fillId="0" borderId="0" xfId="0" applyFont="1" applyAlignment="1">
      <alignment horizontal="center" vertical="center" wrapText="1"/>
    </xf>
    <xf numFmtId="9" fontId="122" fillId="17" borderId="0" xfId="0" applyNumberFormat="1" applyFont="1" applyFill="1" applyBorder="1" applyAlignment="1"/>
    <xf numFmtId="164" fontId="8" fillId="6" borderId="15" xfId="3" applyNumberFormat="1" applyFill="1" applyBorder="1"/>
    <xf numFmtId="0" fontId="131" fillId="3" borderId="2" xfId="3" applyNumberFormat="1" applyFont="1"/>
    <xf numFmtId="0" fontId="131" fillId="6" borderId="15" xfId="3" applyNumberFormat="1" applyFont="1" applyFill="1" applyBorder="1"/>
    <xf numFmtId="9" fontId="144" fillId="2" borderId="53" xfId="6" applyFont="1" applyFill="1" applyBorder="1"/>
    <xf numFmtId="0" fontId="8" fillId="6" borderId="6" xfId="3" applyNumberFormat="1" applyFill="1" applyBorder="1"/>
    <xf numFmtId="0" fontId="131" fillId="3" borderId="6" xfId="3" applyNumberFormat="1" applyFont="1" applyBorder="1"/>
    <xf numFmtId="0" fontId="131" fillId="6" borderId="6" xfId="3" applyNumberFormat="1" applyFont="1" applyFill="1" applyBorder="1"/>
    <xf numFmtId="0" fontId="8" fillId="3" borderId="6" xfId="3" applyNumberFormat="1" applyBorder="1"/>
    <xf numFmtId="0" fontId="5" fillId="0" borderId="0" xfId="0" applyNumberFormat="1" applyFont="1"/>
    <xf numFmtId="0" fontId="128" fillId="0" borderId="0" xfId="0" applyNumberFormat="1" applyFont="1" applyAlignment="1">
      <alignment horizontal="right"/>
    </xf>
    <xf numFmtId="0" fontId="128" fillId="6" borderId="105" xfId="3" applyNumberFormat="1" applyFont="1" applyFill="1" applyBorder="1"/>
    <xf numFmtId="164" fontId="131" fillId="6" borderId="15" xfId="3" applyNumberFormat="1" applyFont="1" applyFill="1" applyBorder="1"/>
    <xf numFmtId="164" fontId="129" fillId="6" borderId="15" xfId="3" applyNumberFormat="1" applyFont="1" applyFill="1" applyBorder="1"/>
    <xf numFmtId="164" fontId="128" fillId="6" borderId="120" xfId="3" applyNumberFormat="1" applyFont="1" applyFill="1" applyBorder="1"/>
    <xf numFmtId="0" fontId="125" fillId="0" borderId="0" xfId="0" applyFont="1" applyAlignment="1">
      <alignment horizontal="right"/>
    </xf>
    <xf numFmtId="166" fontId="122" fillId="2" borderId="75" xfId="1" applyNumberFormat="1" applyFont="1" applyBorder="1" applyAlignment="1">
      <alignment horizontal="center"/>
    </xf>
    <xf numFmtId="166" fontId="122" fillId="2" borderId="98" xfId="1" applyNumberFormat="1" applyFont="1" applyBorder="1" applyAlignment="1">
      <alignment horizontal="center"/>
    </xf>
    <xf numFmtId="166" fontId="114" fillId="2" borderId="75" xfId="1" applyNumberFormat="1" applyFont="1" applyBorder="1" applyAlignment="1">
      <alignment horizontal="center"/>
    </xf>
    <xf numFmtId="166" fontId="2" fillId="2" borderId="75" xfId="1" applyNumberFormat="1" applyBorder="1" applyAlignment="1">
      <alignment horizontal="center"/>
    </xf>
    <xf numFmtId="0" fontId="0" fillId="0" borderId="0" xfId="0"/>
    <xf numFmtId="0" fontId="5" fillId="13" borderId="0" xfId="0" applyFont="1" applyFill="1" applyAlignment="1">
      <alignment horizontal="right"/>
    </xf>
    <xf numFmtId="0" fontId="122" fillId="0" borderId="0" xfId="0" applyFont="1" applyAlignment="1">
      <alignment horizontal="right"/>
    </xf>
    <xf numFmtId="0" fontId="127" fillId="0" borderId="0" xfId="0" applyFont="1" applyAlignment="1">
      <alignment horizontal="center" vertical="center" wrapText="1"/>
    </xf>
    <xf numFmtId="166" fontId="2" fillId="13" borderId="1" xfId="1" applyNumberFormat="1" applyFill="1" applyAlignment="1">
      <alignment horizontal="center"/>
    </xf>
    <xf numFmtId="0" fontId="52" fillId="0" borderId="0" xfId="0" applyFont="1" applyAlignment="1">
      <alignment horizontal="center" vertical="center" wrapText="1"/>
    </xf>
    <xf numFmtId="0" fontId="52" fillId="0" borderId="76" xfId="0" applyFont="1" applyBorder="1" applyAlignment="1">
      <alignment horizontal="center" vertical="center" wrapText="1"/>
    </xf>
    <xf numFmtId="166" fontId="2" fillId="13" borderId="5" xfId="1" applyNumberFormat="1" applyFill="1" applyBorder="1" applyAlignment="1">
      <alignment horizontal="center"/>
    </xf>
    <xf numFmtId="166" fontId="122" fillId="13" borderId="49" xfId="1" applyNumberFormat="1" applyFont="1" applyFill="1" applyBorder="1" applyAlignment="1">
      <alignment horizontal="center"/>
    </xf>
    <xf numFmtId="0" fontId="122" fillId="3" borderId="17" xfId="3" applyFont="1" applyBorder="1"/>
    <xf numFmtId="0" fontId="122" fillId="0" borderId="0" xfId="0" applyFont="1" applyBorder="1"/>
    <xf numFmtId="0" fontId="166" fillId="0" borderId="0" xfId="0" applyFont="1" applyAlignment="1">
      <alignment wrapText="1"/>
    </xf>
    <xf numFmtId="0" fontId="169" fillId="3" borderId="108" xfId="3" applyFont="1" applyBorder="1" applyAlignment="1">
      <alignment horizontal="right"/>
    </xf>
    <xf numFmtId="0" fontId="169" fillId="3" borderId="109" xfId="3" applyFont="1" applyBorder="1" applyAlignment="1">
      <alignment horizontal="right"/>
    </xf>
    <xf numFmtId="0" fontId="11" fillId="3" borderId="7" xfId="3" applyFont="1" applyBorder="1"/>
    <xf numFmtId="0" fontId="169" fillId="3" borderId="16" xfId="3" applyFont="1" applyBorder="1"/>
    <xf numFmtId="0" fontId="169" fillId="2" borderId="1" xfId="1" applyFont="1"/>
    <xf numFmtId="0" fontId="169" fillId="0" borderId="0" xfId="0" applyFont="1"/>
    <xf numFmtId="0" fontId="11" fillId="3" borderId="2" xfId="3" applyFont="1"/>
    <xf numFmtId="0" fontId="169" fillId="3" borderId="104" xfId="3" applyFont="1" applyBorder="1"/>
    <xf numFmtId="2" fontId="122" fillId="0" borderId="0" xfId="0" applyNumberFormat="1" applyFont="1"/>
    <xf numFmtId="2" fontId="0" fillId="0" borderId="0" xfId="0" applyNumberFormat="1"/>
    <xf numFmtId="0" fontId="0" fillId="0" borderId="0" xfId="0"/>
    <xf numFmtId="0" fontId="125" fillId="0" borderId="0" xfId="0" applyFont="1" applyAlignment="1">
      <alignment horizontal="center" vertical="center" wrapText="1"/>
    </xf>
    <xf numFmtId="0" fontId="0" fillId="0" borderId="0" xfId="0"/>
    <xf numFmtId="0" fontId="169" fillId="3" borderId="13" xfId="3" applyFont="1" applyBorder="1" applyAlignment="1">
      <alignment horizontal="right"/>
    </xf>
    <xf numFmtId="0" fontId="11" fillId="3" borderId="106" xfId="3" applyFont="1" applyBorder="1" applyAlignment="1">
      <alignment horizontal="right"/>
    </xf>
    <xf numFmtId="0" fontId="169" fillId="3" borderId="45" xfId="3" applyFont="1" applyBorder="1" applyAlignment="1">
      <alignment horizontal="right"/>
    </xf>
    <xf numFmtId="0" fontId="169" fillId="3" borderId="14" xfId="3" applyFont="1" applyBorder="1" applyAlignment="1">
      <alignment horizontal="right"/>
    </xf>
    <xf numFmtId="0" fontId="169" fillId="3" borderId="106" xfId="3" applyFont="1" applyBorder="1" applyAlignment="1">
      <alignment horizontal="right"/>
    </xf>
    <xf numFmtId="0" fontId="169" fillId="3" borderId="41" xfId="3" applyFont="1" applyBorder="1"/>
    <xf numFmtId="0" fontId="11" fillId="3" borderId="129" xfId="3" applyFont="1" applyBorder="1" applyAlignment="1">
      <alignment horizontal="right"/>
    </xf>
    <xf numFmtId="0" fontId="125" fillId="0" borderId="29" xfId="0" applyFont="1" applyBorder="1" applyAlignment="1"/>
    <xf numFmtId="0" fontId="122" fillId="2" borderId="49" xfId="1" applyFont="1" applyBorder="1"/>
    <xf numFmtId="0" fontId="122" fillId="2" borderId="18" xfId="1" applyNumberFormat="1" applyFont="1" applyBorder="1" applyAlignment="1">
      <alignment horizontal="right"/>
    </xf>
    <xf numFmtId="0" fontId="122" fillId="2" borderId="5" xfId="1" applyFont="1" applyBorder="1" applyAlignment="1">
      <alignment horizontal="left"/>
    </xf>
    <xf numFmtId="0" fontId="122" fillId="3" borderId="6" xfId="3" applyFont="1" applyBorder="1"/>
    <xf numFmtId="9" fontId="122" fillId="2" borderId="1" xfId="1" applyNumberFormat="1" applyFont="1" applyAlignment="1">
      <alignment horizontal="left"/>
    </xf>
    <xf numFmtId="9" fontId="122" fillId="2" borderId="1" xfId="1" applyNumberFormat="1" applyFont="1"/>
    <xf numFmtId="0" fontId="91" fillId="0" borderId="0" xfId="0" applyFont="1" applyAlignment="1">
      <alignment horizontal="left" vertical="center" wrapText="1"/>
    </xf>
    <xf numFmtId="9" fontId="122" fillId="2" borderId="53" xfId="6" applyFont="1" applyFill="1" applyBorder="1" applyAlignment="1">
      <alignment horizontal="left"/>
    </xf>
    <xf numFmtId="9" fontId="122" fillId="17" borderId="135" xfId="0" applyNumberFormat="1" applyFont="1" applyFill="1" applyBorder="1" applyAlignment="1"/>
    <xf numFmtId="0" fontId="125" fillId="6" borderId="17" xfId="3" applyNumberFormat="1" applyFont="1" applyFill="1" applyBorder="1"/>
    <xf numFmtId="0" fontId="125" fillId="3" borderId="42" xfId="3" applyNumberFormat="1" applyFont="1" applyBorder="1"/>
    <xf numFmtId="0" fontId="125" fillId="0" borderId="48" xfId="0" applyNumberFormat="1" applyFont="1" applyBorder="1" applyAlignment="1">
      <alignment horizontal="right"/>
    </xf>
    <xf numFmtId="0" fontId="125" fillId="0" borderId="136" xfId="0" applyNumberFormat="1" applyFont="1" applyBorder="1"/>
    <xf numFmtId="0" fontId="125" fillId="0" borderId="137" xfId="0" applyFont="1" applyBorder="1"/>
    <xf numFmtId="0" fontId="169" fillId="3" borderId="17" xfId="3" applyFont="1" applyBorder="1"/>
    <xf numFmtId="0" fontId="169" fillId="3" borderId="19" xfId="3" applyFont="1" applyBorder="1"/>
    <xf numFmtId="0" fontId="11" fillId="3" borderId="6" xfId="3" applyFont="1" applyBorder="1"/>
    <xf numFmtId="0" fontId="13" fillId="0" borderId="0" xfId="0" applyFont="1" applyBorder="1" applyAlignment="1">
      <alignment horizontal="center"/>
    </xf>
    <xf numFmtId="0" fontId="168" fillId="0" borderId="0" xfId="0" applyFont="1" applyAlignment="1"/>
    <xf numFmtId="0" fontId="175" fillId="3" borderId="19" xfId="3" applyFont="1" applyBorder="1"/>
    <xf numFmtId="0" fontId="0" fillId="0" borderId="0" xfId="0" applyFont="1" applyAlignment="1">
      <alignment horizontal="right"/>
    </xf>
    <xf numFmtId="0" fontId="2" fillId="19" borderId="1" xfId="1" applyFont="1" applyFill="1"/>
    <xf numFmtId="0" fontId="2" fillId="19" borderId="1" xfId="1" applyFont="1" applyFill="1" applyAlignment="1">
      <alignment horizontal="right"/>
    </xf>
    <xf numFmtId="0" fontId="2" fillId="2" borderId="1" xfId="1" applyFont="1" applyAlignment="1">
      <alignment horizontal="left"/>
    </xf>
    <xf numFmtId="0" fontId="176" fillId="0" borderId="0" xfId="0" applyFont="1" applyAlignment="1">
      <alignment horizontal="right"/>
    </xf>
    <xf numFmtId="0" fontId="176" fillId="3" borderId="7" xfId="3" applyFont="1" applyBorder="1"/>
    <xf numFmtId="0" fontId="40" fillId="3" borderId="16" xfId="3" applyFont="1" applyBorder="1"/>
    <xf numFmtId="0" fontId="40" fillId="2" borderId="1" xfId="1" applyFont="1"/>
    <xf numFmtId="0" fontId="178" fillId="3" borderId="7" xfId="3" applyFont="1" applyBorder="1"/>
    <xf numFmtId="0" fontId="169" fillId="3" borderId="41" xfId="3" applyFont="1" applyBorder="1" applyAlignment="1">
      <alignment horizontal="right"/>
    </xf>
    <xf numFmtId="0" fontId="46" fillId="3" borderId="106" xfId="3" applyFont="1" applyBorder="1" applyAlignment="1">
      <alignment horizontal="right"/>
    </xf>
    <xf numFmtId="0" fontId="185" fillId="3" borderId="129" xfId="3" applyFont="1" applyBorder="1" applyAlignment="1">
      <alignment horizontal="right"/>
    </xf>
    <xf numFmtId="0" fontId="2" fillId="22" borderId="25" xfId="1" applyFill="1" applyBorder="1"/>
    <xf numFmtId="0" fontId="151" fillId="0" borderId="122" xfId="0" applyFont="1" applyBorder="1" applyAlignment="1">
      <alignment horizontal="center"/>
    </xf>
    <xf numFmtId="0" fontId="125" fillId="0" borderId="0" xfId="0" applyFont="1" applyAlignment="1">
      <alignment horizontal="center" vertical="center" wrapText="1"/>
    </xf>
    <xf numFmtId="0" fontId="0" fillId="0" borderId="0" xfId="0"/>
    <xf numFmtId="0" fontId="122" fillId="0" borderId="0" xfId="0" applyFont="1"/>
    <xf numFmtId="166" fontId="2" fillId="13" borderId="5" xfId="1" applyNumberFormat="1" applyFill="1" applyBorder="1" applyAlignment="1">
      <alignment horizontal="center"/>
    </xf>
    <xf numFmtId="0" fontId="125" fillId="0" borderId="0" xfId="0" applyFont="1" applyAlignment="1">
      <alignment horizontal="right"/>
    </xf>
    <xf numFmtId="0" fontId="0" fillId="0" borderId="0" xfId="0"/>
    <xf numFmtId="0" fontId="140" fillId="23" borderId="0" xfId="0" applyFont="1" applyFill="1" applyBorder="1" applyAlignment="1"/>
    <xf numFmtId="0" fontId="149" fillId="2" borderId="126" xfId="1" applyFont="1" applyBorder="1" applyAlignment="1">
      <alignment vertical="top"/>
    </xf>
    <xf numFmtId="167" fontId="92" fillId="2" borderId="1" xfId="1" applyNumberFormat="1" applyFont="1"/>
    <xf numFmtId="2" fontId="8" fillId="3" borderId="2" xfId="3" applyNumberFormat="1"/>
    <xf numFmtId="11" fontId="2" fillId="22" borderId="1" xfId="1" applyNumberFormat="1" applyFill="1"/>
    <xf numFmtId="0" fontId="8" fillId="3" borderId="138" xfId="3" applyBorder="1"/>
    <xf numFmtId="0" fontId="188" fillId="23" borderId="0" xfId="0" applyFont="1" applyFill="1" applyBorder="1" applyAlignment="1">
      <alignment wrapText="1"/>
    </xf>
    <xf numFmtId="168" fontId="54" fillId="3" borderId="2" xfId="3" applyNumberFormat="1" applyFont="1"/>
    <xf numFmtId="168" fontId="56" fillId="3" borderId="7" xfId="3" applyNumberFormat="1" applyFont="1" applyBorder="1"/>
    <xf numFmtId="168" fontId="54" fillId="3" borderId="6" xfId="3" applyNumberFormat="1" applyFont="1" applyBorder="1"/>
    <xf numFmtId="168" fontId="105" fillId="3" borderId="2" xfId="3" applyNumberFormat="1" applyFont="1"/>
    <xf numFmtId="168" fontId="104" fillId="3" borderId="7" xfId="3" applyNumberFormat="1" applyFont="1" applyBorder="1"/>
    <xf numFmtId="168" fontId="56" fillId="2" borderId="5" xfId="1" applyNumberFormat="1" applyFont="1" applyBorder="1"/>
    <xf numFmtId="168" fontId="41" fillId="3" borderId="2" xfId="3" applyNumberFormat="1" applyFont="1"/>
    <xf numFmtId="168" fontId="42" fillId="3" borderId="7" xfId="3" applyNumberFormat="1" applyFont="1" applyBorder="1"/>
    <xf numFmtId="168" fontId="42" fillId="2" borderId="5" xfId="1" applyNumberFormat="1" applyFont="1" applyBorder="1"/>
    <xf numFmtId="168" fontId="41" fillId="3" borderId="6" xfId="3" applyNumberFormat="1" applyFont="1" applyBorder="1"/>
    <xf numFmtId="168" fontId="2" fillId="2" borderId="1" xfId="1" applyNumberFormat="1"/>
    <xf numFmtId="168" fontId="56" fillId="2" borderId="1" xfId="1" applyNumberFormat="1" applyFont="1"/>
    <xf numFmtId="168" fontId="8" fillId="3" borderId="15" xfId="3" applyNumberFormat="1" applyBorder="1"/>
    <xf numFmtId="168" fontId="8" fillId="3" borderId="2" xfId="3" applyNumberFormat="1" applyAlignment="1">
      <alignment horizontal="right"/>
    </xf>
    <xf numFmtId="168" fontId="8" fillId="3" borderId="115" xfId="3" applyNumberFormat="1" applyBorder="1"/>
    <xf numFmtId="168" fontId="8" fillId="3" borderId="2" xfId="3" applyNumberFormat="1"/>
    <xf numFmtId="168" fontId="8" fillId="3" borderId="118" xfId="3" applyNumberFormat="1" applyBorder="1"/>
    <xf numFmtId="168" fontId="8" fillId="3" borderId="139" xfId="3" applyNumberFormat="1" applyBorder="1"/>
    <xf numFmtId="0" fontId="2" fillId="2" borderId="1" xfId="1" applyNumberFormat="1" applyAlignment="1">
      <alignment horizontal="right"/>
    </xf>
    <xf numFmtId="0" fontId="144" fillId="0" borderId="0" xfId="0" applyFont="1"/>
    <xf numFmtId="9" fontId="192" fillId="2" borderId="1" xfId="1" applyNumberFormat="1" applyFont="1" applyAlignment="1">
      <alignment horizontal="left"/>
    </xf>
    <xf numFmtId="9" fontId="122" fillId="17" borderId="0" xfId="0" applyNumberFormat="1" applyFont="1" applyFill="1"/>
    <xf numFmtId="0" fontId="43" fillId="3" borderId="2" xfId="3" applyFont="1"/>
    <xf numFmtId="0" fontId="115" fillId="0" borderId="76" xfId="0" applyFont="1" applyBorder="1" applyAlignment="1">
      <alignment horizontal="center" vertical="center" wrapText="1"/>
    </xf>
    <xf numFmtId="0" fontId="197" fillId="2" borderId="18" xfId="1" applyFont="1" applyBorder="1"/>
    <xf numFmtId="0" fontId="197" fillId="3" borderId="6" xfId="3" applyFont="1" applyBorder="1"/>
    <xf numFmtId="166" fontId="198" fillId="13" borderId="1" xfId="1" applyNumberFormat="1" applyFont="1" applyFill="1" applyAlignment="1">
      <alignment horizontal="center"/>
    </xf>
    <xf numFmtId="166" fontId="114" fillId="13" borderId="49" xfId="1" applyNumberFormat="1" applyFont="1" applyFill="1" applyBorder="1" applyAlignment="1">
      <alignment horizontal="center"/>
    </xf>
    <xf numFmtId="0" fontId="109" fillId="3" borderId="6" xfId="3" applyFont="1" applyBorder="1"/>
    <xf numFmtId="0" fontId="43" fillId="3" borderId="6" xfId="3" applyFont="1" applyBorder="1"/>
    <xf numFmtId="166" fontId="122" fillId="13" borderId="18" xfId="1" applyNumberFormat="1" applyFont="1" applyFill="1" applyBorder="1" applyAlignment="1">
      <alignment horizontal="center"/>
    </xf>
    <xf numFmtId="168" fontId="122" fillId="3" borderId="15" xfId="3" applyNumberFormat="1" applyFont="1" applyBorder="1"/>
    <xf numFmtId="168" fontId="122" fillId="3" borderId="6" xfId="3" applyNumberFormat="1" applyFont="1" applyBorder="1"/>
    <xf numFmtId="168" fontId="125" fillId="6" borderId="121" xfId="3" applyNumberFormat="1" applyFont="1" applyFill="1" applyBorder="1" applyAlignment="1">
      <alignment horizontal="right"/>
    </xf>
    <xf numFmtId="168" fontId="125" fillId="6" borderId="17" xfId="3" applyNumberFormat="1" applyFont="1" applyFill="1" applyBorder="1" applyAlignment="1">
      <alignment horizontal="left"/>
    </xf>
    <xf numFmtId="168" fontId="125" fillId="6" borderId="17" xfId="3" applyNumberFormat="1" applyFont="1" applyFill="1" applyBorder="1" applyAlignment="1">
      <alignment horizontal="right"/>
    </xf>
    <xf numFmtId="168" fontId="125" fillId="6" borderId="127" xfId="3" applyNumberFormat="1" applyFont="1" applyFill="1" applyBorder="1" applyAlignment="1">
      <alignment horizontal="left"/>
    </xf>
    <xf numFmtId="168" fontId="125" fillId="9" borderId="17" xfId="3" applyNumberFormat="1" applyFont="1" applyFill="1" applyBorder="1" applyAlignment="1">
      <alignment horizontal="right"/>
    </xf>
    <xf numFmtId="168" fontId="125" fillId="9" borderId="6" xfId="3" applyNumberFormat="1" applyFont="1" applyFill="1" applyBorder="1" applyAlignment="1">
      <alignment horizontal="left"/>
    </xf>
    <xf numFmtId="168" fontId="125" fillId="6" borderId="15" xfId="3" applyNumberFormat="1" applyFont="1" applyFill="1" applyBorder="1" applyAlignment="1">
      <alignment horizontal="right"/>
    </xf>
    <xf numFmtId="168" fontId="125" fillId="6" borderId="6" xfId="3" applyNumberFormat="1" applyFont="1" applyFill="1" applyBorder="1" applyAlignment="1">
      <alignment horizontal="left"/>
    </xf>
    <xf numFmtId="168" fontId="125" fillId="6" borderId="120" xfId="3" applyNumberFormat="1" applyFont="1" applyFill="1" applyBorder="1" applyAlignment="1">
      <alignment horizontal="right"/>
    </xf>
    <xf numFmtId="168" fontId="125" fillId="6" borderId="105" xfId="3" applyNumberFormat="1" applyFont="1" applyFill="1" applyBorder="1" applyAlignment="1">
      <alignment horizontal="left"/>
    </xf>
    <xf numFmtId="168" fontId="132" fillId="9" borderId="17" xfId="3" applyNumberFormat="1" applyFont="1" applyFill="1" applyBorder="1" applyAlignment="1">
      <alignment horizontal="right"/>
    </xf>
    <xf numFmtId="168" fontId="132" fillId="9" borderId="6" xfId="3" applyNumberFormat="1" applyFont="1" applyFill="1" applyBorder="1" applyAlignment="1">
      <alignment horizontal="left"/>
    </xf>
    <xf numFmtId="168" fontId="128" fillId="6" borderId="120" xfId="3" applyNumberFormat="1" applyFont="1" applyFill="1" applyBorder="1" applyAlignment="1">
      <alignment horizontal="right"/>
    </xf>
    <xf numFmtId="168" fontId="128" fillId="6" borderId="105" xfId="3" applyNumberFormat="1" applyFont="1" applyFill="1" applyBorder="1" applyAlignment="1">
      <alignment horizontal="left"/>
    </xf>
    <xf numFmtId="168" fontId="129" fillId="6" borderId="17" xfId="3" applyNumberFormat="1" applyFont="1" applyFill="1" applyBorder="1" applyAlignment="1">
      <alignment horizontal="right"/>
    </xf>
    <xf numFmtId="168" fontId="129" fillId="6" borderId="127" xfId="3" applyNumberFormat="1" applyFont="1" applyFill="1" applyBorder="1" applyAlignment="1">
      <alignment horizontal="left"/>
    </xf>
    <xf numFmtId="168" fontId="129" fillId="6" borderId="15" xfId="3" applyNumberFormat="1" applyFont="1" applyFill="1" applyBorder="1" applyAlignment="1">
      <alignment horizontal="right"/>
    </xf>
    <xf numFmtId="168" fontId="129" fillId="6" borderId="6" xfId="3" applyNumberFormat="1" applyFont="1" applyFill="1" applyBorder="1" applyAlignment="1">
      <alignment horizontal="left"/>
    </xf>
    <xf numFmtId="168" fontId="132" fillId="6" borderId="121" xfId="3" applyNumberFormat="1" applyFont="1" applyFill="1" applyBorder="1" applyAlignment="1">
      <alignment horizontal="right"/>
    </xf>
    <xf numFmtId="168" fontId="132" fillId="6" borderId="127" xfId="3" applyNumberFormat="1" applyFont="1" applyFill="1" applyBorder="1" applyAlignment="1">
      <alignment horizontal="left"/>
    </xf>
    <xf numFmtId="168" fontId="46" fillId="9" borderId="17" xfId="3" applyNumberFormat="1" applyFont="1" applyFill="1" applyBorder="1" applyAlignment="1">
      <alignment horizontal="right"/>
    </xf>
    <xf numFmtId="168" fontId="46" fillId="9" borderId="6" xfId="3" applyNumberFormat="1" applyFont="1" applyFill="1" applyBorder="1" applyAlignment="1">
      <alignment horizontal="left"/>
    </xf>
    <xf numFmtId="168" fontId="46" fillId="6" borderId="15" xfId="3" applyNumberFormat="1" applyFont="1" applyFill="1" applyBorder="1" applyAlignment="1">
      <alignment horizontal="right"/>
    </xf>
    <xf numFmtId="168" fontId="46" fillId="6" borderId="6" xfId="3" applyNumberFormat="1" applyFont="1" applyFill="1" applyBorder="1" applyAlignment="1">
      <alignment horizontal="left"/>
    </xf>
    <xf numFmtId="0" fontId="0" fillId="0" borderId="0" xfId="0"/>
    <xf numFmtId="0" fontId="209" fillId="0" borderId="0" xfId="0" applyFont="1"/>
    <xf numFmtId="0" fontId="210" fillId="0" borderId="0" xfId="8" applyFont="1"/>
    <xf numFmtId="0" fontId="48" fillId="14" borderId="0" xfId="7" applyFont="1" applyBorder="1" applyAlignment="1">
      <alignment horizontal="center" vertical="top"/>
    </xf>
    <xf numFmtId="0" fontId="48" fillId="5" borderId="0" xfId="4" applyFont="1" applyFill="1" applyAlignment="1">
      <alignment horizontal="center" vertical="top"/>
    </xf>
    <xf numFmtId="0" fontId="48" fillId="10" borderId="0" xfId="4" applyFont="1" applyAlignment="1">
      <alignment horizontal="center" vertical="top"/>
    </xf>
    <xf numFmtId="0" fontId="48" fillId="16" borderId="0" xfId="4" applyFont="1" applyFill="1" applyAlignment="1">
      <alignment horizontal="center" vertical="top"/>
    </xf>
    <xf numFmtId="0" fontId="48" fillId="14" borderId="33" xfId="7" applyFont="1" applyBorder="1" applyAlignment="1">
      <alignment horizontal="center" vertical="top"/>
    </xf>
    <xf numFmtId="0" fontId="77" fillId="0" borderId="0" xfId="0" applyFont="1" applyAlignment="1">
      <alignment horizontal="center" wrapText="1"/>
    </xf>
    <xf numFmtId="0" fontId="77" fillId="0" borderId="0" xfId="0" applyFont="1" applyAlignment="1">
      <alignment horizontal="center"/>
    </xf>
    <xf numFmtId="0" fontId="14" fillId="0" borderId="0" xfId="0" applyFont="1" applyBorder="1" applyAlignment="1">
      <alignment horizontal="center" vertical="center"/>
    </xf>
    <xf numFmtId="0" fontId="14" fillId="0" borderId="74" xfId="0" applyFont="1" applyBorder="1" applyAlignment="1">
      <alignment horizontal="center" vertical="center"/>
    </xf>
    <xf numFmtId="0" fontId="14" fillId="0" borderId="3" xfId="0" applyFont="1" applyBorder="1" applyAlignment="1">
      <alignment horizontal="center" vertical="center"/>
    </xf>
    <xf numFmtId="0" fontId="14" fillId="0" borderId="76" xfId="0" applyFont="1" applyBorder="1" applyAlignment="1">
      <alignment horizontal="center" vertical="center"/>
    </xf>
    <xf numFmtId="0" fontId="169" fillId="0" borderId="0" xfId="0" applyFont="1" applyAlignment="1">
      <alignment horizontal="left" vertical="center"/>
    </xf>
    <xf numFmtId="0" fontId="2" fillId="2" borderId="30" xfId="1" applyBorder="1" applyAlignment="1">
      <alignment horizontal="center"/>
    </xf>
    <xf numFmtId="0" fontId="2" fillId="2" borderId="53" xfId="1" applyBorder="1" applyAlignment="1">
      <alignment horizontal="center"/>
    </xf>
    <xf numFmtId="0" fontId="2" fillId="2" borderId="64" xfId="1" applyBorder="1" applyAlignment="1">
      <alignment horizontal="center"/>
    </xf>
    <xf numFmtId="0" fontId="2" fillId="2" borderId="1" xfId="1" applyBorder="1" applyAlignment="1">
      <alignment horizontal="center"/>
    </xf>
    <xf numFmtId="0" fontId="2" fillId="2" borderId="18" xfId="1" applyBorder="1" applyAlignment="1">
      <alignment horizontal="center"/>
    </xf>
    <xf numFmtId="0" fontId="2" fillId="2" borderId="12" xfId="1" applyBorder="1" applyAlignment="1">
      <alignment horizontal="center"/>
    </xf>
    <xf numFmtId="0" fontId="166" fillId="0" borderId="0" xfId="0" applyFont="1" applyAlignment="1">
      <alignment horizontal="left" vertical="top" wrapText="1"/>
    </xf>
    <xf numFmtId="0" fontId="134" fillId="5" borderId="0" xfId="0" applyFont="1" applyFill="1" applyAlignment="1">
      <alignment horizontal="center" vertical="center"/>
    </xf>
    <xf numFmtId="0" fontId="13" fillId="0" borderId="17" xfId="0" applyFont="1" applyBorder="1" applyAlignment="1">
      <alignment horizontal="center"/>
    </xf>
    <xf numFmtId="0" fontId="13" fillId="0" borderId="16" xfId="0" applyFont="1" applyBorder="1" applyAlignment="1">
      <alignment horizontal="center"/>
    </xf>
    <xf numFmtId="0" fontId="11" fillId="0" borderId="105" xfId="0" applyFont="1" applyBorder="1" applyAlignment="1">
      <alignment horizontal="right" vertical="center"/>
    </xf>
    <xf numFmtId="0" fontId="169" fillId="2" borderId="107" xfId="1" applyFont="1" applyBorder="1" applyAlignment="1">
      <alignment horizontal="right" vertical="center"/>
    </xf>
    <xf numFmtId="0" fontId="169" fillId="2" borderId="110" xfId="1" applyFont="1" applyBorder="1" applyAlignment="1">
      <alignment horizontal="right" vertical="center"/>
    </xf>
    <xf numFmtId="0" fontId="169" fillId="0" borderId="29" xfId="0" applyFont="1" applyBorder="1" applyAlignment="1">
      <alignment horizontal="left" vertical="center"/>
    </xf>
    <xf numFmtId="0" fontId="169" fillId="2" borderId="130" xfId="1" applyFont="1" applyBorder="1" applyAlignment="1">
      <alignment horizontal="right" vertical="center"/>
    </xf>
    <xf numFmtId="0" fontId="169" fillId="2" borderId="131" xfId="1" applyFont="1" applyBorder="1" applyAlignment="1">
      <alignment horizontal="right" vertical="center"/>
    </xf>
    <xf numFmtId="0" fontId="90" fillId="0" borderId="17" xfId="0" applyFont="1" applyBorder="1" applyAlignment="1">
      <alignment horizontal="center"/>
    </xf>
    <xf numFmtId="0" fontId="90" fillId="0" borderId="16" xfId="0" applyFont="1" applyBorder="1" applyAlignment="1">
      <alignment horizontal="center"/>
    </xf>
    <xf numFmtId="0" fontId="134" fillId="16" borderId="0" xfId="0" applyFont="1" applyFill="1" applyAlignment="1">
      <alignment horizontal="center" vertical="center"/>
    </xf>
    <xf numFmtId="0" fontId="134" fillId="9" borderId="0" xfId="0" applyFont="1" applyFill="1" applyAlignment="1">
      <alignment horizontal="center" vertical="center"/>
    </xf>
    <xf numFmtId="0" fontId="134" fillId="7" borderId="0" xfId="0" applyFont="1" applyFill="1" applyAlignment="1">
      <alignment horizontal="center" vertical="center"/>
    </xf>
    <xf numFmtId="0" fontId="135" fillId="4" borderId="0" xfId="4" applyFont="1" applyFill="1" applyAlignment="1">
      <alignment horizontal="center" vertical="center"/>
    </xf>
    <xf numFmtId="0" fontId="135" fillId="18" borderId="0" xfId="4" applyFont="1" applyFill="1" applyAlignment="1">
      <alignment horizontal="center" vertical="center"/>
    </xf>
    <xf numFmtId="0" fontId="135" fillId="8" borderId="0" xfId="4" applyFont="1" applyFill="1" applyAlignment="1">
      <alignment horizontal="center" vertical="center"/>
    </xf>
    <xf numFmtId="0" fontId="91" fillId="3" borderId="56" xfId="3" applyFont="1" applyBorder="1" applyAlignment="1">
      <alignment horizontal="left" vertical="center"/>
    </xf>
    <xf numFmtId="0" fontId="91" fillId="3" borderId="0" xfId="3" applyFont="1" applyBorder="1" applyAlignment="1">
      <alignment horizontal="left" vertical="center"/>
    </xf>
    <xf numFmtId="0" fontId="91" fillId="3" borderId="96" xfId="3" applyFont="1" applyBorder="1" applyAlignment="1">
      <alignment horizontal="left" vertical="center"/>
    </xf>
    <xf numFmtId="0" fontId="91" fillId="3" borderId="97" xfId="3" applyFont="1" applyBorder="1" applyAlignment="1">
      <alignment horizontal="left" vertical="center"/>
    </xf>
    <xf numFmtId="0" fontId="135" fillId="10" borderId="0" xfId="4" applyFont="1" applyAlignment="1">
      <alignment horizontal="center" vertical="center"/>
    </xf>
    <xf numFmtId="0" fontId="91" fillId="3" borderId="56" xfId="3" applyFont="1" applyBorder="1" applyAlignment="1">
      <alignment horizontal="right" vertical="center" wrapText="1"/>
    </xf>
    <xf numFmtId="0" fontId="135" fillId="25" borderId="0" xfId="4" applyFont="1" applyFill="1" applyAlignment="1">
      <alignment horizontal="center" vertical="center"/>
    </xf>
    <xf numFmtId="0" fontId="135" fillId="16" borderId="0" xfId="4" applyFont="1" applyFill="1" applyAlignment="1">
      <alignment horizontal="center" vertical="center"/>
    </xf>
    <xf numFmtId="0" fontId="135" fillId="7" borderId="0" xfId="4" applyFont="1" applyFill="1" applyAlignment="1">
      <alignment horizontal="center" vertical="center"/>
    </xf>
    <xf numFmtId="0" fontId="22" fillId="11" borderId="0" xfId="5" applyFont="1" applyAlignment="1">
      <alignment horizontal="center" vertical="center"/>
    </xf>
    <xf numFmtId="0" fontId="22" fillId="10" borderId="0" xfId="4" applyFont="1" applyAlignment="1">
      <alignment horizontal="center" vertical="center"/>
    </xf>
    <xf numFmtId="0" fontId="22" fillId="4" borderId="0" xfId="5" applyFont="1" applyFill="1" applyAlignment="1">
      <alignment horizontal="center" vertical="center"/>
    </xf>
    <xf numFmtId="0" fontId="79" fillId="21" borderId="57" xfId="0" applyFont="1" applyFill="1" applyBorder="1" applyAlignment="1">
      <alignment horizontal="center" vertical="center" wrapText="1"/>
    </xf>
    <xf numFmtId="0" fontId="79" fillId="21" borderId="58" xfId="0" applyFont="1" applyFill="1" applyBorder="1" applyAlignment="1">
      <alignment horizontal="center" vertical="center" wrapText="1"/>
    </xf>
    <xf numFmtId="0" fontId="135" fillId="12" borderId="0" xfId="4" applyFont="1" applyFill="1" applyAlignment="1">
      <alignment horizontal="center" vertical="center"/>
    </xf>
    <xf numFmtId="0" fontId="0" fillId="0" borderId="0" xfId="0" applyFill="1" applyBorder="1" applyAlignment="1">
      <alignment horizontal="left" wrapText="1"/>
    </xf>
    <xf numFmtId="0" fontId="189" fillId="23" borderId="0" xfId="0" applyFont="1" applyFill="1" applyBorder="1" applyAlignment="1">
      <alignment horizontal="left" wrapText="1"/>
    </xf>
    <xf numFmtId="0" fontId="188" fillId="23" borderId="0" xfId="0" applyFont="1" applyFill="1" applyBorder="1" applyAlignment="1">
      <alignment horizontal="left" wrapText="1"/>
    </xf>
    <xf numFmtId="0" fontId="77" fillId="0" borderId="0" xfId="0" applyFont="1" applyBorder="1" applyAlignment="1">
      <alignment horizontal="center" wrapText="1"/>
    </xf>
    <xf numFmtId="0" fontId="87" fillId="0" borderId="114" xfId="0" applyFont="1" applyBorder="1" applyAlignment="1">
      <alignment horizontal="center" vertical="center"/>
    </xf>
    <xf numFmtId="0" fontId="87" fillId="0" borderId="94" xfId="0" applyFont="1" applyBorder="1" applyAlignment="1">
      <alignment horizontal="center" vertical="center"/>
    </xf>
    <xf numFmtId="0" fontId="122" fillId="0" borderId="8" xfId="0" applyFont="1" applyBorder="1" applyAlignment="1">
      <alignment horizontal="center"/>
    </xf>
    <xf numFmtId="0" fontId="122" fillId="0" borderId="0" xfId="0" applyFont="1" applyBorder="1" applyAlignment="1">
      <alignment horizontal="center"/>
    </xf>
    <xf numFmtId="0" fontId="122" fillId="0" borderId="113" xfId="0" applyFont="1" applyBorder="1" applyAlignment="1">
      <alignment horizontal="center"/>
    </xf>
    <xf numFmtId="0" fontId="87" fillId="0" borderId="0" xfId="0" applyFont="1" applyBorder="1" applyAlignment="1">
      <alignment horizontal="center" vertical="top" wrapText="1"/>
    </xf>
    <xf numFmtId="0" fontId="87" fillId="0" borderId="112" xfId="0" applyFont="1" applyBorder="1" applyAlignment="1">
      <alignment horizontal="center" vertical="top" wrapText="1"/>
    </xf>
    <xf numFmtId="0" fontId="140" fillId="23" borderId="0" xfId="0" applyFont="1" applyFill="1" applyBorder="1" applyAlignment="1">
      <alignment horizontal="center"/>
    </xf>
    <xf numFmtId="0" fontId="87" fillId="0" borderId="0" xfId="0" applyFont="1" applyBorder="1" applyAlignment="1">
      <alignment horizontal="center"/>
    </xf>
    <xf numFmtId="0" fontId="87" fillId="0" borderId="89" xfId="0" applyFont="1" applyBorder="1" applyAlignment="1">
      <alignment horizontal="center"/>
    </xf>
    <xf numFmtId="0" fontId="87" fillId="0" borderId="8" xfId="0" applyFont="1" applyBorder="1" applyAlignment="1">
      <alignment horizontal="center" vertical="center"/>
    </xf>
    <xf numFmtId="0" fontId="87" fillId="0" borderId="0" xfId="0" applyFont="1" applyBorder="1" applyAlignment="1">
      <alignment horizontal="center" vertical="center"/>
    </xf>
    <xf numFmtId="0" fontId="151" fillId="0" borderId="122" xfId="0" applyFont="1" applyBorder="1" applyAlignment="1">
      <alignment horizontal="center"/>
    </xf>
    <xf numFmtId="0" fontId="1" fillId="0" borderId="0" xfId="0" applyFont="1" applyAlignment="1">
      <alignment horizontal="center"/>
    </xf>
    <xf numFmtId="0" fontId="0" fillId="17" borderId="0" xfId="0" applyFill="1" applyAlignment="1">
      <alignment horizontal="center" wrapText="1"/>
    </xf>
    <xf numFmtId="0" fontId="1" fillId="0" borderId="0" xfId="0" applyFont="1" applyBorder="1" applyAlignment="1">
      <alignment horizontal="center"/>
    </xf>
    <xf numFmtId="0" fontId="1" fillId="0" borderId="4" xfId="0" applyFont="1" applyBorder="1" applyAlignment="1">
      <alignment horizontal="center"/>
    </xf>
    <xf numFmtId="0" fontId="0" fillId="17" borderId="0" xfId="0" applyFill="1" applyAlignment="1">
      <alignment horizontal="center"/>
    </xf>
    <xf numFmtId="0" fontId="1" fillId="0" borderId="8" xfId="0" applyFont="1" applyBorder="1" applyAlignment="1">
      <alignment horizontal="center"/>
    </xf>
    <xf numFmtId="0" fontId="0" fillId="0" borderId="0" xfId="0" applyAlignment="1">
      <alignment horizontal="center"/>
    </xf>
    <xf numFmtId="0" fontId="138" fillId="23" borderId="0" xfId="0" applyFont="1" applyFill="1" applyAlignment="1">
      <alignment horizontal="center" vertical="center" wrapText="1"/>
    </xf>
    <xf numFmtId="0" fontId="134" fillId="17" borderId="0" xfId="0" applyFont="1" applyFill="1" applyAlignment="1">
      <alignment horizontal="center" wrapText="1"/>
    </xf>
    <xf numFmtId="0" fontId="122" fillId="0" borderId="0" xfId="0" applyFont="1" applyAlignment="1">
      <alignment horizontal="left" vertical="top" wrapText="1"/>
    </xf>
    <xf numFmtId="0" fontId="139" fillId="24" borderId="0" xfId="0" applyFont="1" applyFill="1" applyAlignment="1">
      <alignment horizontal="center" vertical="center" wrapText="1"/>
    </xf>
    <xf numFmtId="0" fontId="37" fillId="0" borderId="0" xfId="0" applyFont="1" applyAlignment="1">
      <alignment horizontal="left" vertical="center" wrapText="1"/>
    </xf>
    <xf numFmtId="0" fontId="125" fillId="0" borderId="0" xfId="0" applyFont="1" applyAlignment="1">
      <alignment horizontal="center" vertical="center" wrapText="1"/>
    </xf>
    <xf numFmtId="0" fontId="122" fillId="0" borderId="0" xfId="0" applyFont="1" applyAlignment="1">
      <alignment horizontal="left"/>
    </xf>
    <xf numFmtId="166" fontId="170" fillId="13" borderId="134" xfId="1" applyNumberFormat="1" applyFont="1" applyFill="1" applyBorder="1" applyAlignment="1">
      <alignment horizontal="left"/>
    </xf>
    <xf numFmtId="166" fontId="170" fillId="13" borderId="49" xfId="1" applyNumberFormat="1" applyFont="1" applyFill="1" applyBorder="1" applyAlignment="1">
      <alignment horizontal="left"/>
    </xf>
    <xf numFmtId="166" fontId="170" fillId="13" borderId="5" xfId="1" applyNumberFormat="1" applyFont="1" applyFill="1" applyBorder="1" applyAlignment="1">
      <alignment horizontal="left"/>
    </xf>
    <xf numFmtId="0" fontId="1" fillId="0" borderId="0" xfId="0" applyFont="1" applyAlignment="1">
      <alignment horizontal="center" vertical="center" wrapText="1"/>
    </xf>
    <xf numFmtId="0" fontId="125" fillId="0" borderId="15" xfId="0" applyFont="1" applyBorder="1" applyAlignment="1">
      <alignment horizontal="center" vertical="center" wrapText="1"/>
    </xf>
    <xf numFmtId="0" fontId="125" fillId="0" borderId="6" xfId="0" applyFont="1" applyBorder="1" applyAlignment="1">
      <alignment horizontal="center" vertical="center" wrapText="1"/>
    </xf>
    <xf numFmtId="0" fontId="125" fillId="0" borderId="17" xfId="0" applyFont="1" applyBorder="1" applyAlignment="1">
      <alignment horizontal="center" vertical="center" wrapText="1"/>
    </xf>
    <xf numFmtId="0" fontId="125" fillId="0" borderId="127" xfId="0" applyFont="1" applyBorder="1" applyAlignment="1">
      <alignment horizontal="center" vertical="center" wrapText="1"/>
    </xf>
    <xf numFmtId="0" fontId="125" fillId="0" borderId="45" xfId="0" applyFont="1" applyBorder="1" applyAlignment="1">
      <alignment horizontal="right"/>
    </xf>
    <xf numFmtId="0" fontId="125" fillId="0" borderId="128" xfId="0" applyFont="1" applyBorder="1" applyAlignment="1">
      <alignment horizontal="right"/>
    </xf>
    <xf numFmtId="0" fontId="125" fillId="0" borderId="0" xfId="0" applyFont="1" applyBorder="1" applyAlignment="1">
      <alignment horizontal="right"/>
    </xf>
    <xf numFmtId="0" fontId="125" fillId="0" borderId="0" xfId="0" applyFont="1" applyAlignment="1">
      <alignment horizontal="right"/>
    </xf>
    <xf numFmtId="166" fontId="2" fillId="13" borderId="49" xfId="1" applyNumberFormat="1" applyFill="1" applyBorder="1" applyAlignment="1">
      <alignment horizontal="center"/>
    </xf>
    <xf numFmtId="166" fontId="2" fillId="13" borderId="5" xfId="1" applyNumberFormat="1" applyFill="1" applyBorder="1" applyAlignment="1">
      <alignment horizontal="center"/>
    </xf>
    <xf numFmtId="0" fontId="125" fillId="0" borderId="84" xfId="0" applyFont="1" applyBorder="1" applyAlignment="1">
      <alignment horizontal="right"/>
    </xf>
    <xf numFmtId="0" fontId="125" fillId="0" borderId="132" xfId="0" applyFont="1" applyBorder="1" applyAlignment="1">
      <alignment horizontal="right"/>
    </xf>
    <xf numFmtId="0" fontId="125" fillId="0" borderId="133" xfId="0" applyFont="1" applyBorder="1" applyAlignment="1">
      <alignment horizontal="right"/>
    </xf>
    <xf numFmtId="0" fontId="193" fillId="0" borderId="29" xfId="0" applyFont="1" applyBorder="1" applyAlignment="1">
      <alignment horizontal="right"/>
    </xf>
    <xf numFmtId="0" fontId="193" fillId="0" borderId="84" xfId="0" applyFont="1" applyBorder="1" applyAlignment="1">
      <alignment horizontal="right"/>
    </xf>
    <xf numFmtId="0" fontId="194" fillId="0" borderId="0" xfId="0" applyFont="1" applyAlignment="1">
      <alignment horizontal="right" vertical="center"/>
    </xf>
    <xf numFmtId="0" fontId="194" fillId="0" borderId="105" xfId="0" applyFont="1" applyBorder="1" applyAlignment="1">
      <alignment horizontal="right" vertical="center"/>
    </xf>
    <xf numFmtId="0" fontId="0" fillId="0" borderId="120" xfId="0" applyBorder="1"/>
    <xf numFmtId="0" fontId="0" fillId="0" borderId="0" xfId="0"/>
    <xf numFmtId="0" fontId="0" fillId="0" borderId="74" xfId="0" applyBorder="1"/>
    <xf numFmtId="0" fontId="122" fillId="0" borderId="0" xfId="0" applyFont="1"/>
    <xf numFmtId="0" fontId="125" fillId="0" borderId="29" xfId="0" applyFont="1" applyBorder="1" applyAlignment="1">
      <alignment horizontal="right"/>
    </xf>
    <xf numFmtId="0" fontId="150" fillId="0" borderId="3" xfId="0" applyFont="1" applyBorder="1" applyAlignment="1">
      <alignment horizontal="left" vertical="top" wrapText="1"/>
    </xf>
    <xf numFmtId="0" fontId="125" fillId="0" borderId="0" xfId="0" applyFont="1" applyBorder="1" applyAlignment="1">
      <alignment horizontal="right" vertical="center"/>
    </xf>
    <xf numFmtId="0" fontId="125" fillId="0" borderId="105" xfId="0" applyFont="1" applyBorder="1" applyAlignment="1">
      <alignment horizontal="right" vertical="center"/>
    </xf>
    <xf numFmtId="0" fontId="132" fillId="0" borderId="0" xfId="0" applyFont="1" applyAlignment="1">
      <alignment horizontal="right"/>
    </xf>
    <xf numFmtId="0" fontId="37" fillId="0" borderId="0" xfId="0" applyFont="1" applyAlignment="1">
      <alignment horizontal="left" vertical="top" wrapText="1"/>
    </xf>
    <xf numFmtId="0" fontId="127" fillId="0" borderId="121" xfId="0" applyFont="1" applyBorder="1" applyAlignment="1">
      <alignment horizontal="center" vertical="center" wrapText="1"/>
    </xf>
    <xf numFmtId="0" fontId="127" fillId="0" borderId="6" xfId="0" applyFont="1" applyBorder="1" applyAlignment="1">
      <alignment horizontal="center" vertical="center" wrapText="1"/>
    </xf>
    <xf numFmtId="0" fontId="129" fillId="0" borderId="15" xfId="0" applyFont="1" applyBorder="1" applyAlignment="1">
      <alignment horizontal="center" vertical="center" wrapText="1"/>
    </xf>
    <xf numFmtId="0" fontId="129" fillId="0" borderId="127" xfId="0" applyFont="1" applyBorder="1" applyAlignment="1">
      <alignment horizontal="center" vertical="center" wrapText="1"/>
    </xf>
    <xf numFmtId="0" fontId="125" fillId="0" borderId="121" xfId="0" applyFont="1" applyBorder="1" applyAlignment="1">
      <alignment horizontal="center" vertical="center" wrapText="1"/>
    </xf>
    <xf numFmtId="0" fontId="129" fillId="0" borderId="6" xfId="0" applyFont="1" applyBorder="1" applyAlignment="1">
      <alignment horizontal="center" vertical="center" wrapText="1"/>
    </xf>
    <xf numFmtId="0" fontId="128" fillId="0" borderId="45" xfId="0" applyFont="1" applyBorder="1" applyAlignment="1">
      <alignment horizontal="right"/>
    </xf>
    <xf numFmtId="0" fontId="128" fillId="0" borderId="128" xfId="0" applyFont="1" applyBorder="1" applyAlignment="1">
      <alignment horizontal="right"/>
    </xf>
    <xf numFmtId="0" fontId="0" fillId="0" borderId="0" xfId="0" applyAlignment="1">
      <alignment horizontal="left" wrapText="1"/>
    </xf>
  </cellXfs>
  <cellStyles count="9">
    <cellStyle name="Bad" xfId="7" builtinId="27"/>
    <cellStyle name="Calculation" xfId="2" builtinId="22"/>
    <cellStyle name="Good" xfId="4" builtinId="26"/>
    <cellStyle name="Hyperlink" xfId="8" builtinId="8"/>
    <cellStyle name="Input" xfId="1" builtinId="20"/>
    <cellStyle name="Neutral" xfId="5" builtinId="28"/>
    <cellStyle name="Normal" xfId="0" builtinId="0"/>
    <cellStyle name="Output" xfId="3" builtinId="21"/>
    <cellStyle name="Percent" xfId="6" builtinId="5"/>
  </cellStyles>
  <dxfs count="35">
    <dxf>
      <font>
        <color rgb="FFE7E6E6"/>
      </font>
    </dxf>
    <dxf>
      <font>
        <color rgb="FFE7E6E6"/>
      </font>
    </dxf>
    <dxf>
      <font>
        <color rgb="FFE7E6E6"/>
      </font>
    </dxf>
    <dxf>
      <font>
        <strike/>
        <color theme="2" tint="-0.24994659260841701"/>
      </font>
    </dxf>
    <dxf>
      <font>
        <strike/>
        <color theme="2" tint="-0.24994659260841701"/>
      </font>
    </dxf>
    <dxf>
      <font>
        <color theme="1"/>
      </font>
    </dxf>
    <dxf>
      <font>
        <color theme="1"/>
      </font>
    </dxf>
    <dxf>
      <font>
        <color theme="1" tint="0.34998626667073579"/>
      </font>
    </dxf>
    <dxf>
      <font>
        <color theme="1"/>
      </font>
    </dxf>
    <dxf>
      <font>
        <color theme="1"/>
      </font>
    </dxf>
    <dxf>
      <font>
        <color theme="1"/>
      </font>
    </dxf>
    <dxf>
      <font>
        <color theme="1"/>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rgb="FFE7E6E6"/>
      </font>
    </dxf>
    <dxf>
      <font>
        <color theme="1" tint="0.34998626667073579"/>
      </font>
    </dxf>
    <dxf>
      <font>
        <color theme="1" tint="0.34998626667073579"/>
      </font>
    </dxf>
    <dxf>
      <font>
        <color theme="1" tint="0.34998626667073579"/>
      </font>
    </dxf>
    <dxf>
      <font>
        <strike val="0"/>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s>
  <tableStyles count="0" defaultTableStyle="TableStyleMedium2" defaultPivotStyle="PivotStyleLight16"/>
  <colors>
    <mruColors>
      <color rgb="FFCC99FF"/>
      <color rgb="FF0070C0"/>
      <color rgb="FFFF8B99"/>
      <color rgb="FFE7E6E6"/>
      <color rgb="FFFEE3C2"/>
      <color rgb="FFFF697B"/>
      <color rgb="FFFF99FF"/>
      <color rgb="FF996633"/>
      <color rgb="FFFFADAD"/>
      <color rgb="FFFED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81</xdr:row>
      <xdr:rowOff>41910</xdr:rowOff>
    </xdr:from>
    <xdr:to>
      <xdr:col>2</xdr:col>
      <xdr:colOff>133774</xdr:colOff>
      <xdr:row>82</xdr:row>
      <xdr:rowOff>160444</xdr:rowOff>
    </xdr:to>
    <xdr:pic>
      <xdr:nvPicPr>
        <xdr:cNvPr id="2" name="Picture 1" descr="https://licensebuttons.net/l/by-sa/3.0/88x31.png">
          <a:extLst>
            <a:ext uri="{FF2B5EF4-FFF2-40B4-BE49-F238E27FC236}">
              <a16:creationId xmlns:a16="http://schemas.microsoft.com/office/drawing/2014/main" id="{974053BC-0A3A-4AF0-8F77-66967785C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9790" y="1591818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xdr:colOff>
      <xdr:row>32</xdr:row>
      <xdr:rowOff>30480</xdr:rowOff>
    </xdr:from>
    <xdr:to>
      <xdr:col>2</xdr:col>
      <xdr:colOff>245957</xdr:colOff>
      <xdr:row>33</xdr:row>
      <xdr:rowOff>157903</xdr:rowOff>
    </xdr:to>
    <xdr:pic>
      <xdr:nvPicPr>
        <xdr:cNvPr id="2" name="Picture 1" descr="https://licensebuttons.net/l/by-sa/3.0/88x31.png">
          <a:extLst>
            <a:ext uri="{FF2B5EF4-FFF2-40B4-BE49-F238E27FC236}">
              <a16:creationId xmlns:a16="http://schemas.microsoft.com/office/drawing/2014/main" id="{4CD0A28B-1B6A-4214-946F-327D1BB0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0230" y="5935980"/>
          <a:ext cx="87249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15240</xdr:colOff>
      <xdr:row>38</xdr:row>
      <xdr:rowOff>41910</xdr:rowOff>
    </xdr:from>
    <xdr:to>
      <xdr:col>4</xdr:col>
      <xdr:colOff>249343</xdr:colOff>
      <xdr:row>39</xdr:row>
      <xdr:rowOff>158327</xdr:rowOff>
    </xdr:to>
    <xdr:pic>
      <xdr:nvPicPr>
        <xdr:cNvPr id="4" name="Picture 3" descr="https://licensebuttons.net/l/by-sa/3.0/88x31.png">
          <a:extLst>
            <a:ext uri="{FF2B5EF4-FFF2-40B4-BE49-F238E27FC236}">
              <a16:creationId xmlns:a16="http://schemas.microsoft.com/office/drawing/2014/main" id="{EAC05B63-FA0F-4A46-AC4F-D53BFE446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1220" y="7639050"/>
          <a:ext cx="87249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15240</xdr:colOff>
      <xdr:row>42</xdr:row>
      <xdr:rowOff>11430</xdr:rowOff>
    </xdr:from>
    <xdr:to>
      <xdr:col>3</xdr:col>
      <xdr:colOff>182880</xdr:colOff>
      <xdr:row>43</xdr:row>
      <xdr:rowOff>125730</xdr:rowOff>
    </xdr:to>
    <xdr:pic>
      <xdr:nvPicPr>
        <xdr:cNvPr id="3" name="Picture 2" descr="https://licensebuttons.net/l/by-sa/3.0/88x31.png">
          <a:extLst>
            <a:ext uri="{FF2B5EF4-FFF2-40B4-BE49-F238E27FC236}">
              <a16:creationId xmlns:a16="http://schemas.microsoft.com/office/drawing/2014/main" id="{0D92389B-697B-44C2-8982-E1A95BF53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0240" y="7890510"/>
          <a:ext cx="8763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38100</xdr:colOff>
      <xdr:row>19</xdr:row>
      <xdr:rowOff>34290</xdr:rowOff>
    </xdr:from>
    <xdr:to>
      <xdr:col>3</xdr:col>
      <xdr:colOff>266700</xdr:colOff>
      <xdr:row>20</xdr:row>
      <xdr:rowOff>148590</xdr:rowOff>
    </xdr:to>
    <xdr:pic>
      <xdr:nvPicPr>
        <xdr:cNvPr id="3" name="Picture 2" descr="https://licensebuttons.net/l/by-sa/3.0/88x31.png">
          <a:extLst>
            <a:ext uri="{FF2B5EF4-FFF2-40B4-BE49-F238E27FC236}">
              <a16:creationId xmlns:a16="http://schemas.microsoft.com/office/drawing/2014/main" id="{8FB96E27-A45F-4827-89D8-FB935EF3F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1650" y="3905250"/>
          <a:ext cx="86868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15240</xdr:colOff>
      <xdr:row>76</xdr:row>
      <xdr:rowOff>34290</xdr:rowOff>
    </xdr:from>
    <xdr:to>
      <xdr:col>5</xdr:col>
      <xdr:colOff>221403</xdr:colOff>
      <xdr:row>77</xdr:row>
      <xdr:rowOff>145203</xdr:rowOff>
    </xdr:to>
    <xdr:pic>
      <xdr:nvPicPr>
        <xdr:cNvPr id="3" name="Picture 2" descr="https://licensebuttons.net/l/by-sa/3.0/88x31.png">
          <a:extLst>
            <a:ext uri="{FF2B5EF4-FFF2-40B4-BE49-F238E27FC236}">
              <a16:creationId xmlns:a16="http://schemas.microsoft.com/office/drawing/2014/main" id="{D6F71250-3281-40EC-B5A4-4470729B0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0" y="12054840"/>
          <a:ext cx="88011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xdr:colOff>
      <xdr:row>43</xdr:row>
      <xdr:rowOff>41910</xdr:rowOff>
    </xdr:from>
    <xdr:to>
      <xdr:col>2</xdr:col>
      <xdr:colOff>495300</xdr:colOff>
      <xdr:row>44</xdr:row>
      <xdr:rowOff>156210</xdr:rowOff>
    </xdr:to>
    <xdr:pic>
      <xdr:nvPicPr>
        <xdr:cNvPr id="3" name="Picture 2" descr="https://licensebuttons.net/l/by-sa/3.0/88x31.png">
          <a:extLst>
            <a:ext uri="{FF2B5EF4-FFF2-40B4-BE49-F238E27FC236}">
              <a16:creationId xmlns:a16="http://schemas.microsoft.com/office/drawing/2014/main" id="{9741997D-0028-4EDC-96D1-85D9EABF2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740" y="8427720"/>
          <a:ext cx="85725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xdr:colOff>
      <xdr:row>46</xdr:row>
      <xdr:rowOff>53954</xdr:rowOff>
    </xdr:from>
    <xdr:to>
      <xdr:col>4</xdr:col>
      <xdr:colOff>509270</xdr:colOff>
      <xdr:row>47</xdr:row>
      <xdr:rowOff>165494</xdr:rowOff>
    </xdr:to>
    <xdr:pic>
      <xdr:nvPicPr>
        <xdr:cNvPr id="3" name="Picture 2" descr="https://licensebuttons.net/l/by-sa/3.0/88x31.png">
          <a:extLst>
            <a:ext uri="{FF2B5EF4-FFF2-40B4-BE49-F238E27FC236}">
              <a16:creationId xmlns:a16="http://schemas.microsoft.com/office/drawing/2014/main" id="{A87CB75E-9AAF-42FA-A969-16AA7A3CD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3137" y="10700057"/>
          <a:ext cx="855542" cy="299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15240</xdr:colOff>
      <xdr:row>48</xdr:row>
      <xdr:rowOff>53954</xdr:rowOff>
    </xdr:from>
    <xdr:to>
      <xdr:col>4</xdr:col>
      <xdr:colOff>393700</xdr:colOff>
      <xdr:row>49</xdr:row>
      <xdr:rowOff>164224</xdr:rowOff>
    </xdr:to>
    <xdr:pic>
      <xdr:nvPicPr>
        <xdr:cNvPr id="2" name="Picture 1" descr="https://licensebuttons.net/l/by-sa/3.0/88x31.png">
          <a:extLst>
            <a:ext uri="{FF2B5EF4-FFF2-40B4-BE49-F238E27FC236}">
              <a16:creationId xmlns:a16="http://schemas.microsoft.com/office/drawing/2014/main" id="{E29B5288-EAB5-4CBA-8079-742F6EA8F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4100" y="10700364"/>
          <a:ext cx="858520" cy="298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ithub.com/shyambhakta/wetlabcalc"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84"/>
  <sheetViews>
    <sheetView tabSelected="1" zoomScaleNormal="100" workbookViewId="0">
      <selection activeCell="B2" sqref="B2"/>
    </sheetView>
  </sheetViews>
  <sheetFormatPr defaultRowHeight="14.35" x14ac:dyDescent="0.5"/>
  <cols>
    <col min="1" max="1" width="22.5859375" style="1" customWidth="1"/>
    <col min="2" max="2" width="10.52734375" customWidth="1"/>
    <col min="3" max="3" width="10.703125" customWidth="1"/>
    <col min="4" max="4" width="9.76171875" customWidth="1"/>
    <col min="5" max="5" width="4.29296875" customWidth="1"/>
    <col min="6" max="6" width="9.17578125" customWidth="1"/>
    <col min="7" max="7" width="6.52734375" customWidth="1"/>
    <col min="8" max="8" width="22.5859375" customWidth="1"/>
    <col min="9" max="10" width="10.52734375" customWidth="1"/>
    <col min="11" max="11" width="10.87890625" customWidth="1"/>
    <col min="12" max="12" width="4.703125" customWidth="1"/>
    <col min="13" max="13" width="11" customWidth="1"/>
    <col min="14" max="16" width="9.87890625" customWidth="1"/>
    <col min="17" max="17" width="22.5859375" customWidth="1"/>
    <col min="18" max="20" width="10.8203125" customWidth="1"/>
    <col min="21" max="21" width="3.87890625" customWidth="1"/>
    <col min="24" max="24" width="22.5859375" customWidth="1"/>
    <col min="25" max="27" width="10.8203125" customWidth="1"/>
    <col min="28" max="28" width="3.87890625" customWidth="1"/>
  </cols>
  <sheetData>
    <row r="1" spans="1:29" s="23" customFormat="1" ht="22.2" customHeight="1" x14ac:dyDescent="0.5">
      <c r="A1" s="624" t="s">
        <v>382</v>
      </c>
      <c r="B1" s="624"/>
      <c r="C1" s="624"/>
      <c r="D1" s="624"/>
      <c r="E1" s="624"/>
      <c r="F1" s="624"/>
      <c r="G1" s="60"/>
      <c r="H1" s="623" t="s">
        <v>383</v>
      </c>
      <c r="I1" s="623"/>
      <c r="J1" s="623"/>
      <c r="K1" s="623"/>
      <c r="L1" s="623"/>
      <c r="M1" s="623"/>
      <c r="O1" s="81"/>
      <c r="P1"/>
      <c r="Q1" s="624" t="s">
        <v>388</v>
      </c>
      <c r="R1" s="624"/>
      <c r="S1" s="624"/>
      <c r="T1" s="624"/>
      <c r="U1" s="624"/>
      <c r="V1" s="624"/>
      <c r="W1" s="60"/>
      <c r="X1" s="623" t="s">
        <v>387</v>
      </c>
      <c r="Y1" s="623"/>
      <c r="Z1" s="623"/>
      <c r="AA1" s="623"/>
      <c r="AB1" s="623"/>
      <c r="AC1" s="623"/>
    </row>
    <row r="2" spans="1:29" x14ac:dyDescent="0.5">
      <c r="A2" s="59" t="s">
        <v>2</v>
      </c>
      <c r="B2" s="3">
        <v>5</v>
      </c>
      <c r="C2" s="158" t="s">
        <v>381</v>
      </c>
      <c r="D2" s="457">
        <v>0</v>
      </c>
      <c r="E2" t="s">
        <v>15</v>
      </c>
      <c r="H2" s="59" t="s">
        <v>2</v>
      </c>
      <c r="I2" s="3"/>
      <c r="J2" s="158" t="s">
        <v>381</v>
      </c>
      <c r="K2" s="457">
        <v>0</v>
      </c>
      <c r="L2" s="550" t="s">
        <v>15</v>
      </c>
      <c r="O2" s="82"/>
      <c r="Q2" s="358" t="s">
        <v>2</v>
      </c>
      <c r="R2" s="328"/>
      <c r="S2" s="455" t="s">
        <v>86</v>
      </c>
      <c r="T2" s="458">
        <v>10</v>
      </c>
      <c r="U2" s="339" t="s">
        <v>14</v>
      </c>
      <c r="X2" s="358" t="s">
        <v>2</v>
      </c>
      <c r="Y2" s="328"/>
      <c r="Z2" s="455" t="s">
        <v>86</v>
      </c>
      <c r="AA2" s="458">
        <v>10</v>
      </c>
      <c r="AB2" s="339" t="s">
        <v>14</v>
      </c>
    </row>
    <row r="3" spans="1:29" ht="14.45" customHeight="1" thickBot="1" x14ac:dyDescent="0.6">
      <c r="A3" s="158" t="s">
        <v>380</v>
      </c>
      <c r="B3" s="456">
        <v>0</v>
      </c>
      <c r="C3" s="277" t="s">
        <v>217</v>
      </c>
      <c r="D3" s="458">
        <v>100</v>
      </c>
      <c r="E3" s="38" t="s">
        <v>14</v>
      </c>
      <c r="H3" s="158" t="s">
        <v>380</v>
      </c>
      <c r="I3" s="456">
        <v>0</v>
      </c>
      <c r="J3" s="278" t="s">
        <v>217</v>
      </c>
      <c r="K3" s="458">
        <v>100</v>
      </c>
      <c r="L3" s="38" t="s">
        <v>14</v>
      </c>
      <c r="O3" s="82"/>
      <c r="Q3" s="158" t="s">
        <v>380</v>
      </c>
      <c r="R3" s="456">
        <v>0</v>
      </c>
      <c r="S3" s="158" t="s">
        <v>312</v>
      </c>
      <c r="T3" s="457">
        <v>25</v>
      </c>
      <c r="U3" s="326" t="s">
        <v>76</v>
      </c>
      <c r="X3" s="158" t="s">
        <v>380</v>
      </c>
      <c r="Y3" s="456">
        <v>0</v>
      </c>
      <c r="Z3" s="158" t="s">
        <v>312</v>
      </c>
      <c r="AA3" s="457">
        <v>25</v>
      </c>
      <c r="AB3" s="326" t="s">
        <v>76</v>
      </c>
    </row>
    <row r="4" spans="1:29" ht="14.45" customHeight="1" thickTop="1" thickBot="1" x14ac:dyDescent="0.55000000000000004">
      <c r="A4" s="59" t="s">
        <v>3</v>
      </c>
      <c r="B4" s="70">
        <v>0.02</v>
      </c>
      <c r="C4" s="157">
        <v>0</v>
      </c>
      <c r="D4" s="72" t="s">
        <v>12</v>
      </c>
      <c r="H4" s="59" t="s">
        <v>3</v>
      </c>
      <c r="I4" s="70">
        <v>0.02</v>
      </c>
      <c r="J4" s="157">
        <v>0</v>
      </c>
      <c r="K4" s="72" t="s">
        <v>12</v>
      </c>
      <c r="O4" s="82"/>
      <c r="T4" s="73"/>
      <c r="AA4" s="73"/>
    </row>
    <row r="5" spans="1:29" ht="14.7" thickTop="1" x14ac:dyDescent="0.5">
      <c r="B5" s="51"/>
      <c r="C5" s="27"/>
      <c r="D5" s="5"/>
      <c r="H5" s="1"/>
      <c r="I5" s="51"/>
      <c r="J5" s="27"/>
      <c r="K5" s="5"/>
      <c r="O5" s="82"/>
      <c r="Q5" s="59" t="s">
        <v>3</v>
      </c>
      <c r="R5" s="70">
        <v>0.04</v>
      </c>
      <c r="S5" s="157">
        <v>0</v>
      </c>
      <c r="T5" s="72" t="s">
        <v>38</v>
      </c>
      <c r="X5" s="59" t="s">
        <v>3</v>
      </c>
      <c r="Y5" s="70">
        <v>0.04</v>
      </c>
      <c r="Z5" s="157">
        <v>0</v>
      </c>
      <c r="AA5" s="72" t="s">
        <v>38</v>
      </c>
    </row>
    <row r="6" spans="1:29" x14ac:dyDescent="0.5">
      <c r="A6" s="222" t="s">
        <v>2</v>
      </c>
      <c r="B6" s="223">
        <f>B2*(1+B4)</f>
        <v>5.0999999999999996</v>
      </c>
      <c r="C6" s="224">
        <f>B2*(1+C4)</f>
        <v>5</v>
      </c>
      <c r="D6" s="225" t="s">
        <v>7</v>
      </c>
      <c r="E6" s="64"/>
      <c r="F6" s="61" t="s">
        <v>212</v>
      </c>
      <c r="H6" s="222" t="s">
        <v>2</v>
      </c>
      <c r="I6" s="223">
        <f>I2*(1+I4)</f>
        <v>0</v>
      </c>
      <c r="J6" s="224">
        <f>I2*(1+J4)</f>
        <v>0</v>
      </c>
      <c r="K6" s="225" t="s">
        <v>7</v>
      </c>
      <c r="L6" s="64"/>
      <c r="M6" s="61" t="s">
        <v>212</v>
      </c>
      <c r="N6" s="1"/>
      <c r="O6" s="82"/>
      <c r="Q6" s="1"/>
      <c r="R6" s="51"/>
      <c r="S6" s="27"/>
      <c r="T6" s="5"/>
      <c r="X6" s="1"/>
      <c r="Y6" s="51"/>
      <c r="Z6" s="27"/>
      <c r="AA6" s="5"/>
    </row>
    <row r="7" spans="1:29" x14ac:dyDescent="0.5">
      <c r="A7" s="65"/>
      <c r="B7" s="210"/>
      <c r="C7" s="211"/>
      <c r="D7" s="212"/>
      <c r="E7" s="64"/>
      <c r="F7" s="61"/>
      <c r="H7" s="65"/>
      <c r="I7" s="210"/>
      <c r="J7" s="211"/>
      <c r="K7" s="212"/>
      <c r="L7" s="64"/>
      <c r="M7" s="61"/>
      <c r="O7" s="82"/>
      <c r="Q7" s="222" t="s">
        <v>2</v>
      </c>
      <c r="R7" s="223">
        <f>R2*(1+R5)</f>
        <v>0</v>
      </c>
      <c r="S7" s="224">
        <f>R2*(1+S5)</f>
        <v>0</v>
      </c>
      <c r="T7" s="225" t="s">
        <v>7</v>
      </c>
      <c r="U7" s="64"/>
      <c r="V7" s="61" t="s">
        <v>113</v>
      </c>
      <c r="X7" s="222" t="s">
        <v>2</v>
      </c>
      <c r="Y7" s="223">
        <f>Y2*(1+Y5)</f>
        <v>0</v>
      </c>
      <c r="Z7" s="224">
        <f>Y2*(1+Z5)</f>
        <v>0</v>
      </c>
      <c r="AA7" s="225" t="s">
        <v>7</v>
      </c>
      <c r="AB7" s="64"/>
      <c r="AC7" s="61" t="s">
        <v>113</v>
      </c>
    </row>
    <row r="8" spans="1:29" ht="14.45" customHeight="1" x14ac:dyDescent="0.65">
      <c r="A8" s="65" t="s">
        <v>95</v>
      </c>
      <c r="B8" s="562">
        <f>B6*D8</f>
        <v>91.8</v>
      </c>
      <c r="C8" s="563">
        <f>C6*D8</f>
        <v>90</v>
      </c>
      <c r="D8" s="564">
        <f>D18-SUM(D9:D16)</f>
        <v>18</v>
      </c>
      <c r="E8" s="64" t="s">
        <v>10</v>
      </c>
      <c r="F8" s="61"/>
      <c r="H8" s="65" t="s">
        <v>95</v>
      </c>
      <c r="I8" s="562">
        <f>I6*K8</f>
        <v>0</v>
      </c>
      <c r="J8" s="563">
        <f>J6*K8</f>
        <v>0</v>
      </c>
      <c r="K8" s="564">
        <f>K18-SUM(K9:K16)</f>
        <v>18</v>
      </c>
      <c r="L8" s="64" t="s">
        <v>10</v>
      </c>
      <c r="M8" s="61"/>
      <c r="O8" s="82"/>
      <c r="Q8" s="65"/>
      <c r="R8" s="207"/>
      <c r="S8" s="208"/>
      <c r="T8" s="67"/>
      <c r="U8" s="64"/>
      <c r="V8" s="6"/>
      <c r="X8" s="65"/>
      <c r="Y8" s="64"/>
      <c r="Z8" s="66"/>
      <c r="AA8" s="67"/>
      <c r="AB8" s="64"/>
      <c r="AC8" s="6"/>
    </row>
    <row r="9" spans="1:29" ht="14.45" customHeight="1" x14ac:dyDescent="0.65">
      <c r="A9" s="65" t="s">
        <v>1</v>
      </c>
      <c r="B9" s="562">
        <f>B6*D9</f>
        <v>25.5</v>
      </c>
      <c r="C9" s="563">
        <f>C6*D9</f>
        <v>25</v>
      </c>
      <c r="D9" s="562">
        <f>D18/5</f>
        <v>5</v>
      </c>
      <c r="E9" s="64" t="s">
        <v>10</v>
      </c>
      <c r="F9" s="61" t="s">
        <v>85</v>
      </c>
      <c r="H9" s="65" t="s">
        <v>1</v>
      </c>
      <c r="I9" s="562">
        <f>I6*K9</f>
        <v>0</v>
      </c>
      <c r="J9" s="563">
        <f>J6*K9</f>
        <v>0</v>
      </c>
      <c r="K9" s="562">
        <f>K18/5</f>
        <v>5</v>
      </c>
      <c r="L9" s="64" t="s">
        <v>10</v>
      </c>
      <c r="M9" s="61" t="s">
        <v>85</v>
      </c>
      <c r="O9" s="82"/>
      <c r="Q9" s="65" t="s">
        <v>95</v>
      </c>
      <c r="R9" s="562">
        <f>R7*T9</f>
        <v>0</v>
      </c>
      <c r="S9" s="563">
        <f>S7*T9</f>
        <v>0</v>
      </c>
      <c r="T9" s="564">
        <f>T18-SUM(T10:T16)</f>
        <v>15.7</v>
      </c>
      <c r="U9" s="64" t="s">
        <v>10</v>
      </c>
      <c r="V9" s="6"/>
      <c r="X9" s="65" t="s">
        <v>95</v>
      </c>
      <c r="Y9" s="562">
        <f>Y7*AA9</f>
        <v>0</v>
      </c>
      <c r="Z9" s="563">
        <f>Z7*AA9</f>
        <v>0</v>
      </c>
      <c r="AA9" s="564">
        <f>AA18-SUM(AA10:AA16)</f>
        <v>15.7</v>
      </c>
      <c r="AB9" s="64" t="s">
        <v>10</v>
      </c>
      <c r="AC9" s="6"/>
    </row>
    <row r="10" spans="1:29" x14ac:dyDescent="0.5">
      <c r="A10" s="65" t="s">
        <v>0</v>
      </c>
      <c r="B10" s="562">
        <f>B6*D10</f>
        <v>2.5499999999999998</v>
      </c>
      <c r="C10" s="563">
        <f>C6*D10</f>
        <v>2.5</v>
      </c>
      <c r="D10" s="562">
        <f>D18*0.2/10</f>
        <v>0.5</v>
      </c>
      <c r="E10" s="64" t="s">
        <v>10</v>
      </c>
      <c r="F10" s="61" t="s">
        <v>112</v>
      </c>
      <c r="H10" s="65" t="s">
        <v>0</v>
      </c>
      <c r="I10" s="562">
        <f>I6*K10</f>
        <v>0</v>
      </c>
      <c r="J10" s="563">
        <f>J6*K10</f>
        <v>0</v>
      </c>
      <c r="K10" s="562">
        <f>K18*0.2/10</f>
        <v>0.5</v>
      </c>
      <c r="L10" s="64" t="s">
        <v>10</v>
      </c>
      <c r="M10" s="61" t="s">
        <v>112</v>
      </c>
      <c r="O10" s="82"/>
      <c r="Q10" s="65" t="s">
        <v>218</v>
      </c>
      <c r="R10" s="562">
        <f>R7*T10</f>
        <v>0</v>
      </c>
      <c r="S10" s="563">
        <f>S7*T10</f>
        <v>0</v>
      </c>
      <c r="T10" s="562">
        <f>T18/10</f>
        <v>2</v>
      </c>
      <c r="U10" s="64" t="s">
        <v>10</v>
      </c>
      <c r="V10" s="61" t="s">
        <v>85</v>
      </c>
      <c r="X10" s="65" t="s">
        <v>218</v>
      </c>
      <c r="Y10" s="562">
        <f>Y7*AA10</f>
        <v>0</v>
      </c>
      <c r="Z10" s="563">
        <f>Z7*AA10</f>
        <v>0</v>
      </c>
      <c r="AA10" s="562">
        <f>AA18/10</f>
        <v>2</v>
      </c>
      <c r="AB10" s="64" t="s">
        <v>10</v>
      </c>
      <c r="AC10" s="61" t="s">
        <v>85</v>
      </c>
    </row>
    <row r="11" spans="1:29" x14ac:dyDescent="0.5">
      <c r="A11" s="235" t="s">
        <v>5</v>
      </c>
      <c r="B11" s="565">
        <f>B6*D11</f>
        <v>0</v>
      </c>
      <c r="C11" s="566">
        <f>C6*D11</f>
        <v>0</v>
      </c>
      <c r="D11" s="565">
        <f>D18*B3</f>
        <v>0</v>
      </c>
      <c r="E11" s="234" t="s">
        <v>10</v>
      </c>
      <c r="F11" s="61" t="s">
        <v>311</v>
      </c>
      <c r="H11" s="235" t="s">
        <v>5</v>
      </c>
      <c r="I11" s="565">
        <f>I6*K11</f>
        <v>0</v>
      </c>
      <c r="J11" s="566">
        <f>J6*K11</f>
        <v>0</v>
      </c>
      <c r="K11" s="565">
        <f>K18*I3</f>
        <v>0</v>
      </c>
      <c r="L11" s="234" t="s">
        <v>10</v>
      </c>
      <c r="M11" s="61" t="s">
        <v>311</v>
      </c>
      <c r="O11" s="82"/>
      <c r="Q11" s="65" t="s">
        <v>0</v>
      </c>
      <c r="R11" s="562">
        <f>R7*T11</f>
        <v>0</v>
      </c>
      <c r="S11" s="563">
        <f>S7*T11</f>
        <v>0</v>
      </c>
      <c r="T11" s="562">
        <f>T18*0.2/10</f>
        <v>0.4</v>
      </c>
      <c r="U11" s="64" t="s">
        <v>10</v>
      </c>
      <c r="V11" s="61" t="s">
        <v>112</v>
      </c>
      <c r="X11" s="65" t="s">
        <v>0</v>
      </c>
      <c r="Y11" s="562">
        <f>Y7*AA11</f>
        <v>0</v>
      </c>
      <c r="Z11" s="563">
        <f>Z7*AA11</f>
        <v>0</v>
      </c>
      <c r="AA11" s="562">
        <f>AA18*0.2/10</f>
        <v>0.4</v>
      </c>
      <c r="AB11" s="64" t="s">
        <v>10</v>
      </c>
      <c r="AC11" s="61" t="s">
        <v>112</v>
      </c>
    </row>
    <row r="12" spans="1:29" x14ac:dyDescent="0.5">
      <c r="A12" s="235" t="s">
        <v>246</v>
      </c>
      <c r="B12" s="565">
        <f>B6*D12</f>
        <v>0</v>
      </c>
      <c r="C12" s="566">
        <f>C6*D12</f>
        <v>0</v>
      </c>
      <c r="D12" s="565">
        <f>D18*D2/5</f>
        <v>0</v>
      </c>
      <c r="E12" s="234" t="s">
        <v>10</v>
      </c>
      <c r="F12" s="61" t="s">
        <v>85</v>
      </c>
      <c r="H12" s="235" t="s">
        <v>246</v>
      </c>
      <c r="I12" s="565">
        <f>I6*K12</f>
        <v>0</v>
      </c>
      <c r="J12" s="566">
        <f>J6*K12</f>
        <v>0</v>
      </c>
      <c r="K12" s="565">
        <f>K18*K2/5</f>
        <v>0</v>
      </c>
      <c r="L12" s="234" t="s">
        <v>10</v>
      </c>
      <c r="M12" s="61" t="s">
        <v>85</v>
      </c>
      <c r="O12" s="82"/>
      <c r="Q12" s="235" t="s">
        <v>5</v>
      </c>
      <c r="R12" s="565">
        <f>R7*T12</f>
        <v>0</v>
      </c>
      <c r="S12" s="566">
        <f>S7*T12</f>
        <v>0</v>
      </c>
      <c r="T12" s="565">
        <f>T18*R3</f>
        <v>0</v>
      </c>
      <c r="U12" s="234" t="s">
        <v>10</v>
      </c>
      <c r="V12" s="61" t="s">
        <v>311</v>
      </c>
      <c r="X12" s="235" t="s">
        <v>5</v>
      </c>
      <c r="Y12" s="565">
        <f>Y7*AA12</f>
        <v>0</v>
      </c>
      <c r="Z12" s="566">
        <f>Z7*AA12</f>
        <v>0</v>
      </c>
      <c r="AA12" s="565">
        <f>AA18*Y3</f>
        <v>0</v>
      </c>
      <c r="AB12" s="234" t="s">
        <v>10</v>
      </c>
      <c r="AC12" s="61" t="s">
        <v>311</v>
      </c>
    </row>
    <row r="13" spans="1:29" x14ac:dyDescent="0.5">
      <c r="A13" s="65" t="s">
        <v>394</v>
      </c>
      <c r="B13" s="562">
        <f>B6*D13</f>
        <v>1.2749999999999999</v>
      </c>
      <c r="C13" s="563">
        <f>C6*D13</f>
        <v>1.25</v>
      </c>
      <c r="D13" s="562">
        <f>0.02*D18/2</f>
        <v>0.25</v>
      </c>
      <c r="E13" s="64" t="s">
        <v>10</v>
      </c>
      <c r="F13" s="453" t="s">
        <v>310</v>
      </c>
      <c r="H13" s="65" t="s">
        <v>111</v>
      </c>
      <c r="I13" s="562">
        <f>I6*K13</f>
        <v>0</v>
      </c>
      <c r="J13" s="563">
        <f>J6*K13</f>
        <v>0</v>
      </c>
      <c r="K13" s="562">
        <f>0.02*K18/2</f>
        <v>0.25</v>
      </c>
      <c r="L13" s="64" t="s">
        <v>10</v>
      </c>
      <c r="M13" s="453" t="s">
        <v>310</v>
      </c>
      <c r="O13" s="82"/>
      <c r="Q13" s="65" t="s">
        <v>219</v>
      </c>
      <c r="R13" s="562">
        <f>R7*T13</f>
        <v>0</v>
      </c>
      <c r="S13" s="563">
        <f>S7*T13</f>
        <v>0</v>
      </c>
      <c r="T13" s="562">
        <f>0.025*T18/5</f>
        <v>0.1</v>
      </c>
      <c r="U13" s="64" t="s">
        <v>10</v>
      </c>
      <c r="V13" s="61" t="s">
        <v>313</v>
      </c>
      <c r="X13" s="65" t="s">
        <v>219</v>
      </c>
      <c r="Y13" s="562">
        <f>Y7*AA13</f>
        <v>0</v>
      </c>
      <c r="Z13" s="563">
        <f>Z7*AA13</f>
        <v>0</v>
      </c>
      <c r="AA13" s="562">
        <f>0.025*AA18/5</f>
        <v>0.1</v>
      </c>
      <c r="AB13" s="64" t="s">
        <v>10</v>
      </c>
      <c r="AC13" s="61" t="s">
        <v>313</v>
      </c>
    </row>
    <row r="14" spans="1:29" x14ac:dyDescent="0.5">
      <c r="A14" s="65" t="s">
        <v>108</v>
      </c>
      <c r="B14" s="562">
        <f>B6*D14</f>
        <v>0.63749999999999996</v>
      </c>
      <c r="C14" s="563">
        <f>C6*D14</f>
        <v>0.625</v>
      </c>
      <c r="D14" s="562">
        <f>0.5*D18/D3</f>
        <v>0.125</v>
      </c>
      <c r="E14" s="64" t="s">
        <v>10</v>
      </c>
      <c r="F14" s="61" t="s">
        <v>83</v>
      </c>
      <c r="G14" s="50"/>
      <c r="H14" s="65" t="s">
        <v>108</v>
      </c>
      <c r="I14" s="562">
        <f>I6*K14</f>
        <v>0</v>
      </c>
      <c r="J14" s="563">
        <f>J6*K14</f>
        <v>0</v>
      </c>
      <c r="K14" s="562">
        <f>0.5*K18/K3</f>
        <v>0.125</v>
      </c>
      <c r="L14" s="64" t="s">
        <v>10</v>
      </c>
      <c r="M14" s="61" t="s">
        <v>83</v>
      </c>
      <c r="O14" s="82"/>
      <c r="Q14" s="65" t="s">
        <v>108</v>
      </c>
      <c r="R14" s="562">
        <f>R7*T14</f>
        <v>0</v>
      </c>
      <c r="S14" s="563">
        <f>S7*T14</f>
        <v>0</v>
      </c>
      <c r="T14" s="562">
        <f>T18*0.2/T2</f>
        <v>0.4</v>
      </c>
      <c r="U14" s="64" t="s">
        <v>10</v>
      </c>
      <c r="V14" s="453" t="s">
        <v>314</v>
      </c>
      <c r="X14" s="65" t="s">
        <v>108</v>
      </c>
      <c r="Y14" s="562">
        <f>Y7*AA14</f>
        <v>0</v>
      </c>
      <c r="Z14" s="563">
        <f>Z7*AA14</f>
        <v>0</v>
      </c>
      <c r="AA14" s="562">
        <f>AA18*0.2/AA2</f>
        <v>0.4</v>
      </c>
      <c r="AB14" s="64" t="s">
        <v>10</v>
      </c>
      <c r="AC14" s="453" t="s">
        <v>314</v>
      </c>
    </row>
    <row r="15" spans="1:29" x14ac:dyDescent="0.5">
      <c r="A15" s="65" t="s">
        <v>109</v>
      </c>
      <c r="B15" s="562">
        <f>B6*D15</f>
        <v>0.63749999999999996</v>
      </c>
      <c r="C15" s="563">
        <f>C6*D15</f>
        <v>0.625</v>
      </c>
      <c r="D15" s="562">
        <f>0.5*D18/D3</f>
        <v>0.125</v>
      </c>
      <c r="E15" s="64" t="s">
        <v>10</v>
      </c>
      <c r="F15" s="61" t="s">
        <v>83</v>
      </c>
      <c r="H15" s="65" t="s">
        <v>109</v>
      </c>
      <c r="I15" s="562">
        <f>I6*K15</f>
        <v>0</v>
      </c>
      <c r="J15" s="563">
        <f>J6*K15</f>
        <v>0</v>
      </c>
      <c r="K15" s="562">
        <f>0.5*K18/K3</f>
        <v>0.125</v>
      </c>
      <c r="L15" s="64" t="s">
        <v>10</v>
      </c>
      <c r="M15" s="61" t="s">
        <v>83</v>
      </c>
      <c r="O15" s="82"/>
      <c r="Q15" s="65" t="s">
        <v>109</v>
      </c>
      <c r="R15" s="562">
        <f>R7*T15</f>
        <v>0</v>
      </c>
      <c r="S15" s="563">
        <f>S7*T15</f>
        <v>0</v>
      </c>
      <c r="T15" s="562">
        <f>T18*0.2/T2</f>
        <v>0.4</v>
      </c>
      <c r="U15" s="64" t="s">
        <v>10</v>
      </c>
      <c r="V15" s="61" t="s">
        <v>106</v>
      </c>
      <c r="W15" s="50"/>
      <c r="X15" s="65" t="s">
        <v>109</v>
      </c>
      <c r="Y15" s="562">
        <f>Y7*AA15</f>
        <v>0</v>
      </c>
      <c r="Z15" s="563">
        <f>Z7*AA15</f>
        <v>0</v>
      </c>
      <c r="AA15" s="562">
        <f>AA18*0.2/AA2</f>
        <v>0.4</v>
      </c>
      <c r="AB15" s="64" t="s">
        <v>10</v>
      </c>
      <c r="AC15" s="61" t="s">
        <v>106</v>
      </c>
    </row>
    <row r="16" spans="1:29" x14ac:dyDescent="0.5">
      <c r="A16" s="65" t="s">
        <v>107</v>
      </c>
      <c r="B16" s="562">
        <f>B6*D16</f>
        <v>5.0999999999999996</v>
      </c>
      <c r="C16" s="563">
        <f>C6*D16</f>
        <v>5</v>
      </c>
      <c r="D16" s="567">
        <v>1</v>
      </c>
      <c r="E16" s="64" t="s">
        <v>10</v>
      </c>
      <c r="F16" s="61" t="s">
        <v>84</v>
      </c>
      <c r="H16" s="65" t="s">
        <v>107</v>
      </c>
      <c r="I16" s="562">
        <f>I6*K16</f>
        <v>0</v>
      </c>
      <c r="J16" s="563">
        <f>J6*K16</f>
        <v>0</v>
      </c>
      <c r="K16" s="567">
        <v>1</v>
      </c>
      <c r="L16" s="64" t="s">
        <v>10</v>
      </c>
      <c r="M16" s="61" t="s">
        <v>84</v>
      </c>
      <c r="O16" s="82"/>
      <c r="Q16" s="65" t="s">
        <v>110</v>
      </c>
      <c r="R16" s="562">
        <f>R7*T16</f>
        <v>0</v>
      </c>
      <c r="S16" s="563">
        <f>S7*T16</f>
        <v>0</v>
      </c>
      <c r="T16" s="567">
        <v>1</v>
      </c>
      <c r="U16" s="64" t="s">
        <v>10</v>
      </c>
      <c r="V16" s="61" t="s">
        <v>106</v>
      </c>
      <c r="X16" s="65" t="s">
        <v>110</v>
      </c>
      <c r="Y16" s="562">
        <f>Y7*AA16</f>
        <v>0</v>
      </c>
      <c r="Z16" s="563">
        <f>Z7*AA16</f>
        <v>0</v>
      </c>
      <c r="AA16" s="567">
        <v>1</v>
      </c>
      <c r="AB16" s="64" t="s">
        <v>10</v>
      </c>
      <c r="AC16" s="61" t="s">
        <v>106</v>
      </c>
    </row>
    <row r="17" spans="1:30" x14ac:dyDescent="0.5">
      <c r="A17"/>
      <c r="B17" s="172"/>
      <c r="C17" s="173"/>
      <c r="D17" s="174"/>
      <c r="I17" s="172"/>
      <c r="J17" s="173"/>
      <c r="K17" s="174"/>
      <c r="O17" s="82"/>
      <c r="R17" s="172"/>
      <c r="S17" s="173"/>
      <c r="T17" s="174"/>
      <c r="V17" s="61" t="s">
        <v>84</v>
      </c>
      <c r="Y17" s="172"/>
      <c r="Z17" s="173"/>
      <c r="AA17" s="174"/>
      <c r="AC17" s="61" t="s">
        <v>84</v>
      </c>
    </row>
    <row r="18" spans="1:30" x14ac:dyDescent="0.5">
      <c r="A18" s="68" t="s">
        <v>4</v>
      </c>
      <c r="B18" s="568">
        <f>SUM(B8:B16)</f>
        <v>127.5</v>
      </c>
      <c r="C18" s="569">
        <f>SUM(C8:C16)</f>
        <v>125</v>
      </c>
      <c r="D18" s="570">
        <v>25</v>
      </c>
      <c r="E18" s="56" t="s">
        <v>10</v>
      </c>
      <c r="H18" s="68" t="s">
        <v>4</v>
      </c>
      <c r="I18" s="568">
        <f>SUM(I8:I16)</f>
        <v>0</v>
      </c>
      <c r="J18" s="569">
        <f>SUM(J8:J16)</f>
        <v>0</v>
      </c>
      <c r="K18" s="570">
        <v>25</v>
      </c>
      <c r="L18" s="56" t="s">
        <v>10</v>
      </c>
      <c r="O18" s="82"/>
      <c r="Q18" s="68" t="s">
        <v>4</v>
      </c>
      <c r="R18" s="568">
        <f>SUM(R9:R16)</f>
        <v>0</v>
      </c>
      <c r="S18" s="569">
        <f>SUM(S9:S16)</f>
        <v>0</v>
      </c>
      <c r="T18" s="570">
        <v>20</v>
      </c>
      <c r="U18" s="56" t="s">
        <v>10</v>
      </c>
      <c r="X18" s="68" t="s">
        <v>4</v>
      </c>
      <c r="Y18" s="568">
        <f>SUM(Y9:Y16)</f>
        <v>0</v>
      </c>
      <c r="Z18" s="569">
        <f>SUM(Z9:Z16)</f>
        <v>0</v>
      </c>
      <c r="AA18" s="570">
        <v>20</v>
      </c>
      <c r="AB18" s="56" t="s">
        <v>10</v>
      </c>
    </row>
    <row r="19" spans="1:30" x14ac:dyDescent="0.5">
      <c r="A19" s="68" t="s">
        <v>100</v>
      </c>
      <c r="B19" s="568">
        <f>SUM(B8:B15)</f>
        <v>122.4</v>
      </c>
      <c r="C19" s="569">
        <f>SUM(C8:C15)</f>
        <v>120</v>
      </c>
      <c r="D19" s="571">
        <f>SUM(D8:D15)</f>
        <v>24</v>
      </c>
      <c r="E19" s="56" t="s">
        <v>10</v>
      </c>
      <c r="H19" s="68" t="s">
        <v>100</v>
      </c>
      <c r="I19" s="568">
        <f>SUM(I8:I15)</f>
        <v>0</v>
      </c>
      <c r="J19" s="569">
        <f>SUM(J8:J15)</f>
        <v>0</v>
      </c>
      <c r="K19" s="571">
        <f>SUM(K8:K15)</f>
        <v>24</v>
      </c>
      <c r="L19" s="56" t="s">
        <v>10</v>
      </c>
      <c r="O19" s="82"/>
      <c r="Q19" s="68" t="s">
        <v>100</v>
      </c>
      <c r="R19" s="568">
        <f>SUM(R9:R15)</f>
        <v>0</v>
      </c>
      <c r="S19" s="569">
        <f>SUM(S9:S15)</f>
        <v>0</v>
      </c>
      <c r="T19" s="571">
        <f>SUM(T9:T15)</f>
        <v>18.999999999999996</v>
      </c>
      <c r="U19" s="56" t="s">
        <v>10</v>
      </c>
      <c r="X19" s="68" t="s">
        <v>100</v>
      </c>
      <c r="Y19" s="568">
        <f>SUM(Y9:Y15)</f>
        <v>0</v>
      </c>
      <c r="Z19" s="569">
        <f>SUM(Z9:Z15)</f>
        <v>0</v>
      </c>
      <c r="AA19" s="571">
        <f>SUM(AA9:AA15)</f>
        <v>18.999999999999996</v>
      </c>
      <c r="AB19" s="56" t="s">
        <v>10</v>
      </c>
    </row>
    <row r="20" spans="1:30" x14ac:dyDescent="0.5">
      <c r="A20" s="68" t="s">
        <v>101</v>
      </c>
      <c r="B20" s="568">
        <f>SUM(B8:B13,B16)</f>
        <v>126.22499999999999</v>
      </c>
      <c r="C20" s="569">
        <f>SUM(C8:C13,C16)</f>
        <v>123.75</v>
      </c>
      <c r="D20" s="571">
        <f>SUM(D8:D13,D16)</f>
        <v>24.75</v>
      </c>
      <c r="E20" s="56" t="s">
        <v>10</v>
      </c>
      <c r="H20" s="68" t="s">
        <v>101</v>
      </c>
      <c r="I20" s="568">
        <f>SUM(I8:I13,I16)</f>
        <v>0</v>
      </c>
      <c r="J20" s="569">
        <f>SUM(J8:J13,J16)</f>
        <v>0</v>
      </c>
      <c r="K20" s="571">
        <f>SUM(K8:K13,K16)</f>
        <v>24.75</v>
      </c>
      <c r="L20" s="56" t="s">
        <v>10</v>
      </c>
      <c r="O20" s="82"/>
      <c r="Q20" s="68" t="s">
        <v>101</v>
      </c>
      <c r="R20" s="568">
        <f>SUM(R9:R13,R16)</f>
        <v>0</v>
      </c>
      <c r="S20" s="569">
        <f>SUM(S9:S13,S16)</f>
        <v>0</v>
      </c>
      <c r="T20" s="571">
        <f>SUM(T9:T13,T16)</f>
        <v>19.2</v>
      </c>
      <c r="U20" s="56" t="s">
        <v>10</v>
      </c>
      <c r="X20" s="68" t="s">
        <v>101</v>
      </c>
      <c r="Y20" s="568">
        <f>SUM(Y9:Y13,Y16)</f>
        <v>0</v>
      </c>
      <c r="Z20" s="569">
        <f>SUM(Z9:Z13,Z16)</f>
        <v>0</v>
      </c>
      <c r="AA20" s="571">
        <f>SUM(AA9:AA13,AA16)</f>
        <v>19.2</v>
      </c>
      <c r="AB20" s="56" t="s">
        <v>10</v>
      </c>
    </row>
    <row r="21" spans="1:30" x14ac:dyDescent="0.5">
      <c r="A21" s="68" t="s">
        <v>102</v>
      </c>
      <c r="B21" s="568">
        <f>SUM(B8:B13)</f>
        <v>121.125</v>
      </c>
      <c r="C21" s="569">
        <f>SUM(C8:C13)</f>
        <v>118.75</v>
      </c>
      <c r="D21" s="571">
        <f>SUM(D8:D13)</f>
        <v>23.75</v>
      </c>
      <c r="E21" s="56" t="s">
        <v>10</v>
      </c>
      <c r="H21" s="68" t="s">
        <v>102</v>
      </c>
      <c r="I21" s="568">
        <f>SUM(I8:I13)</f>
        <v>0</v>
      </c>
      <c r="J21" s="569">
        <f>SUM(J8:J13)</f>
        <v>0</v>
      </c>
      <c r="K21" s="571">
        <f>SUM(K8:K13)</f>
        <v>23.75</v>
      </c>
      <c r="L21" s="56" t="s">
        <v>10</v>
      </c>
      <c r="O21" s="82"/>
      <c r="Q21" s="68" t="s">
        <v>102</v>
      </c>
      <c r="R21" s="568">
        <f>SUM(R9:R13)</f>
        <v>0</v>
      </c>
      <c r="S21" s="569">
        <f>SUM(S9:S13)</f>
        <v>0</v>
      </c>
      <c r="T21" s="571">
        <f>SUM(T9:T13)</f>
        <v>18.2</v>
      </c>
      <c r="U21" s="56" t="s">
        <v>10</v>
      </c>
      <c r="X21" s="68" t="s">
        <v>102</v>
      </c>
      <c r="Y21" s="568">
        <f>SUM(Y9:Y13)</f>
        <v>0</v>
      </c>
      <c r="Z21" s="569">
        <f>SUM(Z9:Z13)</f>
        <v>0</v>
      </c>
      <c r="AA21" s="571">
        <f>SUM(AA9:AA13)</f>
        <v>18.2</v>
      </c>
      <c r="AB21" s="56" t="s">
        <v>10</v>
      </c>
    </row>
    <row r="22" spans="1:30" x14ac:dyDescent="0.5">
      <c r="O22" s="82"/>
      <c r="Q22" s="1"/>
    </row>
    <row r="23" spans="1:30" x14ac:dyDescent="0.5">
      <c r="H23" s="1"/>
      <c r="M23" s="38"/>
      <c r="N23" s="80"/>
      <c r="O23" s="82"/>
      <c r="Q23" s="1"/>
      <c r="X23" s="1"/>
    </row>
    <row r="24" spans="1:30" x14ac:dyDescent="0.5">
      <c r="D24" s="25" t="s">
        <v>60</v>
      </c>
      <c r="H24" s="1"/>
      <c r="K24" s="25" t="s">
        <v>60</v>
      </c>
      <c r="M24" s="38"/>
      <c r="N24" s="80"/>
      <c r="O24" s="82"/>
      <c r="Q24" s="1"/>
      <c r="T24" s="25" t="s">
        <v>60</v>
      </c>
      <c r="X24" s="1"/>
      <c r="AA24" s="25" t="s">
        <v>60</v>
      </c>
    </row>
    <row r="25" spans="1:30" ht="17.350000000000001" x14ac:dyDescent="0.65">
      <c r="A25" s="160"/>
      <c r="B25" s="160"/>
      <c r="C25" s="160"/>
      <c r="D25" s="160"/>
      <c r="E25" s="160"/>
      <c r="F25" s="160"/>
      <c r="G25" s="160"/>
      <c r="H25" s="160"/>
      <c r="I25" s="160"/>
      <c r="J25" s="160"/>
      <c r="K25" s="160"/>
      <c r="L25" s="160"/>
      <c r="M25" s="160"/>
      <c r="N25" s="80"/>
      <c r="O25" s="82"/>
      <c r="Q25" s="161"/>
      <c r="R25" s="161"/>
      <c r="S25" s="161"/>
      <c r="T25" s="161"/>
      <c r="U25" s="161"/>
      <c r="V25" s="161"/>
      <c r="X25" s="1"/>
    </row>
    <row r="26" spans="1:30" s="79" customFormat="1" ht="22.2" customHeight="1" x14ac:dyDescent="0.65">
      <c r="A26" s="625" t="s">
        <v>384</v>
      </c>
      <c r="B26" s="625"/>
      <c r="C26" s="625"/>
      <c r="D26" s="625"/>
      <c r="E26" s="625"/>
      <c r="F26" s="625"/>
      <c r="G26" s="60"/>
      <c r="H26" s="622" t="s">
        <v>385</v>
      </c>
      <c r="I26" s="622"/>
      <c r="J26" s="622"/>
      <c r="K26" s="622"/>
      <c r="L26" s="622"/>
      <c r="M26" s="622"/>
      <c r="N26" s="626"/>
      <c r="O26" s="83"/>
      <c r="P26"/>
      <c r="Q26" s="625" t="s">
        <v>389</v>
      </c>
      <c r="R26" s="625"/>
      <c r="S26" s="625"/>
      <c r="T26" s="625"/>
      <c r="U26" s="625"/>
      <c r="V26" s="625"/>
      <c r="W26" s="161"/>
      <c r="X26" s="622" t="s">
        <v>386</v>
      </c>
      <c r="Y26" s="622"/>
      <c r="Z26" s="622"/>
      <c r="AA26" s="622"/>
      <c r="AB26" s="622"/>
      <c r="AC26" s="622"/>
    </row>
    <row r="27" spans="1:30" s="23" customFormat="1" ht="14.45" customHeight="1" x14ac:dyDescent="0.5">
      <c r="A27" s="59" t="s">
        <v>2</v>
      </c>
      <c r="B27" s="3"/>
      <c r="C27" s="158" t="s">
        <v>381</v>
      </c>
      <c r="D27" s="457">
        <v>0</v>
      </c>
      <c r="E27" s="550" t="s">
        <v>15</v>
      </c>
      <c r="F27"/>
      <c r="G27"/>
      <c r="H27" s="59" t="s">
        <v>2</v>
      </c>
      <c r="I27" s="3"/>
      <c r="J27" s="158" t="s">
        <v>381</v>
      </c>
      <c r="K27" s="457">
        <v>0</v>
      </c>
      <c r="L27" s="550" t="s">
        <v>15</v>
      </c>
      <c r="M27"/>
      <c r="N27" s="80"/>
      <c r="O27" s="81"/>
      <c r="P27"/>
      <c r="Q27" s="59" t="s">
        <v>2</v>
      </c>
      <c r="R27" s="3"/>
      <c r="S27" s="455" t="s">
        <v>86</v>
      </c>
      <c r="T27" s="458">
        <v>10</v>
      </c>
      <c r="U27" s="38" t="s">
        <v>14</v>
      </c>
      <c r="V27"/>
      <c r="W27" s="60"/>
      <c r="X27" s="59" t="s">
        <v>2</v>
      </c>
      <c r="Y27" s="3"/>
      <c r="Z27" s="455" t="s">
        <v>86</v>
      </c>
      <c r="AA27" s="458">
        <v>10</v>
      </c>
      <c r="AB27" s="339" t="s">
        <v>14</v>
      </c>
      <c r="AC27"/>
      <c r="AD27"/>
    </row>
    <row r="28" spans="1:30" ht="15" thickBot="1" x14ac:dyDescent="0.6">
      <c r="A28" s="158" t="s">
        <v>380</v>
      </c>
      <c r="B28" s="456">
        <v>0</v>
      </c>
      <c r="C28" s="277" t="s">
        <v>217</v>
      </c>
      <c r="D28" s="458">
        <v>100</v>
      </c>
      <c r="E28" s="38" t="s">
        <v>14</v>
      </c>
      <c r="H28" s="158" t="s">
        <v>380</v>
      </c>
      <c r="I28" s="456">
        <v>0</v>
      </c>
      <c r="J28" s="277" t="s">
        <v>217</v>
      </c>
      <c r="K28" s="458">
        <v>100</v>
      </c>
      <c r="L28" s="38" t="s">
        <v>14</v>
      </c>
      <c r="N28" s="80"/>
      <c r="O28" s="82"/>
      <c r="Q28" s="158" t="s">
        <v>380</v>
      </c>
      <c r="R28" s="456">
        <v>0</v>
      </c>
      <c r="S28" s="158" t="s">
        <v>312</v>
      </c>
      <c r="T28" s="457">
        <v>25</v>
      </c>
      <c r="U28" t="s">
        <v>76</v>
      </c>
      <c r="X28" s="158" t="s">
        <v>380</v>
      </c>
      <c r="Y28" s="456">
        <v>0</v>
      </c>
      <c r="Z28" s="158" t="s">
        <v>312</v>
      </c>
      <c r="AA28" s="457">
        <v>25</v>
      </c>
      <c r="AB28" s="326" t="s">
        <v>76</v>
      </c>
    </row>
    <row r="29" spans="1:30" ht="15" thickTop="1" thickBot="1" x14ac:dyDescent="0.55000000000000004">
      <c r="A29" s="59" t="s">
        <v>3</v>
      </c>
      <c r="B29" s="70">
        <v>0.04</v>
      </c>
      <c r="C29" s="157">
        <v>0</v>
      </c>
      <c r="D29" s="72" t="s">
        <v>12</v>
      </c>
      <c r="H29" s="59" t="s">
        <v>3</v>
      </c>
      <c r="I29" s="70">
        <v>0.04</v>
      </c>
      <c r="J29" s="157">
        <v>0</v>
      </c>
      <c r="K29" s="72" t="s">
        <v>12</v>
      </c>
      <c r="N29" s="80"/>
      <c r="O29" s="82"/>
      <c r="T29" s="73"/>
      <c r="AA29" s="73"/>
    </row>
    <row r="30" spans="1:30" ht="15" customHeight="1" thickTop="1" x14ac:dyDescent="0.5">
      <c r="B30" s="51"/>
      <c r="C30" s="27"/>
      <c r="D30" s="5"/>
      <c r="H30" s="1"/>
      <c r="I30" s="51"/>
      <c r="J30" s="27"/>
      <c r="K30" s="5"/>
      <c r="N30" s="80"/>
      <c r="O30" s="82"/>
      <c r="Q30" s="59" t="s">
        <v>3</v>
      </c>
      <c r="R30" s="70">
        <v>0.04</v>
      </c>
      <c r="S30" s="71">
        <v>0</v>
      </c>
      <c r="T30" s="72" t="s">
        <v>38</v>
      </c>
      <c r="X30" s="59" t="s">
        <v>3</v>
      </c>
      <c r="Y30" s="70">
        <v>0.04</v>
      </c>
      <c r="Z30" s="157">
        <v>0</v>
      </c>
      <c r="AA30" s="72" t="s">
        <v>38</v>
      </c>
    </row>
    <row r="31" spans="1:30" ht="16.350000000000001" x14ac:dyDescent="0.65">
      <c r="A31" s="222" t="s">
        <v>2</v>
      </c>
      <c r="B31" s="223">
        <f>B27*(1+B29)</f>
        <v>0</v>
      </c>
      <c r="C31" s="224">
        <f>B27*(1+C29)</f>
        <v>0</v>
      </c>
      <c r="D31" s="225" t="s">
        <v>7</v>
      </c>
      <c r="E31" s="64"/>
      <c r="F31" s="61" t="s">
        <v>212</v>
      </c>
      <c r="H31" s="222" t="s">
        <v>2</v>
      </c>
      <c r="I31" s="223">
        <f>I27*(1+I29)</f>
        <v>0</v>
      </c>
      <c r="J31" s="224">
        <f>I27*(1+J29)</f>
        <v>0</v>
      </c>
      <c r="K31" s="225" t="s">
        <v>7</v>
      </c>
      <c r="L31" s="64"/>
      <c r="M31" s="326" t="s">
        <v>308</v>
      </c>
      <c r="N31" s="159" t="s">
        <v>309</v>
      </c>
      <c r="O31" s="82"/>
      <c r="Q31" s="1"/>
      <c r="R31" s="51"/>
      <c r="S31" s="27"/>
      <c r="T31" s="5"/>
      <c r="X31" s="1"/>
      <c r="Y31" s="51"/>
      <c r="Z31" s="27"/>
      <c r="AA31" s="5"/>
    </row>
    <row r="32" spans="1:30" ht="16.350000000000001" x14ac:dyDescent="0.65">
      <c r="A32" s="65"/>
      <c r="B32" s="210"/>
      <c r="C32" s="211"/>
      <c r="D32" s="212"/>
      <c r="E32" s="64"/>
      <c r="F32" s="61"/>
      <c r="H32" s="65"/>
      <c r="I32" s="210"/>
      <c r="J32" s="211"/>
      <c r="K32" s="212"/>
      <c r="L32" s="64"/>
      <c r="M32" s="61"/>
      <c r="N32" s="454"/>
      <c r="O32" s="82"/>
      <c r="Q32" s="222" t="s">
        <v>2</v>
      </c>
      <c r="R32" s="223">
        <f>R27*(1+R30)</f>
        <v>0</v>
      </c>
      <c r="S32" s="224">
        <f>R27*(1+S30)</f>
        <v>0</v>
      </c>
      <c r="T32" s="225" t="s">
        <v>7</v>
      </c>
      <c r="U32" s="64"/>
      <c r="V32" s="61" t="s">
        <v>113</v>
      </c>
      <c r="X32" s="222" t="s">
        <v>2</v>
      </c>
      <c r="Y32" s="223">
        <f>Y27*(1+Y30)</f>
        <v>0</v>
      </c>
      <c r="Z32" s="224">
        <f>Y27*(1+Z30)</f>
        <v>0</v>
      </c>
      <c r="AA32" s="225" t="s">
        <v>7</v>
      </c>
      <c r="AB32" s="64"/>
      <c r="AC32" s="326" t="s">
        <v>308</v>
      </c>
      <c r="AD32" s="159" t="s">
        <v>309</v>
      </c>
    </row>
    <row r="33" spans="1:30" ht="16.350000000000001" x14ac:dyDescent="0.65">
      <c r="A33" s="65" t="s">
        <v>95</v>
      </c>
      <c r="B33" s="562">
        <f>B31*D33</f>
        <v>0</v>
      </c>
      <c r="C33" s="563">
        <f>C31*D33</f>
        <v>0</v>
      </c>
      <c r="D33" s="564">
        <f>D43-SUM(D34:D41)</f>
        <v>18</v>
      </c>
      <c r="E33" s="64" t="s">
        <v>10</v>
      </c>
      <c r="F33" s="61"/>
      <c r="H33" s="65" t="s">
        <v>95</v>
      </c>
      <c r="I33" s="562">
        <f>I31*K33</f>
        <v>0</v>
      </c>
      <c r="J33" s="563">
        <f>J31*K33</f>
        <v>0</v>
      </c>
      <c r="K33" s="564">
        <f>K43-SUM(K34:K41)</f>
        <v>18</v>
      </c>
      <c r="L33" s="64" t="s">
        <v>10</v>
      </c>
      <c r="M33" s="61"/>
      <c r="N33" s="454"/>
      <c r="O33" s="82"/>
      <c r="Q33" s="65"/>
      <c r="R33" s="64"/>
      <c r="S33" s="66"/>
      <c r="T33" s="67"/>
      <c r="U33" s="64"/>
      <c r="V33" s="6"/>
      <c r="X33" s="65"/>
      <c r="Y33" s="207"/>
      <c r="Z33" s="208"/>
      <c r="AA33" s="67"/>
      <c r="AB33" s="64"/>
      <c r="AC33" s="61"/>
      <c r="AD33" s="459"/>
    </row>
    <row r="34" spans="1:30" ht="14.45" customHeight="1" x14ac:dyDescent="0.65">
      <c r="A34" s="65" t="s">
        <v>1</v>
      </c>
      <c r="B34" s="562">
        <f>B31*D34</f>
        <v>0</v>
      </c>
      <c r="C34" s="563">
        <f>C31*D34</f>
        <v>0</v>
      </c>
      <c r="D34" s="562">
        <f>D43/5</f>
        <v>5</v>
      </c>
      <c r="E34" s="64" t="s">
        <v>10</v>
      </c>
      <c r="F34" s="61" t="s">
        <v>85</v>
      </c>
      <c r="H34" s="65" t="s">
        <v>1</v>
      </c>
      <c r="I34" s="562">
        <f>I31*K34</f>
        <v>0</v>
      </c>
      <c r="J34" s="563">
        <f>J31*K34</f>
        <v>0</v>
      </c>
      <c r="K34" s="562">
        <f>K43/5</f>
        <v>5</v>
      </c>
      <c r="L34" s="64" t="s">
        <v>10</v>
      </c>
      <c r="M34" s="452" t="str">
        <f>_xlfn.CONCAT(K34*5/K43,"×")</f>
        <v>1×</v>
      </c>
      <c r="N34" s="61" t="s">
        <v>85</v>
      </c>
      <c r="O34" s="82"/>
      <c r="Q34" s="65" t="s">
        <v>95</v>
      </c>
      <c r="R34" s="562">
        <f>R32*T34</f>
        <v>0</v>
      </c>
      <c r="S34" s="563">
        <f>S32*T34</f>
        <v>0</v>
      </c>
      <c r="T34" s="564">
        <f>T43-SUM(T35:T41)</f>
        <v>15.7</v>
      </c>
      <c r="U34" s="64" t="s">
        <v>10</v>
      </c>
      <c r="V34" s="6"/>
      <c r="X34" s="65" t="s">
        <v>95</v>
      </c>
      <c r="Y34" s="562">
        <f>Y32*AA34</f>
        <v>0</v>
      </c>
      <c r="Z34" s="563">
        <f>Z32*AA34</f>
        <v>0</v>
      </c>
      <c r="AA34" s="564">
        <f>AA44-SUM(AA35:AA42)</f>
        <v>15.7</v>
      </c>
      <c r="AB34" s="64" t="s">
        <v>10</v>
      </c>
      <c r="AC34" s="61"/>
      <c r="AD34" s="459"/>
    </row>
    <row r="35" spans="1:30" x14ac:dyDescent="0.5">
      <c r="A35" s="65" t="s">
        <v>0</v>
      </c>
      <c r="B35" s="562">
        <f>B31*D35</f>
        <v>0</v>
      </c>
      <c r="C35" s="563">
        <f>C31*D35</f>
        <v>0</v>
      </c>
      <c r="D35" s="562">
        <f>D43*0.2/10</f>
        <v>0.5</v>
      </c>
      <c r="E35" s="64" t="s">
        <v>10</v>
      </c>
      <c r="F35" s="61" t="s">
        <v>112</v>
      </c>
      <c r="H35" s="65" t="s">
        <v>0</v>
      </c>
      <c r="I35" s="562">
        <f>I31*K35</f>
        <v>0</v>
      </c>
      <c r="J35" s="563">
        <f>J31*K35</f>
        <v>0</v>
      </c>
      <c r="K35" s="572">
        <f>K43*0.2/10</f>
        <v>0.5</v>
      </c>
      <c r="L35" s="64" t="s">
        <v>10</v>
      </c>
      <c r="M35" s="452" t="str">
        <f>_xlfn.CONCAT(K35*10/K43," mM")</f>
        <v>0.2 mM</v>
      </c>
      <c r="N35" s="61" t="s">
        <v>112</v>
      </c>
      <c r="O35" s="82"/>
      <c r="Q35" s="65" t="s">
        <v>218</v>
      </c>
      <c r="R35" s="562">
        <f>R32*T35</f>
        <v>0</v>
      </c>
      <c r="S35" s="563">
        <f>S32*T35</f>
        <v>0</v>
      </c>
      <c r="T35" s="562">
        <f>T43/10</f>
        <v>2</v>
      </c>
      <c r="U35" s="64" t="s">
        <v>10</v>
      </c>
      <c r="V35" s="61" t="s">
        <v>85</v>
      </c>
      <c r="X35" s="65" t="s">
        <v>218</v>
      </c>
      <c r="Y35" s="562">
        <f>Y32*AA35</f>
        <v>0</v>
      </c>
      <c r="Z35" s="563">
        <f>Z32*AA35</f>
        <v>0</v>
      </c>
      <c r="AA35" s="562">
        <f>AA44/10</f>
        <v>2</v>
      </c>
      <c r="AB35" s="64" t="s">
        <v>10</v>
      </c>
      <c r="AC35" s="452" t="str">
        <f>_xlfn.CONCAT(AA35*10/AA44,"×")</f>
        <v>1×</v>
      </c>
      <c r="AD35" s="61" t="s">
        <v>85</v>
      </c>
    </row>
    <row r="36" spans="1:30" x14ac:dyDescent="0.5">
      <c r="A36" s="235" t="s">
        <v>5</v>
      </c>
      <c r="B36" s="565">
        <f>B31*D36</f>
        <v>0</v>
      </c>
      <c r="C36" s="566">
        <f>C31*D36</f>
        <v>0</v>
      </c>
      <c r="D36" s="565">
        <f>D43*B28</f>
        <v>0</v>
      </c>
      <c r="E36" s="234" t="s">
        <v>10</v>
      </c>
      <c r="F36" s="61" t="s">
        <v>311</v>
      </c>
      <c r="H36" s="65" t="s">
        <v>5</v>
      </c>
      <c r="I36" s="562">
        <f>I31*K36</f>
        <v>0</v>
      </c>
      <c r="J36" s="563">
        <f>J31*K36</f>
        <v>0</v>
      </c>
      <c r="K36" s="562">
        <f>K43*I28</f>
        <v>0</v>
      </c>
      <c r="L36" s="210" t="s">
        <v>10</v>
      </c>
      <c r="M36" s="452" t="str">
        <f>_xlfn.CONCAT(K36/K43,"% v/v")</f>
        <v>0% v/v</v>
      </c>
      <c r="N36" s="61" t="s">
        <v>311</v>
      </c>
      <c r="O36" s="82"/>
      <c r="Q36" s="65" t="s">
        <v>0</v>
      </c>
      <c r="R36" s="562">
        <f>R32*T36</f>
        <v>0</v>
      </c>
      <c r="S36" s="563">
        <f>S32*T36</f>
        <v>0</v>
      </c>
      <c r="T36" s="562">
        <f>T43*0.2/10</f>
        <v>0.4</v>
      </c>
      <c r="U36" s="64" t="s">
        <v>10</v>
      </c>
      <c r="V36" s="61" t="s">
        <v>112</v>
      </c>
      <c r="X36" s="65" t="s">
        <v>0</v>
      </c>
      <c r="Y36" s="562">
        <f>Y32*AA36</f>
        <v>0</v>
      </c>
      <c r="Z36" s="563">
        <f>Z32*AA36</f>
        <v>0</v>
      </c>
      <c r="AA36" s="572">
        <f>AA44*0.2/10</f>
        <v>0.4</v>
      </c>
      <c r="AB36" s="64" t="s">
        <v>10</v>
      </c>
      <c r="AC36" s="452" t="str">
        <f>_xlfn.CONCAT(AA36*10/AA44," mM")</f>
        <v>0.2 mM</v>
      </c>
      <c r="AD36" s="61" t="s">
        <v>112</v>
      </c>
    </row>
    <row r="37" spans="1:30" x14ac:dyDescent="0.5">
      <c r="A37" s="235" t="s">
        <v>246</v>
      </c>
      <c r="B37" s="565">
        <f>B31*D37</f>
        <v>0</v>
      </c>
      <c r="C37" s="566">
        <f>C31*D37</f>
        <v>0</v>
      </c>
      <c r="D37" s="565">
        <f>D43*D27/5</f>
        <v>0</v>
      </c>
      <c r="E37" s="234" t="s">
        <v>10</v>
      </c>
      <c r="F37" s="61" t="s">
        <v>85</v>
      </c>
      <c r="H37" s="65" t="s">
        <v>246</v>
      </c>
      <c r="I37" s="562">
        <f>I31*K37</f>
        <v>0</v>
      </c>
      <c r="J37" s="563">
        <f>J31*K37</f>
        <v>0</v>
      </c>
      <c r="K37" s="572">
        <f>K43*K27/5</f>
        <v>0</v>
      </c>
      <c r="L37" s="210" t="s">
        <v>10</v>
      </c>
      <c r="M37" s="452" t="str">
        <f>_xlfn.CONCAT(K37*5/K43,"×")</f>
        <v>0×</v>
      </c>
      <c r="N37" s="61" t="s">
        <v>85</v>
      </c>
      <c r="O37" s="82"/>
      <c r="Q37" s="65" t="s">
        <v>219</v>
      </c>
      <c r="R37" s="562">
        <f>R32*T37</f>
        <v>0</v>
      </c>
      <c r="S37" s="563">
        <f>S32*T37</f>
        <v>0</v>
      </c>
      <c r="T37" s="562">
        <f>0.025*T43/5</f>
        <v>0.1</v>
      </c>
      <c r="U37" s="64" t="s">
        <v>10</v>
      </c>
      <c r="V37" s="61" t="s">
        <v>311</v>
      </c>
      <c r="X37" s="65" t="s">
        <v>5</v>
      </c>
      <c r="Y37" s="562">
        <f>Y32*AA37</f>
        <v>0</v>
      </c>
      <c r="Z37" s="563">
        <f>Z32*AA37</f>
        <v>0</v>
      </c>
      <c r="AA37" s="562">
        <f>AA44*Y28</f>
        <v>0</v>
      </c>
      <c r="AB37" s="64" t="s">
        <v>10</v>
      </c>
      <c r="AC37" s="452" t="str">
        <f>_xlfn.CONCAT(AA37/AA44,"% v/v")</f>
        <v>0% v/v</v>
      </c>
      <c r="AD37" s="61" t="s">
        <v>311</v>
      </c>
    </row>
    <row r="38" spans="1:30" ht="16.350000000000001" x14ac:dyDescent="0.65">
      <c r="A38" s="65" t="s">
        <v>111</v>
      </c>
      <c r="B38" s="562">
        <f>B31*D38</f>
        <v>0</v>
      </c>
      <c r="C38" s="563">
        <f>C31*D38</f>
        <v>0</v>
      </c>
      <c r="D38" s="562">
        <f>0.02*D43/2</f>
        <v>0.25</v>
      </c>
      <c r="E38" s="64" t="s">
        <v>10</v>
      </c>
      <c r="F38" s="453" t="s">
        <v>310</v>
      </c>
      <c r="H38" s="65" t="s">
        <v>111</v>
      </c>
      <c r="I38" s="562">
        <f>I31*K38</f>
        <v>0</v>
      </c>
      <c r="J38" s="563">
        <f>J31*K38</f>
        <v>0</v>
      </c>
      <c r="K38" s="572">
        <f>0.02*K43/2</f>
        <v>0.25</v>
      </c>
      <c r="L38" s="64" t="s">
        <v>10</v>
      </c>
      <c r="M38" s="452" t="str">
        <f>_xlfn.CONCAT(K38*100/K43,"% v/v")</f>
        <v>1% v/v</v>
      </c>
      <c r="N38" s="453" t="s">
        <v>310</v>
      </c>
      <c r="O38" s="82"/>
      <c r="Q38" s="235" t="s">
        <v>5</v>
      </c>
      <c r="R38" s="565">
        <f>R32*T38</f>
        <v>0</v>
      </c>
      <c r="S38" s="566">
        <f>S32*T38</f>
        <v>0</v>
      </c>
      <c r="T38" s="565">
        <f>T43*R28</f>
        <v>0</v>
      </c>
      <c r="U38" s="234" t="s">
        <v>10</v>
      </c>
      <c r="V38" s="61" t="s">
        <v>313</v>
      </c>
      <c r="X38" s="65" t="s">
        <v>220</v>
      </c>
      <c r="Y38" s="562">
        <f>Y32*AA38</f>
        <v>0</v>
      </c>
      <c r="Z38" s="563">
        <f>Z32*AA38</f>
        <v>0</v>
      </c>
      <c r="AA38" s="572">
        <v>0</v>
      </c>
      <c r="AB38" s="64" t="s">
        <v>10</v>
      </c>
      <c r="AC38" s="452" t="str">
        <f>_xlfn.CONCAT(AA38*AA28/AA44," mM")</f>
        <v>0 mM</v>
      </c>
      <c r="AD38" s="61" t="s">
        <v>313</v>
      </c>
    </row>
    <row r="39" spans="1:30" x14ac:dyDescent="0.5">
      <c r="A39" s="65" t="s">
        <v>108</v>
      </c>
      <c r="B39" s="562">
        <f>B31*D39</f>
        <v>0</v>
      </c>
      <c r="C39" s="563">
        <f>C31*D39</f>
        <v>0</v>
      </c>
      <c r="D39" s="562">
        <f>0.5*D43/D28</f>
        <v>0.125</v>
      </c>
      <c r="E39" s="64" t="s">
        <v>10</v>
      </c>
      <c r="F39" s="61" t="s">
        <v>83</v>
      </c>
      <c r="G39" s="50"/>
      <c r="H39" s="65" t="s">
        <v>108</v>
      </c>
      <c r="I39" s="562">
        <f>I31*K39</f>
        <v>0</v>
      </c>
      <c r="J39" s="563">
        <f>J31*K39</f>
        <v>0</v>
      </c>
      <c r="K39" s="572">
        <f>0.5*K43/K28</f>
        <v>0.125</v>
      </c>
      <c r="L39" s="64" t="s">
        <v>10</v>
      </c>
      <c r="M39" s="452" t="str">
        <f>_xlfn.CONCAT(K39*K28/K43," µM")</f>
        <v>0.5 µM</v>
      </c>
      <c r="N39" s="61" t="s">
        <v>83</v>
      </c>
      <c r="O39" s="82"/>
      <c r="Q39" s="65" t="s">
        <v>108</v>
      </c>
      <c r="R39" s="562">
        <f>R32*T39</f>
        <v>0</v>
      </c>
      <c r="S39" s="563">
        <f>S32*T39</f>
        <v>0</v>
      </c>
      <c r="T39" s="562">
        <f>T43*0.2/T27</f>
        <v>0.4</v>
      </c>
      <c r="U39" s="64" t="s">
        <v>10</v>
      </c>
      <c r="V39" s="453" t="s">
        <v>314</v>
      </c>
      <c r="X39" s="65" t="s">
        <v>219</v>
      </c>
      <c r="Y39" s="562">
        <f>Y32*AA39</f>
        <v>0</v>
      </c>
      <c r="Z39" s="563">
        <f>Z32*AA39</f>
        <v>0</v>
      </c>
      <c r="AA39" s="573">
        <f>0.025*AA44/5</f>
        <v>0.1</v>
      </c>
      <c r="AB39" s="64" t="s">
        <v>10</v>
      </c>
      <c r="AC39" s="452" t="str">
        <f>_xlfn.CONCAT(AA39*100/AA44,"% v/v")</f>
        <v>0.5% v/v</v>
      </c>
      <c r="AD39" s="453" t="s">
        <v>314</v>
      </c>
    </row>
    <row r="40" spans="1:30" x14ac:dyDescent="0.5">
      <c r="A40" s="65" t="s">
        <v>109</v>
      </c>
      <c r="B40" s="562">
        <f>B31*D40</f>
        <v>0</v>
      </c>
      <c r="C40" s="563">
        <f>C31*D40</f>
        <v>0</v>
      </c>
      <c r="D40" s="562">
        <f>0.5*D43/D28</f>
        <v>0.125</v>
      </c>
      <c r="E40" s="64" t="s">
        <v>10</v>
      </c>
      <c r="F40" s="61" t="s">
        <v>83</v>
      </c>
      <c r="H40" s="65" t="s">
        <v>109</v>
      </c>
      <c r="I40" s="562">
        <f>I31*K40</f>
        <v>0</v>
      </c>
      <c r="J40" s="563">
        <f>J31*K40</f>
        <v>0</v>
      </c>
      <c r="K40" s="572">
        <f>0.5*K43/K28</f>
        <v>0.125</v>
      </c>
      <c r="L40" s="64" t="s">
        <v>10</v>
      </c>
      <c r="M40" s="452" t="str">
        <f>_xlfn.CONCAT(K40*K28/K43," µM")</f>
        <v>0.5 µM</v>
      </c>
      <c r="N40" s="61" t="s">
        <v>83</v>
      </c>
      <c r="O40" s="82"/>
      <c r="Q40" s="65" t="s">
        <v>109</v>
      </c>
      <c r="R40" s="562">
        <f>R32*T40</f>
        <v>0</v>
      </c>
      <c r="S40" s="563">
        <f>S32*T40</f>
        <v>0</v>
      </c>
      <c r="T40" s="562">
        <f>T43*0.2/T27</f>
        <v>0.4</v>
      </c>
      <c r="U40" s="64" t="s">
        <v>10</v>
      </c>
      <c r="V40" s="61" t="s">
        <v>106</v>
      </c>
      <c r="W40" s="50"/>
      <c r="X40" s="65" t="s">
        <v>108</v>
      </c>
      <c r="Y40" s="562">
        <f>Y32*AA40</f>
        <v>0</v>
      </c>
      <c r="Z40" s="563">
        <f>Z32*AA40</f>
        <v>0</v>
      </c>
      <c r="AA40" s="573">
        <f>AA44*0.2/AA27</f>
        <v>0.4</v>
      </c>
      <c r="AB40" s="64" t="s">
        <v>10</v>
      </c>
      <c r="AC40" s="452" t="str">
        <f>_xlfn.CONCAT(AA40*AA27/AA44," mM")</f>
        <v>0.2 mM</v>
      </c>
      <c r="AD40" s="61" t="s">
        <v>106</v>
      </c>
    </row>
    <row r="41" spans="1:30" x14ac:dyDescent="0.5">
      <c r="A41" s="65" t="s">
        <v>107</v>
      </c>
      <c r="B41" s="562">
        <f>B31*D41</f>
        <v>0</v>
      </c>
      <c r="C41" s="563">
        <f>C31*D41</f>
        <v>0</v>
      </c>
      <c r="D41" s="567">
        <v>1</v>
      </c>
      <c r="E41" s="64" t="s">
        <v>10</v>
      </c>
      <c r="F41" s="61" t="s">
        <v>84</v>
      </c>
      <c r="H41" s="65" t="s">
        <v>107</v>
      </c>
      <c r="I41" s="562">
        <f>I31*K41</f>
        <v>0</v>
      </c>
      <c r="J41" s="563">
        <f>J31*K41</f>
        <v>0</v>
      </c>
      <c r="K41" s="567">
        <v>1</v>
      </c>
      <c r="L41" s="64" t="s">
        <v>10</v>
      </c>
      <c r="M41" s="452" t="s">
        <v>38</v>
      </c>
      <c r="N41" s="61" t="s">
        <v>84</v>
      </c>
      <c r="O41" s="82"/>
      <c r="Q41" s="65" t="s">
        <v>110</v>
      </c>
      <c r="R41" s="562">
        <f>R32*T41</f>
        <v>0</v>
      </c>
      <c r="S41" s="563">
        <f>S32*T41</f>
        <v>0</v>
      </c>
      <c r="T41" s="567">
        <v>1</v>
      </c>
      <c r="U41" s="64" t="s">
        <v>10</v>
      </c>
      <c r="V41" s="61" t="s">
        <v>106</v>
      </c>
      <c r="X41" s="65" t="s">
        <v>109</v>
      </c>
      <c r="Y41" s="562">
        <f>Y32*AA41</f>
        <v>0</v>
      </c>
      <c r="Z41" s="563">
        <f>Z32*AA41</f>
        <v>0</v>
      </c>
      <c r="AA41" s="573">
        <f>AA44*0.2/AA27</f>
        <v>0.4</v>
      </c>
      <c r="AB41" s="64" t="s">
        <v>10</v>
      </c>
      <c r="AC41" s="452" t="str">
        <f>_xlfn.CONCAT(AA41*AA27/AA44," mM")</f>
        <v>0.2 mM</v>
      </c>
      <c r="AD41" s="61" t="s">
        <v>106</v>
      </c>
    </row>
    <row r="42" spans="1:30" x14ac:dyDescent="0.5">
      <c r="A42"/>
      <c r="B42" s="172"/>
      <c r="C42" s="173"/>
      <c r="D42" s="174"/>
      <c r="I42" s="172"/>
      <c r="J42" s="173"/>
      <c r="K42" s="174"/>
      <c r="N42" s="80"/>
      <c r="O42" s="82"/>
      <c r="R42" s="172"/>
      <c r="S42" s="173"/>
      <c r="T42" s="174"/>
      <c r="V42" s="61" t="s">
        <v>84</v>
      </c>
      <c r="X42" s="65" t="s">
        <v>110</v>
      </c>
      <c r="Y42" s="562">
        <f>Y32*AA42</f>
        <v>0</v>
      </c>
      <c r="Z42" s="563">
        <f>Z32*AA42</f>
        <v>0</v>
      </c>
      <c r="AA42" s="567">
        <v>1</v>
      </c>
      <c r="AB42" s="64" t="s">
        <v>10</v>
      </c>
      <c r="AC42" s="452" t="s">
        <v>38</v>
      </c>
      <c r="AD42" s="61" t="s">
        <v>84</v>
      </c>
    </row>
    <row r="43" spans="1:30" x14ac:dyDescent="0.5">
      <c r="A43" s="68" t="s">
        <v>4</v>
      </c>
      <c r="B43" s="568">
        <f>SUM(B33:B41)</f>
        <v>0</v>
      </c>
      <c r="C43" s="569">
        <f>SUM(C33:C41)</f>
        <v>0</v>
      </c>
      <c r="D43" s="570">
        <v>25</v>
      </c>
      <c r="E43" s="56" t="s">
        <v>10</v>
      </c>
      <c r="H43" s="68" t="s">
        <v>4</v>
      </c>
      <c r="I43" s="568">
        <f>SUM(I33:I41)</f>
        <v>0</v>
      </c>
      <c r="J43" s="569">
        <f>SUM(J33:J41)</f>
        <v>0</v>
      </c>
      <c r="K43" s="570">
        <v>25</v>
      </c>
      <c r="L43" s="56" t="s">
        <v>10</v>
      </c>
      <c r="N43" s="80"/>
      <c r="O43" s="82"/>
      <c r="Q43" s="68" t="s">
        <v>4</v>
      </c>
      <c r="R43" s="568">
        <f>SUM(R34:R41)</f>
        <v>0</v>
      </c>
      <c r="S43" s="569">
        <f>SUM(S34:S41)</f>
        <v>0</v>
      </c>
      <c r="T43" s="570">
        <v>20</v>
      </c>
      <c r="U43" s="56" t="s">
        <v>10</v>
      </c>
      <c r="Y43" s="172"/>
      <c r="Z43" s="173"/>
      <c r="AA43" s="174"/>
      <c r="AC43" s="6"/>
    </row>
    <row r="44" spans="1:30" x14ac:dyDescent="0.5">
      <c r="A44" s="68" t="s">
        <v>100</v>
      </c>
      <c r="B44" s="568">
        <f>SUM(B33:B40)</f>
        <v>0</v>
      </c>
      <c r="C44" s="569">
        <f>SUM(C33:C40)</f>
        <v>0</v>
      </c>
      <c r="D44" s="571">
        <f>SUM(D33:D40)</f>
        <v>24</v>
      </c>
      <c r="E44" s="56" t="s">
        <v>10</v>
      </c>
      <c r="H44" s="68" t="s">
        <v>100</v>
      </c>
      <c r="I44" s="568">
        <f>SUM(I33:I40)</f>
        <v>0</v>
      </c>
      <c r="J44" s="569">
        <f>SUM(J33:J40)</f>
        <v>0</v>
      </c>
      <c r="K44" s="571">
        <f>SUM(K33:K40)</f>
        <v>24</v>
      </c>
      <c r="L44" s="56" t="s">
        <v>10</v>
      </c>
      <c r="N44" s="80"/>
      <c r="O44" s="82"/>
      <c r="Q44" s="68" t="s">
        <v>100</v>
      </c>
      <c r="R44" s="568">
        <f>SUM(R34:R40)</f>
        <v>0</v>
      </c>
      <c r="S44" s="569">
        <f>SUM(S34:S40)</f>
        <v>0</v>
      </c>
      <c r="T44" s="571">
        <f>SUM(T34:T40)</f>
        <v>18.999999999999996</v>
      </c>
      <c r="U44" s="56" t="s">
        <v>10</v>
      </c>
      <c r="X44" s="68" t="s">
        <v>4</v>
      </c>
      <c r="Y44" s="568">
        <f>SUM(Y34:Y42)</f>
        <v>0</v>
      </c>
      <c r="Z44" s="569">
        <f>SUM(Z34:Z42)</f>
        <v>0</v>
      </c>
      <c r="AA44" s="570">
        <v>20</v>
      </c>
      <c r="AB44" s="56" t="s">
        <v>10</v>
      </c>
    </row>
    <row r="45" spans="1:30" x14ac:dyDescent="0.5">
      <c r="A45" s="68" t="s">
        <v>101</v>
      </c>
      <c r="B45" s="568">
        <f>SUM(B33:B38,B41)</f>
        <v>0</v>
      </c>
      <c r="C45" s="569">
        <f>SUM(C33:C38,C41)</f>
        <v>0</v>
      </c>
      <c r="D45" s="571">
        <f>SUM(D33:D38,D41)</f>
        <v>24.75</v>
      </c>
      <c r="E45" s="56" t="s">
        <v>10</v>
      </c>
      <c r="H45" s="68" t="s">
        <v>101</v>
      </c>
      <c r="I45" s="568">
        <f>SUM(I33:I38,I41)</f>
        <v>0</v>
      </c>
      <c r="J45" s="569">
        <f>SUM(J33:J38,J41)</f>
        <v>0</v>
      </c>
      <c r="K45" s="571">
        <f>SUM(K33:K38,K41)</f>
        <v>24.75</v>
      </c>
      <c r="L45" s="56" t="s">
        <v>10</v>
      </c>
      <c r="N45" s="80"/>
      <c r="O45" s="82"/>
      <c r="Q45" s="68" t="s">
        <v>101</v>
      </c>
      <c r="R45" s="568">
        <f>SUM(R34:R38,R41)</f>
        <v>0</v>
      </c>
      <c r="S45" s="569">
        <f>SUM(S34:S38,S41)</f>
        <v>0</v>
      </c>
      <c r="T45" s="571">
        <f>SUM(T34:T38,T41)</f>
        <v>19.2</v>
      </c>
      <c r="U45" s="56" t="s">
        <v>10</v>
      </c>
      <c r="X45" s="68" t="s">
        <v>100</v>
      </c>
      <c r="Y45" s="568">
        <f>SUM(Y34:Y41)</f>
        <v>0</v>
      </c>
      <c r="Z45" s="569">
        <f>SUM(Z34:Z41)</f>
        <v>0</v>
      </c>
      <c r="AA45" s="571">
        <f>SUM(AA34:AA41)</f>
        <v>18.999999999999996</v>
      </c>
      <c r="AB45" s="56" t="s">
        <v>10</v>
      </c>
    </row>
    <row r="46" spans="1:30" x14ac:dyDescent="0.5">
      <c r="A46" s="68" t="s">
        <v>102</v>
      </c>
      <c r="B46" s="568">
        <f>SUM(B33:B38)</f>
        <v>0</v>
      </c>
      <c r="C46" s="569">
        <f>SUM(C33:C38)</f>
        <v>0</v>
      </c>
      <c r="D46" s="571">
        <f>SUM(D33:D38)</f>
        <v>23.75</v>
      </c>
      <c r="E46" s="56" t="s">
        <v>10</v>
      </c>
      <c r="H46" s="68" t="s">
        <v>102</v>
      </c>
      <c r="I46" s="568">
        <f>SUM(I33:I38)</f>
        <v>0</v>
      </c>
      <c r="J46" s="569">
        <f>SUM(J33:J38)</f>
        <v>0</v>
      </c>
      <c r="K46" s="571">
        <f>SUM(K33:K38)</f>
        <v>23.75</v>
      </c>
      <c r="L46" s="56" t="s">
        <v>10</v>
      </c>
      <c r="N46" s="80"/>
      <c r="O46" s="82"/>
      <c r="Q46" s="68" t="s">
        <v>102</v>
      </c>
      <c r="R46" s="568">
        <f>SUM(R34:R38)</f>
        <v>0</v>
      </c>
      <c r="S46" s="569">
        <f>SUM(S34:S38)</f>
        <v>0</v>
      </c>
      <c r="T46" s="571">
        <f>SUM(T34:T38)</f>
        <v>18.2</v>
      </c>
      <c r="U46" s="56" t="s">
        <v>10</v>
      </c>
      <c r="X46" s="68" t="s">
        <v>101</v>
      </c>
      <c r="Y46" s="568">
        <f>SUM(Y34:Y39,Y42)</f>
        <v>0</v>
      </c>
      <c r="Z46" s="569">
        <f>SUM(Z34:Z39,Z42)</f>
        <v>0</v>
      </c>
      <c r="AA46" s="571">
        <f>SUM(AA34:AA39,AA42)</f>
        <v>19.2</v>
      </c>
      <c r="AB46" s="56" t="s">
        <v>10</v>
      </c>
    </row>
    <row r="47" spans="1:30" s="11" customFormat="1" x14ac:dyDescent="0.5">
      <c r="A47" s="1"/>
      <c r="B47"/>
      <c r="C47"/>
      <c r="D47"/>
      <c r="E47"/>
      <c r="F47"/>
      <c r="G47"/>
      <c r="H47"/>
      <c r="I47"/>
      <c r="J47"/>
      <c r="K47"/>
      <c r="L47"/>
      <c r="M47"/>
      <c r="N47"/>
      <c r="O47" s="84"/>
      <c r="P47"/>
      <c r="Q47"/>
      <c r="R47"/>
      <c r="S47"/>
      <c r="T47"/>
      <c r="U47"/>
      <c r="V47"/>
      <c r="W47"/>
      <c r="X47" s="68" t="s">
        <v>102</v>
      </c>
      <c r="Y47" s="568">
        <f>SUM(Y34:Y39)</f>
        <v>0</v>
      </c>
      <c r="Z47" s="569">
        <f>SUM(Z34:Z39)</f>
        <v>0</v>
      </c>
      <c r="AA47" s="571">
        <f>SUM(AA34:AA39)</f>
        <v>18.2</v>
      </c>
      <c r="AB47" s="56" t="s">
        <v>10</v>
      </c>
      <c r="AC47"/>
      <c r="AD47"/>
    </row>
    <row r="48" spans="1:30" x14ac:dyDescent="0.5">
      <c r="K48" s="25" t="s">
        <v>221</v>
      </c>
      <c r="O48" s="84"/>
    </row>
    <row r="49" spans="1:27" ht="216" customHeight="1" x14ac:dyDescent="0.5">
      <c r="A49" s="743" t="s">
        <v>408</v>
      </c>
      <c r="B49" s="743"/>
      <c r="C49" s="743"/>
      <c r="D49" s="743"/>
      <c r="E49" s="743"/>
      <c r="F49" s="743"/>
      <c r="O49" s="619"/>
      <c r="AA49" s="25" t="s">
        <v>221</v>
      </c>
    </row>
    <row r="52" spans="1:27" ht="21.35" x14ac:dyDescent="0.85">
      <c r="A52" s="276" t="s">
        <v>88</v>
      </c>
      <c r="B52" s="239"/>
      <c r="C52" s="239"/>
      <c r="D52" s="239"/>
      <c r="E52" s="239"/>
      <c r="F52" s="239"/>
      <c r="G52" s="239"/>
      <c r="H52" s="239"/>
      <c r="I52" s="239"/>
      <c r="J52" s="239"/>
    </row>
    <row r="53" spans="1:27" ht="17.7" x14ac:dyDescent="0.5">
      <c r="A53" s="205"/>
      <c r="B53" s="13" t="s">
        <v>27</v>
      </c>
      <c r="C53" s="202"/>
      <c r="D53" s="631" t="s">
        <v>40</v>
      </c>
      <c r="E53" s="632"/>
      <c r="F53" s="206" t="str">
        <f>CONCATENATE("[component] ","in ",TEXT(D64,0)," ",TEXT(E64,0))</f>
        <v>[component] in 50 µL</v>
      </c>
      <c r="G53" s="14"/>
      <c r="I53" s="204" t="s">
        <v>190</v>
      </c>
      <c r="J53" s="14"/>
    </row>
    <row r="54" spans="1:27" ht="16.350000000000001" x14ac:dyDescent="0.65">
      <c r="A54" s="1" t="s">
        <v>8</v>
      </c>
      <c r="B54" s="3">
        <v>55</v>
      </c>
      <c r="C54" s="200" t="s">
        <v>17</v>
      </c>
      <c r="D54" s="199">
        <f>D64-SUM(D55:D62)</f>
        <v>31.5</v>
      </c>
      <c r="E54" s="201" t="str">
        <f>E78</f>
        <v>µL</v>
      </c>
      <c r="F54">
        <v>34.1</v>
      </c>
      <c r="G54" t="str">
        <f t="shared" ref="G54:G62" si="0">C54</f>
        <v>M</v>
      </c>
      <c r="I54" s="179" t="s">
        <v>12</v>
      </c>
      <c r="J54" s="178" t="s">
        <v>17</v>
      </c>
    </row>
    <row r="55" spans="1:27" x14ac:dyDescent="0.5">
      <c r="A55" s="1" t="s">
        <v>90</v>
      </c>
      <c r="B55" s="3">
        <v>5</v>
      </c>
      <c r="C55" s="200" t="s">
        <v>15</v>
      </c>
      <c r="D55" s="199">
        <f>D64*F55/B55</f>
        <v>10</v>
      </c>
      <c r="E55" s="201" t="str">
        <f>E78</f>
        <v>µL</v>
      </c>
      <c r="F55" s="29">
        <v>1</v>
      </c>
      <c r="G55" t="str">
        <f t="shared" si="0"/>
        <v>×</v>
      </c>
      <c r="I55" s="178">
        <v>1</v>
      </c>
      <c r="J55" s="178" t="s">
        <v>15</v>
      </c>
    </row>
    <row r="56" spans="1:27" x14ac:dyDescent="0.5">
      <c r="A56" s="1" t="s">
        <v>19</v>
      </c>
      <c r="B56" s="3">
        <v>10</v>
      </c>
      <c r="C56" s="200" t="s">
        <v>14</v>
      </c>
      <c r="D56" s="199">
        <f>D64*F56/B56</f>
        <v>1</v>
      </c>
      <c r="E56" s="201" t="str">
        <f>E78</f>
        <v>µL</v>
      </c>
      <c r="F56" s="29">
        <v>0.2</v>
      </c>
      <c r="G56" t="str">
        <f t="shared" si="0"/>
        <v>µM</v>
      </c>
      <c r="I56" s="178">
        <v>0.2</v>
      </c>
      <c r="J56" s="178" t="s">
        <v>14</v>
      </c>
    </row>
    <row r="57" spans="1:27" x14ac:dyDescent="0.5">
      <c r="A57" s="1" t="s">
        <v>91</v>
      </c>
      <c r="B57" s="8">
        <v>2000</v>
      </c>
      <c r="C57" s="200" t="s">
        <v>18</v>
      </c>
      <c r="D57" s="199">
        <f>D64*F57/B57</f>
        <v>0.5</v>
      </c>
      <c r="E57" s="201" t="str">
        <f>E78</f>
        <v>µL</v>
      </c>
      <c r="F57" s="29">
        <v>20</v>
      </c>
      <c r="G57" t="str">
        <f t="shared" si="0"/>
        <v>U/mL</v>
      </c>
      <c r="I57" s="178">
        <v>20</v>
      </c>
      <c r="J57" s="178" t="s">
        <v>18</v>
      </c>
    </row>
    <row r="58" spans="1:27" x14ac:dyDescent="0.5">
      <c r="A58" s="1" t="s">
        <v>5</v>
      </c>
      <c r="B58" s="3">
        <v>100</v>
      </c>
      <c r="C58" s="200" t="s">
        <v>16</v>
      </c>
      <c r="D58" s="199">
        <f>D64*F58/B58</f>
        <v>1.5</v>
      </c>
      <c r="E58" s="201" t="str">
        <f>E78</f>
        <v>µL</v>
      </c>
      <c r="F58" s="29">
        <v>3</v>
      </c>
      <c r="G58" t="str">
        <f t="shared" si="0"/>
        <v>%</v>
      </c>
      <c r="I58" s="179" t="s">
        <v>24</v>
      </c>
      <c r="J58" s="178" t="s">
        <v>16</v>
      </c>
    </row>
    <row r="59" spans="1:27" x14ac:dyDescent="0.5">
      <c r="A59" s="1" t="s">
        <v>200</v>
      </c>
      <c r="B59" s="3">
        <v>0</v>
      </c>
      <c r="C59" s="200" t="s">
        <v>76</v>
      </c>
      <c r="D59" s="199"/>
      <c r="E59" s="201" t="str">
        <f>E78</f>
        <v>µL</v>
      </c>
      <c r="F59" s="29">
        <v>0</v>
      </c>
      <c r="G59" t="str">
        <f t="shared" si="0"/>
        <v>mM</v>
      </c>
      <c r="I59" s="179">
        <v>0</v>
      </c>
      <c r="J59" s="178" t="s">
        <v>76</v>
      </c>
    </row>
    <row r="60" spans="1:27" x14ac:dyDescent="0.5">
      <c r="A60" s="1" t="s">
        <v>20</v>
      </c>
      <c r="B60" s="3">
        <v>10</v>
      </c>
      <c r="C60" s="200" t="s">
        <v>14</v>
      </c>
      <c r="D60" s="199">
        <f>D64*F60/B60</f>
        <v>2.5</v>
      </c>
      <c r="E60" s="201" t="str">
        <f>E78</f>
        <v>µL</v>
      </c>
      <c r="F60" s="29">
        <v>0.5</v>
      </c>
      <c r="G60" t="str">
        <f t="shared" si="0"/>
        <v>µM</v>
      </c>
      <c r="I60" s="178">
        <v>0.5</v>
      </c>
      <c r="J60" s="178" t="s">
        <v>14</v>
      </c>
    </row>
    <row r="61" spans="1:27" x14ac:dyDescent="0.5">
      <c r="A61" s="1" t="s">
        <v>21</v>
      </c>
      <c r="B61" s="3">
        <v>10</v>
      </c>
      <c r="C61" s="200" t="s">
        <v>14</v>
      </c>
      <c r="D61" s="199">
        <f>D64*F61/B61</f>
        <v>2.5</v>
      </c>
      <c r="E61" s="201" t="str">
        <f>E78</f>
        <v>µL</v>
      </c>
      <c r="F61" s="29">
        <v>0.5</v>
      </c>
      <c r="G61" t="str">
        <f t="shared" si="0"/>
        <v>µM</v>
      </c>
      <c r="I61" s="178">
        <v>0.5</v>
      </c>
      <c r="J61" s="178" t="s">
        <v>14</v>
      </c>
    </row>
    <row r="62" spans="1:27" x14ac:dyDescent="0.5">
      <c r="A62" s="1" t="s">
        <v>23</v>
      </c>
      <c r="B62" s="3">
        <v>50</v>
      </c>
      <c r="C62" s="200" t="s">
        <v>22</v>
      </c>
      <c r="D62" s="199">
        <f>D64*F62/B62</f>
        <v>0.5</v>
      </c>
      <c r="E62" s="201" t="str">
        <f>E78</f>
        <v>µL</v>
      </c>
      <c r="F62" s="29">
        <v>0.5</v>
      </c>
      <c r="G62" t="str">
        <f t="shared" si="0"/>
        <v>ng/µL</v>
      </c>
      <c r="I62" s="179">
        <v>1</v>
      </c>
      <c r="J62" s="178" t="s">
        <v>92</v>
      </c>
    </row>
    <row r="63" spans="1:27" x14ac:dyDescent="0.5">
      <c r="D63" s="6"/>
    </row>
    <row r="64" spans="1:27" x14ac:dyDescent="0.5">
      <c r="A64" s="1" t="s">
        <v>4</v>
      </c>
      <c r="D64" s="3">
        <v>50</v>
      </c>
      <c r="E64" s="3" t="s">
        <v>10</v>
      </c>
    </row>
    <row r="65" spans="1:10" x14ac:dyDescent="0.5">
      <c r="B65" s="6"/>
    </row>
    <row r="66" spans="1:10" ht="21.35" x14ac:dyDescent="0.85">
      <c r="A66" s="276" t="s">
        <v>89</v>
      </c>
      <c r="B66" s="239"/>
      <c r="C66" s="239"/>
      <c r="D66" s="239"/>
      <c r="E66" s="239"/>
      <c r="F66" s="239"/>
      <c r="G66" s="239"/>
      <c r="H66" s="239"/>
      <c r="I66" s="239"/>
      <c r="J66" s="239"/>
    </row>
    <row r="67" spans="1:10" ht="17.7" x14ac:dyDescent="0.5">
      <c r="B67" s="13" t="s">
        <v>27</v>
      </c>
      <c r="C67" s="202"/>
      <c r="D67" s="629" t="s">
        <v>40</v>
      </c>
      <c r="E67" s="630"/>
      <c r="F67" s="13" t="str">
        <f>CONCATENATE("[component] ","In ",TEXT(D78,0)," ",TEXT(E78,0),":")</f>
        <v>[component] In 50 µL:</v>
      </c>
      <c r="H67" s="13"/>
      <c r="I67" s="204" t="s">
        <v>190</v>
      </c>
      <c r="J67" s="14"/>
    </row>
    <row r="68" spans="1:10" ht="16.350000000000001" x14ac:dyDescent="0.65">
      <c r="A68" s="1" t="s">
        <v>8</v>
      </c>
      <c r="B68" s="3">
        <v>55</v>
      </c>
      <c r="C68" s="200" t="s">
        <v>17</v>
      </c>
      <c r="D68" s="28">
        <f>D78-SUM(D69:D76)</f>
        <v>35.5</v>
      </c>
      <c r="E68" s="203" t="str">
        <f>E78</f>
        <v>µL</v>
      </c>
      <c r="F68" s="4">
        <f>B68*D68/D78</f>
        <v>39.049999999999997</v>
      </c>
      <c r="G68" s="4" t="str">
        <f t="shared" ref="G68:G76" si="1">C68</f>
        <v>M</v>
      </c>
      <c r="I68" s="16" t="s">
        <v>12</v>
      </c>
      <c r="J68" s="17" t="s">
        <v>17</v>
      </c>
    </row>
    <row r="69" spans="1:10" x14ac:dyDescent="0.5">
      <c r="A69" s="1" t="s">
        <v>90</v>
      </c>
      <c r="B69" s="3">
        <v>5</v>
      </c>
      <c r="C69" s="200" t="s">
        <v>15</v>
      </c>
      <c r="D69" s="29">
        <f>D78/5</f>
        <v>10</v>
      </c>
      <c r="E69" s="203" t="str">
        <f>E78</f>
        <v>µL</v>
      </c>
      <c r="F69" s="4">
        <f>B69*D69/D78</f>
        <v>1</v>
      </c>
      <c r="G69" s="4" t="str">
        <f t="shared" si="1"/>
        <v>×</v>
      </c>
      <c r="I69" s="17">
        <v>1</v>
      </c>
      <c r="J69" s="17" t="s">
        <v>15</v>
      </c>
    </row>
    <row r="70" spans="1:10" x14ac:dyDescent="0.5">
      <c r="A70" s="1" t="s">
        <v>19</v>
      </c>
      <c r="B70" s="3">
        <v>10</v>
      </c>
      <c r="C70" s="200" t="s">
        <v>14</v>
      </c>
      <c r="D70" s="29">
        <v>1</v>
      </c>
      <c r="E70" s="203" t="str">
        <f>E78</f>
        <v>µL</v>
      </c>
      <c r="F70" s="4">
        <f>B70*D70/D78</f>
        <v>0.2</v>
      </c>
      <c r="G70" s="4" t="str">
        <f t="shared" si="1"/>
        <v>µM</v>
      </c>
      <c r="I70" s="17">
        <v>0.2</v>
      </c>
      <c r="J70" s="17" t="s">
        <v>14</v>
      </c>
    </row>
    <row r="71" spans="1:10" x14ac:dyDescent="0.5">
      <c r="A71" s="1" t="s">
        <v>91</v>
      </c>
      <c r="B71" s="8">
        <v>2000</v>
      </c>
      <c r="C71" s="200" t="s">
        <v>18</v>
      </c>
      <c r="D71" s="29">
        <v>0.5</v>
      </c>
      <c r="E71" s="203" t="str">
        <f>E78</f>
        <v>µL</v>
      </c>
      <c r="F71" s="4">
        <f>B71*D71/D78</f>
        <v>20</v>
      </c>
      <c r="G71" s="4" t="str">
        <f t="shared" si="1"/>
        <v>U/mL</v>
      </c>
      <c r="I71" s="17">
        <v>20</v>
      </c>
      <c r="J71" s="17" t="s">
        <v>18</v>
      </c>
    </row>
    <row r="72" spans="1:10" x14ac:dyDescent="0.5">
      <c r="A72" s="1" t="s">
        <v>5</v>
      </c>
      <c r="B72" s="3">
        <v>100</v>
      </c>
      <c r="C72" s="200" t="s">
        <v>16</v>
      </c>
      <c r="D72" s="29">
        <v>1.5</v>
      </c>
      <c r="E72" s="203" t="str">
        <f>E78</f>
        <v>µL</v>
      </c>
      <c r="F72" s="4">
        <f>B72*D72/D78</f>
        <v>3</v>
      </c>
      <c r="G72" s="4" t="str">
        <f t="shared" si="1"/>
        <v>%</v>
      </c>
      <c r="I72" s="16" t="s">
        <v>24</v>
      </c>
      <c r="J72" s="17" t="s">
        <v>16</v>
      </c>
    </row>
    <row r="73" spans="1:10" x14ac:dyDescent="0.5">
      <c r="A73" s="1" t="s">
        <v>200</v>
      </c>
      <c r="B73" s="3"/>
      <c r="C73" s="200" t="s">
        <v>76</v>
      </c>
      <c r="D73" s="29"/>
      <c r="E73" s="203" t="str">
        <f>E78</f>
        <v>µL</v>
      </c>
      <c r="F73" s="4"/>
      <c r="G73" s="4" t="str">
        <f t="shared" si="1"/>
        <v>mM</v>
      </c>
      <c r="I73" s="16">
        <v>0</v>
      </c>
      <c r="J73" s="17" t="s">
        <v>76</v>
      </c>
    </row>
    <row r="74" spans="1:10" x14ac:dyDescent="0.5">
      <c r="A74" s="1" t="s">
        <v>20</v>
      </c>
      <c r="B74" s="3">
        <v>100</v>
      </c>
      <c r="C74" s="200" t="s">
        <v>14</v>
      </c>
      <c r="D74" s="29">
        <v>0.25</v>
      </c>
      <c r="E74" s="203" t="str">
        <f>E78</f>
        <v>µL</v>
      </c>
      <c r="F74" s="4">
        <f>B74*D74/D78</f>
        <v>0.5</v>
      </c>
      <c r="G74" s="4" t="str">
        <f t="shared" si="1"/>
        <v>µM</v>
      </c>
      <c r="I74" s="17">
        <v>0.5</v>
      </c>
      <c r="J74" s="17" t="s">
        <v>14</v>
      </c>
    </row>
    <row r="75" spans="1:10" x14ac:dyDescent="0.5">
      <c r="A75" s="1" t="s">
        <v>21</v>
      </c>
      <c r="B75" s="3">
        <v>100</v>
      </c>
      <c r="C75" s="200" t="s">
        <v>14</v>
      </c>
      <c r="D75" s="29">
        <v>0.25</v>
      </c>
      <c r="E75" s="203" t="str">
        <f>E78</f>
        <v>µL</v>
      </c>
      <c r="F75" s="4">
        <f>B75*D75/D78</f>
        <v>0.5</v>
      </c>
      <c r="G75" s="4" t="str">
        <f t="shared" si="1"/>
        <v>µM</v>
      </c>
      <c r="I75" s="17">
        <v>0.5</v>
      </c>
      <c r="J75" s="17" t="s">
        <v>14</v>
      </c>
    </row>
    <row r="76" spans="1:10" x14ac:dyDescent="0.5">
      <c r="A76" s="1" t="s">
        <v>23</v>
      </c>
      <c r="B76" s="3">
        <v>77</v>
      </c>
      <c r="C76" s="200" t="s">
        <v>22</v>
      </c>
      <c r="D76" s="29">
        <v>1</v>
      </c>
      <c r="E76" s="203" t="str">
        <f>E78</f>
        <v>µL</v>
      </c>
      <c r="F76" s="4">
        <f>B76*D76/D78</f>
        <v>1.54</v>
      </c>
      <c r="G76" s="4" t="str">
        <f t="shared" si="1"/>
        <v>ng/µL</v>
      </c>
      <c r="I76" s="16" t="s">
        <v>26</v>
      </c>
      <c r="J76" s="17" t="s">
        <v>25</v>
      </c>
    </row>
    <row r="77" spans="1:10" x14ac:dyDescent="0.5">
      <c r="C77" s="203"/>
      <c r="D77" s="6"/>
    </row>
    <row r="78" spans="1:10" x14ac:dyDescent="0.5">
      <c r="A78" s="1" t="s">
        <v>4</v>
      </c>
      <c r="D78" s="3">
        <v>50</v>
      </c>
      <c r="E78" s="3" t="s">
        <v>10</v>
      </c>
    </row>
    <row r="80" spans="1:10" s="268" customFormat="1" x14ac:dyDescent="0.5">
      <c r="A80" s="1"/>
    </row>
    <row r="82" spans="1:1" x14ac:dyDescent="0.5">
      <c r="A82" s="627" t="s">
        <v>319</v>
      </c>
    </row>
    <row r="83" spans="1:1" x14ac:dyDescent="0.5">
      <c r="A83" s="628"/>
    </row>
    <row r="84" spans="1:1" x14ac:dyDescent="0.5">
      <c r="A84" s="279"/>
    </row>
  </sheetData>
  <mergeCells count="12">
    <mergeCell ref="A82:A83"/>
    <mergeCell ref="D67:E67"/>
    <mergeCell ref="D53:E53"/>
    <mergeCell ref="A26:F26"/>
    <mergeCell ref="Q1:V1"/>
    <mergeCell ref="A49:F49"/>
    <mergeCell ref="X26:AC26"/>
    <mergeCell ref="X1:AC1"/>
    <mergeCell ref="A1:F1"/>
    <mergeCell ref="H1:M1"/>
    <mergeCell ref="Q26:V26"/>
    <mergeCell ref="H26:N26"/>
  </mergeCells>
  <conditionalFormatting sqref="A12:E12">
    <cfRule type="expression" dxfId="34" priority="17">
      <formula>$D$12&gt;0</formula>
    </cfRule>
  </conditionalFormatting>
  <conditionalFormatting sqref="A11:E11">
    <cfRule type="expression" dxfId="33" priority="16">
      <formula>$D$11&gt;0</formula>
    </cfRule>
  </conditionalFormatting>
  <conditionalFormatting sqref="H11:L11">
    <cfRule type="expression" dxfId="32" priority="14">
      <formula>$K$11&gt;0</formula>
    </cfRule>
  </conditionalFormatting>
  <conditionalFormatting sqref="Q12:U12">
    <cfRule type="expression" dxfId="31" priority="9">
      <formula>$R$3&gt;0</formula>
    </cfRule>
  </conditionalFormatting>
  <conditionalFormatting sqref="X12:AB12">
    <cfRule type="expression" dxfId="30" priority="8">
      <formula>$Y$3&gt;0</formula>
    </cfRule>
  </conditionalFormatting>
  <conditionalFormatting sqref="Q38:U38">
    <cfRule type="expression" dxfId="29" priority="7">
      <formula>$R$28&gt;0</formula>
    </cfRule>
  </conditionalFormatting>
  <conditionalFormatting sqref="H36:L36">
    <cfRule type="expression" dxfId="28" priority="6">
      <formula>$K$36&gt;0</formula>
    </cfRule>
  </conditionalFormatting>
  <conditionalFormatting sqref="A37:E37">
    <cfRule type="expression" dxfId="27" priority="3">
      <formula>$D$37&gt;0</formula>
    </cfRule>
  </conditionalFormatting>
  <conditionalFormatting sqref="A36:E36">
    <cfRule type="expression" dxfId="26" priority="2">
      <formula>$D$36&gt;0</formula>
    </cfRule>
  </conditionalFormatting>
  <conditionalFormatting sqref="H12:L12">
    <cfRule type="expression" dxfId="25" priority="1">
      <formula>$K$12&gt;0</formula>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34"/>
  <sheetViews>
    <sheetView showGridLines="0" workbookViewId="0">
      <selection activeCell="A25" sqref="A25"/>
    </sheetView>
  </sheetViews>
  <sheetFormatPr defaultRowHeight="14.35" x14ac:dyDescent="0.5"/>
  <sheetData>
    <row r="1" spans="1:2" s="554" customFormat="1" ht="20.7" x14ac:dyDescent="0.7">
      <c r="A1" s="620" t="s">
        <v>406</v>
      </c>
      <c r="B1" s="621" t="s">
        <v>407</v>
      </c>
    </row>
    <row r="2" spans="1:2" s="554" customFormat="1" x14ac:dyDescent="0.5"/>
    <row r="3" spans="1:2" s="326" customFormat="1" x14ac:dyDescent="0.5">
      <c r="A3" s="326" t="s">
        <v>297</v>
      </c>
    </row>
    <row r="4" spans="1:2" x14ac:dyDescent="0.5">
      <c r="A4" s="387" t="s">
        <v>261</v>
      </c>
    </row>
    <row r="5" spans="1:2" x14ac:dyDescent="0.5">
      <c r="A5" t="s">
        <v>254</v>
      </c>
    </row>
    <row r="6" spans="1:2" s="326" customFormat="1" x14ac:dyDescent="0.5">
      <c r="A6" s="387" t="s">
        <v>290</v>
      </c>
    </row>
    <row r="7" spans="1:2" s="326" customFormat="1" x14ac:dyDescent="0.5">
      <c r="A7" s="387" t="s">
        <v>291</v>
      </c>
    </row>
    <row r="8" spans="1:2" x14ac:dyDescent="0.5">
      <c r="A8" t="s">
        <v>269</v>
      </c>
    </row>
    <row r="9" spans="1:2" x14ac:dyDescent="0.5">
      <c r="A9" t="s">
        <v>270</v>
      </c>
    </row>
    <row r="10" spans="1:2" x14ac:dyDescent="0.5">
      <c r="A10" t="s">
        <v>271</v>
      </c>
    </row>
    <row r="11" spans="1:2" x14ac:dyDescent="0.5">
      <c r="A11" s="387" t="s">
        <v>272</v>
      </c>
    </row>
    <row r="12" spans="1:2" x14ac:dyDescent="0.5">
      <c r="A12" s="387" t="s">
        <v>273</v>
      </c>
    </row>
    <row r="14" spans="1:2" x14ac:dyDescent="0.5">
      <c r="A14" t="s">
        <v>293</v>
      </c>
    </row>
    <row r="15" spans="1:2" x14ac:dyDescent="0.5">
      <c r="A15" t="s">
        <v>296</v>
      </c>
    </row>
    <row r="17" spans="1:1" x14ac:dyDescent="0.5">
      <c r="A17" t="s">
        <v>294</v>
      </c>
    </row>
    <row r="18" spans="1:1" x14ac:dyDescent="0.5">
      <c r="A18" t="s">
        <v>295</v>
      </c>
    </row>
    <row r="20" spans="1:1" x14ac:dyDescent="0.5">
      <c r="A20" t="s">
        <v>303</v>
      </c>
    </row>
    <row r="21" spans="1:1" x14ac:dyDescent="0.5">
      <c r="A21" t="s">
        <v>304</v>
      </c>
    </row>
    <row r="22" spans="1:1" x14ac:dyDescent="0.5">
      <c r="A22" t="s">
        <v>315</v>
      </c>
    </row>
    <row r="23" spans="1:1" x14ac:dyDescent="0.5">
      <c r="A23" t="s">
        <v>306</v>
      </c>
    </row>
    <row r="24" spans="1:1" x14ac:dyDescent="0.5">
      <c r="A24" t="s">
        <v>307</v>
      </c>
    </row>
    <row r="26" spans="1:1" x14ac:dyDescent="0.5">
      <c r="A26" t="s">
        <v>316</v>
      </c>
    </row>
    <row r="27" spans="1:1" x14ac:dyDescent="0.5">
      <c r="A27" t="s">
        <v>318</v>
      </c>
    </row>
    <row r="28" spans="1:1" x14ac:dyDescent="0.5">
      <c r="A28" t="s">
        <v>317</v>
      </c>
    </row>
    <row r="29" spans="1:1" s="506" customFormat="1" x14ac:dyDescent="0.5">
      <c r="A29" s="506" t="s">
        <v>365</v>
      </c>
    </row>
    <row r="30" spans="1:1" s="550" customFormat="1" x14ac:dyDescent="0.5">
      <c r="A30" s="550" t="s">
        <v>378</v>
      </c>
    </row>
    <row r="31" spans="1:1" x14ac:dyDescent="0.5">
      <c r="A31" s="387" t="s">
        <v>322</v>
      </c>
    </row>
    <row r="32" spans="1:1" x14ac:dyDescent="0.5">
      <c r="A32" s="387" t="s">
        <v>323</v>
      </c>
    </row>
    <row r="33" spans="1:2" x14ac:dyDescent="0.5">
      <c r="A33" s="550" t="s">
        <v>401</v>
      </c>
    </row>
    <row r="34" spans="1:2" x14ac:dyDescent="0.5">
      <c r="B34" t="s">
        <v>402</v>
      </c>
    </row>
  </sheetData>
  <hyperlinks>
    <hyperlink ref="B1" r:id="rId1" xr:uid="{CA301A4B-3E25-436B-834F-2A70ED04B594}"/>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507E-CD1F-4F97-859E-B983BA0BDC0E}">
  <sheetPr codeName="Sheet2"/>
  <dimension ref="A1:AZ59"/>
  <sheetViews>
    <sheetView zoomScaleNormal="100" workbookViewId="0">
      <selection activeCell="B2" sqref="B2"/>
    </sheetView>
  </sheetViews>
  <sheetFormatPr defaultColWidth="8.87890625" defaultRowHeight="14.35" x14ac:dyDescent="0.5"/>
  <cols>
    <col min="1" max="1" width="25.17578125" style="326" customWidth="1"/>
    <col min="2" max="4" width="8.87890625" style="326"/>
    <col min="5" max="5" width="8.29296875" style="326" customWidth="1"/>
    <col min="6" max="6" width="4.52734375" style="326" customWidth="1"/>
    <col min="7" max="7" width="12" style="326" customWidth="1"/>
    <col min="8" max="8" width="24.87890625" style="326" customWidth="1"/>
    <col min="9" max="11" width="8.87890625" style="326"/>
    <col min="12" max="12" width="8.703125" style="326" customWidth="1"/>
    <col min="13" max="13" width="4.41015625" style="326" customWidth="1"/>
    <col min="14" max="14" width="11.703125" style="326" customWidth="1"/>
    <col min="15" max="15" width="25" style="326" customWidth="1"/>
    <col min="16" max="18" width="8.87890625" style="326"/>
    <col min="19" max="19" width="7.17578125" style="326" customWidth="1"/>
    <col min="20" max="20" width="3.703125" style="326" customWidth="1"/>
    <col min="21" max="21" width="21" style="326" customWidth="1"/>
    <col min="22" max="22" width="25" style="326" customWidth="1"/>
    <col min="23" max="24" width="9.52734375" style="326" customWidth="1"/>
    <col min="25" max="25" width="8.87890625" style="326"/>
    <col min="26" max="26" width="3.703125" style="326" customWidth="1"/>
    <col min="27" max="27" width="14.17578125" style="326" customWidth="1"/>
    <col min="28" max="28" width="8.87890625" style="326"/>
    <col min="29" max="29" width="15" style="326" customWidth="1"/>
    <col min="30" max="30" width="13" style="326" customWidth="1"/>
    <col min="31" max="31" width="12.17578125" style="333" customWidth="1"/>
    <col min="32" max="32" width="8.87890625" style="45"/>
    <col min="33" max="33" width="7.87890625" style="333" bestFit="1" customWidth="1"/>
    <col min="34" max="34" width="8.87890625" style="45"/>
    <col min="35" max="35" width="8.1171875" style="333" customWidth="1"/>
    <col min="36" max="36" width="8.87890625" style="45"/>
    <col min="37" max="37" width="8.87890625" style="333"/>
    <col min="38" max="38" width="8.87890625" style="45"/>
    <col min="39" max="39" width="8.87890625" style="333"/>
    <col min="40" max="40" width="8.87890625" style="45"/>
    <col min="41" max="41" width="8.87890625" style="333"/>
    <col min="42" max="42" width="8.87890625" style="45"/>
    <col min="43" max="43" width="8.87890625" style="333"/>
    <col min="44" max="44" width="8.87890625" style="45"/>
    <col min="45" max="45" width="8.87890625" style="333"/>
    <col min="46" max="46" width="8.87890625" style="45"/>
    <col min="47" max="47" width="8.87890625" style="333"/>
    <col min="48" max="48" width="8.87890625" style="45"/>
    <col min="49" max="49" width="8.87890625" style="333"/>
    <col min="50" max="50" width="8.87890625" style="45"/>
    <col min="51" max="51" width="8.87890625" style="326"/>
    <col min="52" max="52" width="12.1171875" style="326" customWidth="1"/>
    <col min="53" max="16384" width="8.87890625" style="326"/>
  </cols>
  <sheetData>
    <row r="1" spans="1:52" s="24" customFormat="1" ht="22.2" customHeight="1" x14ac:dyDescent="0.65">
      <c r="A1" s="641" t="s">
        <v>274</v>
      </c>
      <c r="B1" s="641"/>
      <c r="C1" s="641"/>
      <c r="D1" s="641"/>
      <c r="E1" s="641"/>
      <c r="F1" s="641"/>
      <c r="H1" s="652" t="s">
        <v>275</v>
      </c>
      <c r="I1" s="652"/>
      <c r="J1" s="652"/>
      <c r="K1" s="652"/>
      <c r="L1" s="652"/>
      <c r="O1" s="653" t="s">
        <v>276</v>
      </c>
      <c r="P1" s="653"/>
      <c r="Q1" s="653"/>
      <c r="R1" s="653"/>
      <c r="S1" s="653"/>
      <c r="V1" s="654" t="s">
        <v>139</v>
      </c>
      <c r="W1" s="654"/>
      <c r="X1" s="654"/>
      <c r="Y1" s="654"/>
      <c r="Z1" s="654"/>
      <c r="AB1" s="351" t="s">
        <v>140</v>
      </c>
      <c r="AC1" s="147" t="s">
        <v>141</v>
      </c>
      <c r="AD1" s="148" t="s">
        <v>142</v>
      </c>
      <c r="AE1" s="351" t="s">
        <v>143</v>
      </c>
      <c r="AF1" s="153" t="s">
        <v>144</v>
      </c>
      <c r="AG1" s="351" t="s">
        <v>145</v>
      </c>
      <c r="AH1" s="153" t="s">
        <v>146</v>
      </c>
      <c r="AI1" s="351" t="s">
        <v>147</v>
      </c>
      <c r="AJ1" s="153" t="s">
        <v>148</v>
      </c>
      <c r="AK1" s="351" t="s">
        <v>149</v>
      </c>
      <c r="AL1" s="153" t="s">
        <v>150</v>
      </c>
      <c r="AM1" s="351" t="s">
        <v>151</v>
      </c>
      <c r="AN1" s="153" t="s">
        <v>152</v>
      </c>
      <c r="AO1" s="351" t="s">
        <v>153</v>
      </c>
      <c r="AP1" s="153" t="s">
        <v>154</v>
      </c>
      <c r="AQ1" s="351" t="s">
        <v>155</v>
      </c>
      <c r="AR1" s="153" t="s">
        <v>156</v>
      </c>
      <c r="AS1" s="351" t="s">
        <v>157</v>
      </c>
      <c r="AT1" s="153" t="s">
        <v>158</v>
      </c>
      <c r="AU1" s="351" t="s">
        <v>159</v>
      </c>
      <c r="AV1" s="153" t="s">
        <v>160</v>
      </c>
      <c r="AW1" s="351" t="s">
        <v>161</v>
      </c>
      <c r="AX1" s="153" t="s">
        <v>162</v>
      </c>
      <c r="AZ1" s="149" t="s">
        <v>163</v>
      </c>
    </row>
    <row r="2" spans="1:52" ht="14.7" thickBot="1" x14ac:dyDescent="0.55000000000000004">
      <c r="A2" s="358" t="s">
        <v>2</v>
      </c>
      <c r="B2" s="361">
        <v>10</v>
      </c>
      <c r="C2" s="362"/>
      <c r="D2" s="360" t="s">
        <v>358</v>
      </c>
      <c r="E2" s="361" t="s">
        <v>241</v>
      </c>
      <c r="F2" s="367"/>
      <c r="H2" s="358" t="s">
        <v>2</v>
      </c>
      <c r="I2" s="361"/>
      <c r="J2" s="362"/>
      <c r="K2" s="360" t="s">
        <v>358</v>
      </c>
      <c r="L2" s="361" t="s">
        <v>241</v>
      </c>
      <c r="M2" s="367"/>
      <c r="N2" s="331"/>
      <c r="O2" s="358" t="s">
        <v>2</v>
      </c>
      <c r="P2" s="361"/>
      <c r="Q2" s="362"/>
      <c r="R2" s="360" t="s">
        <v>358</v>
      </c>
      <c r="S2" s="361" t="s">
        <v>241</v>
      </c>
      <c r="T2" s="367"/>
      <c r="U2" s="184"/>
      <c r="V2" s="357" t="s">
        <v>2</v>
      </c>
      <c r="W2" s="248">
        <v>1</v>
      </c>
      <c r="X2" s="360" t="s">
        <v>358</v>
      </c>
      <c r="Y2" s="361" t="s">
        <v>241</v>
      </c>
      <c r="Z2" s="329"/>
      <c r="AA2" s="331"/>
      <c r="AB2" s="333" t="s">
        <v>28</v>
      </c>
      <c r="AC2" s="365"/>
      <c r="AD2" s="334" t="str">
        <f>IF(AZ2=0,"",MAX(AZ2:AZ21)-AZ2)</f>
        <v/>
      </c>
      <c r="AE2" s="364"/>
      <c r="AF2" s="363"/>
      <c r="AG2" s="364"/>
      <c r="AH2" s="363"/>
      <c r="AI2" s="364"/>
      <c r="AJ2" s="363"/>
      <c r="AK2" s="364"/>
      <c r="AL2" s="363"/>
      <c r="AM2" s="364"/>
      <c r="AN2" s="363"/>
      <c r="AO2" s="364"/>
      <c r="AP2" s="363"/>
      <c r="AQ2" s="364"/>
      <c r="AR2" s="363"/>
      <c r="AS2" s="364"/>
      <c r="AT2" s="363"/>
      <c r="AU2" s="364"/>
      <c r="AV2" s="363"/>
      <c r="AW2" s="364"/>
      <c r="AX2" s="363"/>
      <c r="AZ2" s="334">
        <f>SUM(AF2,AH2,AJ2,AL2,AN2,AP2,AR2,AT2,AV2,AX2)</f>
        <v>0</v>
      </c>
    </row>
    <row r="3" spans="1:52" ht="14.7" thickTop="1" x14ac:dyDescent="0.5">
      <c r="A3" s="358" t="s">
        <v>255</v>
      </c>
      <c r="B3" s="634">
        <v>6</v>
      </c>
      <c r="C3" s="635"/>
      <c r="D3" s="636"/>
      <c r="E3" s="329">
        <v>1</v>
      </c>
      <c r="F3" s="331"/>
      <c r="H3" s="358" t="s">
        <v>255</v>
      </c>
      <c r="I3" s="634"/>
      <c r="J3" s="635"/>
      <c r="K3" s="636"/>
      <c r="L3" s="329">
        <v>1</v>
      </c>
      <c r="M3" s="331"/>
      <c r="N3" s="331"/>
      <c r="O3" s="358" t="s">
        <v>277</v>
      </c>
      <c r="P3" s="634"/>
      <c r="Q3" s="635"/>
      <c r="R3" s="636"/>
      <c r="S3" s="329">
        <v>1</v>
      </c>
      <c r="T3" s="331"/>
      <c r="U3" s="331"/>
      <c r="V3" s="357" t="s">
        <v>3</v>
      </c>
      <c r="W3" s="247">
        <v>0.02</v>
      </c>
      <c r="X3" s="244">
        <v>0</v>
      </c>
      <c r="Y3" s="329" t="s">
        <v>38</v>
      </c>
      <c r="Z3" s="407"/>
      <c r="AB3" s="333" t="s">
        <v>29</v>
      </c>
      <c r="AC3" s="365"/>
      <c r="AD3" s="334" t="str">
        <f>IF(AZ3=0,"",MAX(AZ2:AZ21)-AZ3)</f>
        <v/>
      </c>
      <c r="AE3" s="364"/>
      <c r="AF3" s="363"/>
      <c r="AG3" s="364"/>
      <c r="AH3" s="363"/>
      <c r="AI3" s="364"/>
      <c r="AJ3" s="363"/>
      <c r="AK3" s="364"/>
      <c r="AL3" s="363"/>
      <c r="AM3" s="364"/>
      <c r="AN3" s="363"/>
      <c r="AO3" s="364"/>
      <c r="AP3" s="363"/>
      <c r="AQ3" s="364"/>
      <c r="AR3" s="363"/>
      <c r="AS3" s="364"/>
      <c r="AT3" s="363"/>
      <c r="AU3" s="364"/>
      <c r="AV3" s="363"/>
      <c r="AW3" s="364"/>
      <c r="AX3" s="363"/>
      <c r="AZ3" s="334">
        <f t="shared" ref="AZ3:AZ21" si="0">SUM(AF3,AH3,AJ3,AL3,AN3,AP3,AR3,AT3,AV3,AX3)</f>
        <v>0</v>
      </c>
    </row>
    <row r="4" spans="1:52" x14ac:dyDescent="0.5">
      <c r="A4" s="358" t="s">
        <v>222</v>
      </c>
      <c r="B4" s="637">
        <v>2</v>
      </c>
      <c r="C4" s="638"/>
      <c r="D4" s="639"/>
      <c r="E4" s="329">
        <v>1</v>
      </c>
      <c r="F4" s="331"/>
      <c r="H4" s="358" t="s">
        <v>222</v>
      </c>
      <c r="I4" s="637"/>
      <c r="J4" s="638"/>
      <c r="K4" s="639"/>
      <c r="L4" s="329">
        <v>1</v>
      </c>
      <c r="M4" s="331"/>
      <c r="N4" s="331"/>
      <c r="O4" s="358" t="s">
        <v>222</v>
      </c>
      <c r="P4" s="637"/>
      <c r="Q4" s="638"/>
      <c r="R4" s="639"/>
      <c r="S4" s="329">
        <v>1</v>
      </c>
      <c r="T4" s="331"/>
      <c r="U4" s="331"/>
      <c r="W4" s="243"/>
      <c r="X4" s="245"/>
      <c r="Y4" s="339"/>
      <c r="Z4" s="331"/>
      <c r="AB4" s="333" t="s">
        <v>30</v>
      </c>
      <c r="AC4" s="365"/>
      <c r="AD4" s="334" t="str">
        <f>IF(AZ4=0,"",MAX(AZ2:AZ21)-AZ4)</f>
        <v/>
      </c>
      <c r="AE4" s="364"/>
      <c r="AF4" s="363"/>
      <c r="AG4" s="364"/>
      <c r="AH4" s="363"/>
      <c r="AI4" s="364"/>
      <c r="AJ4" s="363"/>
      <c r="AK4" s="364"/>
      <c r="AL4" s="363"/>
      <c r="AM4" s="364"/>
      <c r="AN4" s="363"/>
      <c r="AO4" s="364"/>
      <c r="AP4" s="363"/>
      <c r="AQ4" s="364"/>
      <c r="AR4" s="363"/>
      <c r="AS4" s="364"/>
      <c r="AT4" s="363"/>
      <c r="AU4" s="364"/>
      <c r="AV4" s="363"/>
      <c r="AW4" s="364"/>
      <c r="AX4" s="363"/>
      <c r="AZ4" s="334">
        <f t="shared" si="0"/>
        <v>0</v>
      </c>
    </row>
    <row r="5" spans="1:52" x14ac:dyDescent="0.5">
      <c r="A5" s="358" t="s">
        <v>339</v>
      </c>
      <c r="B5" s="637">
        <v>0</v>
      </c>
      <c r="C5" s="638"/>
      <c r="D5" s="639"/>
      <c r="E5" s="329">
        <v>1</v>
      </c>
      <c r="F5" s="331"/>
      <c r="H5" s="358" t="s">
        <v>339</v>
      </c>
      <c r="I5" s="637"/>
      <c r="J5" s="638"/>
      <c r="K5" s="639"/>
      <c r="L5" s="329">
        <v>1</v>
      </c>
      <c r="M5" s="331"/>
      <c r="N5" s="331"/>
      <c r="O5" s="358" t="s">
        <v>339</v>
      </c>
      <c r="P5" s="637"/>
      <c r="Q5" s="638"/>
      <c r="R5" s="639"/>
      <c r="S5" s="329">
        <v>1</v>
      </c>
      <c r="T5" s="331"/>
      <c r="U5" s="331"/>
      <c r="V5" s="366" t="s">
        <v>2</v>
      </c>
      <c r="W5" s="226">
        <f>W2*(1+W3)</f>
        <v>1.02</v>
      </c>
      <c r="X5" s="246">
        <f>W2*(1+X3)</f>
        <v>1</v>
      </c>
      <c r="Y5" s="382" t="s">
        <v>7</v>
      </c>
      <c r="Z5" s="331"/>
      <c r="AB5" s="333" t="s">
        <v>31</v>
      </c>
      <c r="AC5" s="365"/>
      <c r="AD5" s="334" t="str">
        <f>IF(AZ5=0,"",MAX(AZ2:AZ21)-AZ5)</f>
        <v/>
      </c>
      <c r="AE5" s="364"/>
      <c r="AF5" s="363"/>
      <c r="AG5" s="364"/>
      <c r="AH5" s="363"/>
      <c r="AI5" s="364"/>
      <c r="AJ5" s="363"/>
      <c r="AK5" s="364"/>
      <c r="AL5" s="363"/>
      <c r="AM5" s="364"/>
      <c r="AN5" s="363"/>
      <c r="AO5" s="364"/>
      <c r="AP5" s="363"/>
      <c r="AQ5" s="364"/>
      <c r="AR5" s="363"/>
      <c r="AS5" s="364"/>
      <c r="AT5" s="363"/>
      <c r="AU5" s="364"/>
      <c r="AV5" s="363"/>
      <c r="AW5" s="364"/>
      <c r="AX5" s="363"/>
      <c r="AZ5" s="334">
        <f t="shared" si="0"/>
        <v>0</v>
      </c>
    </row>
    <row r="6" spans="1:52" x14ac:dyDescent="0.5">
      <c r="A6" s="358" t="s">
        <v>3</v>
      </c>
      <c r="B6" s="369">
        <v>0.02</v>
      </c>
      <c r="C6" s="370">
        <v>0</v>
      </c>
      <c r="D6" s="350">
        <v>0</v>
      </c>
      <c r="E6" s="329" t="s">
        <v>38</v>
      </c>
      <c r="F6" s="331"/>
      <c r="H6" s="358" t="s">
        <v>3</v>
      </c>
      <c r="I6" s="369">
        <v>0.02</v>
      </c>
      <c r="J6" s="370">
        <v>0</v>
      </c>
      <c r="K6" s="350">
        <v>0</v>
      </c>
      <c r="L6" s="329" t="s">
        <v>38</v>
      </c>
      <c r="M6" s="331"/>
      <c r="N6" s="331"/>
      <c r="O6" s="358" t="s">
        <v>3</v>
      </c>
      <c r="P6" s="369">
        <v>0.02</v>
      </c>
      <c r="Q6" s="370">
        <v>0</v>
      </c>
      <c r="R6" s="350">
        <v>0</v>
      </c>
      <c r="S6" s="329" t="s">
        <v>38</v>
      </c>
      <c r="T6" s="331"/>
      <c r="U6" s="331"/>
      <c r="V6" s="332"/>
      <c r="W6" s="336"/>
      <c r="X6" s="348"/>
      <c r="Y6" s="368" t="str">
        <f>IF(SUM(Y10:Y11)&gt;0.1*Y14, "Warning: high [enzyme]. Raise rxn volume. Or lower enzyme volume.","")</f>
        <v/>
      </c>
      <c r="Z6" s="331"/>
      <c r="AB6" s="333" t="s">
        <v>32</v>
      </c>
      <c r="AC6" s="365"/>
      <c r="AD6" s="334" t="str">
        <f>IF(AZ6=0,"",MAX(AZ2:AZ21)-AZ6)</f>
        <v/>
      </c>
      <c r="AE6" s="364"/>
      <c r="AF6" s="363"/>
      <c r="AG6" s="364"/>
      <c r="AH6" s="363"/>
      <c r="AI6" s="364"/>
      <c r="AJ6" s="363"/>
      <c r="AK6" s="364"/>
      <c r="AL6" s="363"/>
      <c r="AM6" s="364"/>
      <c r="AN6" s="363"/>
      <c r="AO6" s="364"/>
      <c r="AP6" s="363"/>
      <c r="AQ6" s="364"/>
      <c r="AR6" s="363"/>
      <c r="AS6" s="364"/>
      <c r="AT6" s="363"/>
      <c r="AU6" s="364"/>
      <c r="AV6" s="363"/>
      <c r="AW6" s="364"/>
      <c r="AX6" s="363"/>
      <c r="AZ6" s="334">
        <f>SUM(AF6,AH6,AJ6,AL6,AN6,AP6,AR6,AT6,AV6,AX6)</f>
        <v>0</v>
      </c>
    </row>
    <row r="7" spans="1:52" ht="16.350000000000001" x14ac:dyDescent="0.65">
      <c r="B7" s="371"/>
      <c r="D7" s="349"/>
      <c r="E7" s="339"/>
      <c r="F7" s="331"/>
      <c r="I7" s="371"/>
      <c r="K7" s="349"/>
      <c r="L7" s="339"/>
      <c r="M7" s="331"/>
      <c r="N7" s="331"/>
      <c r="P7" s="371"/>
      <c r="R7" s="349"/>
      <c r="S7" s="339"/>
      <c r="T7" s="331"/>
      <c r="U7" s="331"/>
      <c r="V7" s="332" t="s">
        <v>13</v>
      </c>
      <c r="W7" s="374">
        <f>W5*Y7</f>
        <v>11.22</v>
      </c>
      <c r="X7" s="240">
        <f>X5*Y7</f>
        <v>11</v>
      </c>
      <c r="Y7" s="150">
        <f>Y14-SUM(Y8:Y12)</f>
        <v>11</v>
      </c>
      <c r="Z7" s="331" t="s">
        <v>10</v>
      </c>
      <c r="AB7" s="333" t="s">
        <v>33</v>
      </c>
      <c r="AC7" s="365"/>
      <c r="AD7" s="334" t="str">
        <f>IF(AZ7=0,"",MAX(AZ2:AZ21)-AZ7)</f>
        <v/>
      </c>
      <c r="AE7" s="364"/>
      <c r="AF7" s="363"/>
      <c r="AG7" s="364"/>
      <c r="AH7" s="363"/>
      <c r="AI7" s="364"/>
      <c r="AJ7" s="363"/>
      <c r="AK7" s="364"/>
      <c r="AL7" s="363"/>
      <c r="AM7" s="364"/>
      <c r="AN7" s="363"/>
      <c r="AO7" s="364"/>
      <c r="AP7" s="363"/>
      <c r="AQ7" s="364"/>
      <c r="AR7" s="363"/>
      <c r="AS7" s="364"/>
      <c r="AT7" s="363"/>
      <c r="AU7" s="364"/>
      <c r="AV7" s="363"/>
      <c r="AW7" s="364"/>
      <c r="AX7" s="363"/>
      <c r="AZ7" s="334">
        <f>SUM(AF7,AH7,AJ7,AL7,AN7,AP7,AR7,AT7,AV7,AX7)</f>
        <v>0</v>
      </c>
    </row>
    <row r="8" spans="1:52" x14ac:dyDescent="0.5">
      <c r="A8" s="366" t="s">
        <v>2</v>
      </c>
      <c r="B8" s="379">
        <f>B2*(1+B6)</f>
        <v>10.199999999999999</v>
      </c>
      <c r="C8" s="380">
        <f>B2*(1+D6)</f>
        <v>10</v>
      </c>
      <c r="D8" s="381">
        <v>1</v>
      </c>
      <c r="E8" s="382" t="s">
        <v>7</v>
      </c>
      <c r="F8" s="331"/>
      <c r="H8" s="366" t="s">
        <v>2</v>
      </c>
      <c r="I8" s="379">
        <f>I2*(1+I6)</f>
        <v>0</v>
      </c>
      <c r="J8" s="380">
        <f>I2*(1+K6)</f>
        <v>0</v>
      </c>
      <c r="K8" s="381">
        <v>1</v>
      </c>
      <c r="L8" s="382" t="s">
        <v>7</v>
      </c>
      <c r="M8" s="331"/>
      <c r="N8" s="331"/>
      <c r="O8" s="366" t="s">
        <v>2</v>
      </c>
      <c r="P8" s="379">
        <f>P2*(1+P6)</f>
        <v>0</v>
      </c>
      <c r="Q8" s="380">
        <f>P2*(1+R6)</f>
        <v>0</v>
      </c>
      <c r="R8" s="381">
        <v>1</v>
      </c>
      <c r="S8" s="382" t="s">
        <v>7</v>
      </c>
      <c r="T8" s="331"/>
      <c r="U8" s="331"/>
      <c r="V8" s="332" t="s">
        <v>11</v>
      </c>
      <c r="W8" s="374">
        <f>W5*Y8</f>
        <v>1.53</v>
      </c>
      <c r="X8" s="345">
        <f>X5*Y8</f>
        <v>1.5</v>
      </c>
      <c r="Y8" s="337">
        <f>Y14/10</f>
        <v>1.5</v>
      </c>
      <c r="Z8" s="331" t="s">
        <v>10</v>
      </c>
      <c r="AB8" s="333" t="s">
        <v>34</v>
      </c>
      <c r="AC8" s="365"/>
      <c r="AD8" s="334" t="str">
        <f>IF(AZ8=0,"",MAX(AZ2:AZ21)-AZ8)</f>
        <v/>
      </c>
      <c r="AE8" s="364"/>
      <c r="AF8" s="363"/>
      <c r="AG8" s="364"/>
      <c r="AH8" s="363"/>
      <c r="AI8" s="364"/>
      <c r="AJ8" s="363"/>
      <c r="AK8" s="364"/>
      <c r="AL8" s="363"/>
      <c r="AM8" s="364"/>
      <c r="AN8" s="363"/>
      <c r="AO8" s="364"/>
      <c r="AP8" s="363"/>
      <c r="AQ8" s="364"/>
      <c r="AR8" s="363"/>
      <c r="AS8" s="364"/>
      <c r="AT8" s="363"/>
      <c r="AU8" s="364"/>
      <c r="AV8" s="363"/>
      <c r="AW8" s="364"/>
      <c r="AX8" s="363"/>
      <c r="AZ8" s="334">
        <f t="shared" si="0"/>
        <v>0</v>
      </c>
    </row>
    <row r="9" spans="1:52" x14ac:dyDescent="0.5">
      <c r="A9" s="332"/>
      <c r="B9" s="373"/>
      <c r="C9" s="348"/>
      <c r="D9" s="368"/>
      <c r="E9" s="368" t="str">
        <f>IF(SUM(E13:E14)&gt;0.1*E22, "Warning: high [enzyme]. Raise rxn volume. Or lower enzyme volume.","")</f>
        <v/>
      </c>
      <c r="F9" s="404" t="s">
        <v>262</v>
      </c>
      <c r="H9" s="332"/>
      <c r="I9" s="373"/>
      <c r="J9" s="348"/>
      <c r="K9" s="368"/>
      <c r="L9" s="368" t="str">
        <f>IF(SUM(L13:L14)&gt;0.1*L22, "Warning: high [enzyme]. Raise rxn volume. Or lower enzyme volume.","")</f>
        <v/>
      </c>
      <c r="M9" s="404" t="s">
        <v>262</v>
      </c>
      <c r="N9" s="331"/>
      <c r="O9" s="332"/>
      <c r="P9" s="373"/>
      <c r="Q9" s="348"/>
      <c r="R9" s="368"/>
      <c r="S9" s="368" t="str">
        <f>IF(SUM(S13:S14)&gt;0.1*S22, "Warning: high [enzyme]. Raise rxn volume. Or lower enzyme volume.","")</f>
        <v/>
      </c>
      <c r="T9" s="404" t="s">
        <v>262</v>
      </c>
      <c r="U9" s="331"/>
      <c r="V9" s="332" t="s">
        <v>357</v>
      </c>
      <c r="W9" s="501">
        <f>W5*Y9</f>
        <v>1.53</v>
      </c>
      <c r="X9" s="497">
        <f>Y9*X5</f>
        <v>1.5</v>
      </c>
      <c r="Y9" s="500">
        <f>IF($Y$2="yes",Y14/10,0)</f>
        <v>1.5</v>
      </c>
      <c r="Z9" s="499" t="s">
        <v>10</v>
      </c>
      <c r="AB9" s="333" t="s">
        <v>35</v>
      </c>
      <c r="AC9" s="365"/>
      <c r="AD9" s="334" t="str">
        <f>IF(AZ9=0,"",MAX(AZ2:AZ21)-AZ9)</f>
        <v/>
      </c>
      <c r="AE9" s="364"/>
      <c r="AF9" s="363"/>
      <c r="AG9" s="364"/>
      <c r="AH9" s="363"/>
      <c r="AI9" s="364"/>
      <c r="AJ9" s="363"/>
      <c r="AK9" s="364"/>
      <c r="AL9" s="363"/>
      <c r="AM9" s="364"/>
      <c r="AN9" s="363"/>
      <c r="AO9" s="364"/>
      <c r="AP9" s="363"/>
      <c r="AQ9" s="364"/>
      <c r="AR9" s="363"/>
      <c r="AS9" s="364"/>
      <c r="AT9" s="363"/>
      <c r="AU9" s="364"/>
      <c r="AV9" s="363"/>
      <c r="AW9" s="364"/>
      <c r="AX9" s="363"/>
      <c r="AZ9" s="334">
        <f t="shared" si="0"/>
        <v>0</v>
      </c>
    </row>
    <row r="10" spans="1:52" ht="16.350000000000001" x14ac:dyDescent="0.65">
      <c r="A10" s="332" t="s">
        <v>13</v>
      </c>
      <c r="B10" s="374">
        <f>B8*E10</f>
        <v>71.399999999999991</v>
      </c>
      <c r="C10" s="372">
        <f>C8*E10</f>
        <v>70</v>
      </c>
      <c r="D10" s="347">
        <f>E22-SUM(E11:E14,E16*B3,E18*B4,E20*B5)</f>
        <v>7</v>
      </c>
      <c r="E10" s="337">
        <f>E22-SUM(E11:E14,E16*B3,E18*B4,E20*B5)</f>
        <v>7</v>
      </c>
      <c r="F10" s="331" t="s">
        <v>10</v>
      </c>
      <c r="G10" s="339"/>
      <c r="H10" s="332" t="s">
        <v>13</v>
      </c>
      <c r="I10" s="374">
        <f>I8*L10</f>
        <v>0</v>
      </c>
      <c r="J10" s="372">
        <f>J8*L10</f>
        <v>0</v>
      </c>
      <c r="K10" s="347">
        <f>L22-SUM(L11:L14,L16*I3,L18*I4,L20*I5)</f>
        <v>11</v>
      </c>
      <c r="L10" s="337">
        <f>L22-SUM(L11:L14,L16*I3,L18*I4,L20*I5)</f>
        <v>11</v>
      </c>
      <c r="M10" s="331" t="s">
        <v>10</v>
      </c>
      <c r="N10" s="331"/>
      <c r="O10" s="332" t="s">
        <v>13</v>
      </c>
      <c r="P10" s="374">
        <f>P8*S10</f>
        <v>0</v>
      </c>
      <c r="Q10" s="372">
        <f>Q8*S10</f>
        <v>0</v>
      </c>
      <c r="R10" s="347">
        <f>S22-SUM(S11:S14,S16*P3,S18*P4,S20*P5)</f>
        <v>11</v>
      </c>
      <c r="S10" s="337">
        <f>S22-SUM(S11:S14,S16*P3,S18*P4,S20*P5)</f>
        <v>11</v>
      </c>
      <c r="T10" s="331" t="s">
        <v>10</v>
      </c>
      <c r="U10" s="331"/>
      <c r="V10" s="332" t="s">
        <v>213</v>
      </c>
      <c r="W10" s="374">
        <f>W5*Y10</f>
        <v>0.51</v>
      </c>
      <c r="X10" s="345">
        <f>X5*Y10</f>
        <v>0.5</v>
      </c>
      <c r="Y10" s="328">
        <v>0.5</v>
      </c>
      <c r="Z10" s="331" t="s">
        <v>10</v>
      </c>
      <c r="AB10" s="333" t="s">
        <v>36</v>
      </c>
      <c r="AC10" s="365"/>
      <c r="AD10" s="334" t="str">
        <f>IF(AZ10=0,"",MAX(AZ2:AZ21)-AZ10)</f>
        <v/>
      </c>
      <c r="AE10" s="364"/>
      <c r="AF10" s="363"/>
      <c r="AG10" s="364"/>
      <c r="AH10" s="363"/>
      <c r="AI10" s="364"/>
      <c r="AJ10" s="363"/>
      <c r="AK10" s="364"/>
      <c r="AL10" s="363"/>
      <c r="AM10" s="364"/>
      <c r="AN10" s="363"/>
      <c r="AO10" s="364"/>
      <c r="AP10" s="363"/>
      <c r="AQ10" s="364"/>
      <c r="AR10" s="363"/>
      <c r="AS10" s="364"/>
      <c r="AT10" s="363"/>
      <c r="AU10" s="364"/>
      <c r="AV10" s="363"/>
      <c r="AW10" s="364"/>
      <c r="AX10" s="363"/>
      <c r="AZ10" s="334">
        <f t="shared" si="0"/>
        <v>0</v>
      </c>
    </row>
    <row r="11" spans="1:52" x14ac:dyDescent="0.5">
      <c r="A11" s="332" t="s">
        <v>11</v>
      </c>
      <c r="B11" s="374">
        <f>B8*E11</f>
        <v>15.299999999999999</v>
      </c>
      <c r="C11" s="345">
        <f>C8*E11</f>
        <v>15</v>
      </c>
      <c r="D11" s="347">
        <f>D8*E11</f>
        <v>1.5</v>
      </c>
      <c r="E11" s="337">
        <f>E22/10</f>
        <v>1.5</v>
      </c>
      <c r="F11" s="331" t="s">
        <v>10</v>
      </c>
      <c r="G11" s="339"/>
      <c r="H11" s="332" t="s">
        <v>11</v>
      </c>
      <c r="I11" s="374">
        <f>I8*L11</f>
        <v>0</v>
      </c>
      <c r="J11" s="345">
        <f>J8*L11</f>
        <v>0</v>
      </c>
      <c r="K11" s="347">
        <f>K8*L11</f>
        <v>1.5</v>
      </c>
      <c r="L11" s="337">
        <f>L22/10</f>
        <v>1.5</v>
      </c>
      <c r="M11" s="331" t="s">
        <v>10</v>
      </c>
      <c r="N11" s="331"/>
      <c r="O11" s="332" t="s">
        <v>11</v>
      </c>
      <c r="P11" s="374">
        <f>P8*S11</f>
        <v>0</v>
      </c>
      <c r="Q11" s="345">
        <f>Q8*S11</f>
        <v>0</v>
      </c>
      <c r="R11" s="347">
        <f>R8*S11</f>
        <v>1.5</v>
      </c>
      <c r="S11" s="337">
        <f>S22/10</f>
        <v>1.5</v>
      </c>
      <c r="T11" s="331" t="s">
        <v>10</v>
      </c>
      <c r="U11" s="331"/>
      <c r="V11" s="332" t="s">
        <v>258</v>
      </c>
      <c r="W11" s="374">
        <f>W5*Y11</f>
        <v>0.51</v>
      </c>
      <c r="X11" s="345">
        <f>X5*Y11</f>
        <v>0.5</v>
      </c>
      <c r="Y11" s="328">
        <v>0.5</v>
      </c>
      <c r="Z11" s="331" t="s">
        <v>10</v>
      </c>
      <c r="AB11" s="333" t="s">
        <v>37</v>
      </c>
      <c r="AC11" s="365"/>
      <c r="AD11" s="334" t="str">
        <f>IF(AZ11=0,"",MAX(AZ2:AZ21)-AZ11)</f>
        <v/>
      </c>
      <c r="AE11" s="364"/>
      <c r="AF11" s="363"/>
      <c r="AG11" s="364"/>
      <c r="AH11" s="363"/>
      <c r="AI11" s="364"/>
      <c r="AJ11" s="363"/>
      <c r="AK11" s="364"/>
      <c r="AL11" s="363"/>
      <c r="AM11" s="364"/>
      <c r="AN11" s="363"/>
      <c r="AO11" s="364"/>
      <c r="AP11" s="363"/>
      <c r="AQ11" s="364"/>
      <c r="AR11" s="363"/>
      <c r="AS11" s="364"/>
      <c r="AT11" s="363"/>
      <c r="AU11" s="364"/>
      <c r="AV11" s="363"/>
      <c r="AW11" s="364"/>
      <c r="AX11" s="363"/>
      <c r="AZ11" s="334">
        <f t="shared" si="0"/>
        <v>0</v>
      </c>
    </row>
    <row r="12" spans="1:52" x14ac:dyDescent="0.5">
      <c r="A12" s="332" t="s">
        <v>357</v>
      </c>
      <c r="B12" s="496">
        <f>B8*E12</f>
        <v>15.299999999999999</v>
      </c>
      <c r="C12" s="497">
        <f>C8*E12</f>
        <v>15</v>
      </c>
      <c r="D12" s="497">
        <f>D8*E12</f>
        <v>1.5</v>
      </c>
      <c r="E12" s="500">
        <f>IF(E2="yes",E22/10,0)</f>
        <v>1.5</v>
      </c>
      <c r="F12" s="499" t="s">
        <v>10</v>
      </c>
      <c r="G12" s="339"/>
      <c r="H12" s="332" t="s">
        <v>357</v>
      </c>
      <c r="I12" s="496">
        <f>I8*L12</f>
        <v>0</v>
      </c>
      <c r="J12" s="497">
        <f>J8*L12</f>
        <v>0</v>
      </c>
      <c r="K12" s="497">
        <f>K8*L12</f>
        <v>1.5</v>
      </c>
      <c r="L12" s="500">
        <f>IF(L2="yes",L22/10,0)</f>
        <v>1.5</v>
      </c>
      <c r="M12" s="499" t="s">
        <v>10</v>
      </c>
      <c r="N12" s="331"/>
      <c r="O12" s="332" t="s">
        <v>357</v>
      </c>
      <c r="P12" s="496">
        <f>P8*S12</f>
        <v>0</v>
      </c>
      <c r="Q12" s="497">
        <f>Q8*S12</f>
        <v>0</v>
      </c>
      <c r="R12" s="497">
        <f>R8*S12</f>
        <v>1.5</v>
      </c>
      <c r="S12" s="500">
        <f>IF(S2="yes",S22/10,0)</f>
        <v>1.5</v>
      </c>
      <c r="T12" s="499" t="s">
        <v>10</v>
      </c>
      <c r="U12" s="331"/>
      <c r="V12" s="332" t="s">
        <v>164</v>
      </c>
      <c r="W12" s="151">
        <f>Y12*W5</f>
        <v>0</v>
      </c>
      <c r="X12" s="241">
        <f>Y12*X5</f>
        <v>0</v>
      </c>
      <c r="Y12" s="152">
        <f>MAX(AZ2:AZ21)</f>
        <v>0</v>
      </c>
      <c r="Z12" s="331" t="s">
        <v>10</v>
      </c>
      <c r="AB12" s="333" t="s">
        <v>41</v>
      </c>
      <c r="AC12" s="365"/>
      <c r="AD12" s="334" t="str">
        <f>IF(AZ12=0,"",MAX(AZ2:AZ21)-AZ12)</f>
        <v/>
      </c>
      <c r="AE12" s="364"/>
      <c r="AF12" s="363"/>
      <c r="AG12" s="364"/>
      <c r="AH12" s="363"/>
      <c r="AI12" s="364"/>
      <c r="AJ12" s="363"/>
      <c r="AK12" s="364"/>
      <c r="AL12" s="363"/>
      <c r="AM12" s="364"/>
      <c r="AN12" s="363"/>
      <c r="AO12" s="364"/>
      <c r="AP12" s="363"/>
      <c r="AQ12" s="364"/>
      <c r="AR12" s="363"/>
      <c r="AS12" s="364"/>
      <c r="AT12" s="363"/>
      <c r="AU12" s="364"/>
      <c r="AV12" s="363"/>
      <c r="AW12" s="364"/>
      <c r="AX12" s="363"/>
      <c r="AZ12" s="334">
        <f t="shared" si="0"/>
        <v>0</v>
      </c>
    </row>
    <row r="13" spans="1:52" ht="16.350000000000001" x14ac:dyDescent="0.65">
      <c r="A13" s="332" t="s">
        <v>213</v>
      </c>
      <c r="B13" s="374">
        <f>B8*E13</f>
        <v>5.0999999999999996</v>
      </c>
      <c r="C13" s="345">
        <f>C8*E13</f>
        <v>5</v>
      </c>
      <c r="D13" s="345">
        <f>D8*E13</f>
        <v>0.5</v>
      </c>
      <c r="E13" s="328">
        <v>0.5</v>
      </c>
      <c r="F13" s="331" t="s">
        <v>10</v>
      </c>
      <c r="H13" s="332" t="s">
        <v>213</v>
      </c>
      <c r="I13" s="374">
        <f>I8*L13</f>
        <v>0</v>
      </c>
      <c r="J13" s="345">
        <f>J8*L13</f>
        <v>0</v>
      </c>
      <c r="K13" s="345">
        <f>K8*L13</f>
        <v>0.5</v>
      </c>
      <c r="L13" s="328">
        <v>0.5</v>
      </c>
      <c r="M13" s="331" t="s">
        <v>10</v>
      </c>
      <c r="N13" s="331"/>
      <c r="O13" s="332" t="s">
        <v>213</v>
      </c>
      <c r="P13" s="374">
        <f>P8*S13</f>
        <v>0</v>
      </c>
      <c r="Q13" s="345">
        <f>Q8*S13</f>
        <v>0</v>
      </c>
      <c r="R13" s="345">
        <f>R8*S13</f>
        <v>0.5</v>
      </c>
      <c r="S13" s="328">
        <v>0.5</v>
      </c>
      <c r="T13" s="331" t="s">
        <v>10</v>
      </c>
      <c r="U13" s="331"/>
      <c r="V13" s="332"/>
      <c r="W13" s="336"/>
      <c r="X13" s="346"/>
      <c r="Y13" s="330"/>
      <c r="Z13" s="331"/>
      <c r="AB13" s="333" t="s">
        <v>42</v>
      </c>
      <c r="AC13" s="365"/>
      <c r="AD13" s="334" t="str">
        <f>IF(AZ13=0,"",MAX(AZ2:AZ21)-AZ13)</f>
        <v/>
      </c>
      <c r="AE13" s="364"/>
      <c r="AF13" s="363"/>
      <c r="AG13" s="364"/>
      <c r="AH13" s="363"/>
      <c r="AI13" s="364"/>
      <c r="AJ13" s="363"/>
      <c r="AK13" s="364"/>
      <c r="AL13" s="363"/>
      <c r="AM13" s="364"/>
      <c r="AN13" s="363"/>
      <c r="AO13" s="364"/>
      <c r="AP13" s="363"/>
      <c r="AQ13" s="364"/>
      <c r="AR13" s="363"/>
      <c r="AS13" s="364"/>
      <c r="AT13" s="363"/>
      <c r="AU13" s="364"/>
      <c r="AV13" s="363"/>
      <c r="AW13" s="364"/>
      <c r="AX13" s="363"/>
      <c r="AZ13" s="334">
        <f t="shared" si="0"/>
        <v>0</v>
      </c>
    </row>
    <row r="14" spans="1:52" s="330" customFormat="1" x14ac:dyDescent="0.5">
      <c r="A14" s="332" t="s">
        <v>258</v>
      </c>
      <c r="B14" s="374">
        <f>B8*E14</f>
        <v>5.0999999999999996</v>
      </c>
      <c r="C14" s="345">
        <f>C8*E14</f>
        <v>5</v>
      </c>
      <c r="D14" s="345">
        <f>D8*E14</f>
        <v>0.5</v>
      </c>
      <c r="E14" s="328">
        <v>0.5</v>
      </c>
      <c r="F14" s="331" t="s">
        <v>10</v>
      </c>
      <c r="G14" s="326"/>
      <c r="H14" s="332" t="s">
        <v>258</v>
      </c>
      <c r="I14" s="374">
        <f>I8*L14</f>
        <v>0</v>
      </c>
      <c r="J14" s="345">
        <f>J8*L14</f>
        <v>0</v>
      </c>
      <c r="K14" s="345">
        <f>K8*L14</f>
        <v>0.5</v>
      </c>
      <c r="L14" s="328">
        <v>0.5</v>
      </c>
      <c r="M14" s="331" t="s">
        <v>10</v>
      </c>
      <c r="N14" s="331"/>
      <c r="O14" s="332" t="s">
        <v>258</v>
      </c>
      <c r="P14" s="374">
        <f>P8*S14</f>
        <v>0</v>
      </c>
      <c r="Q14" s="345">
        <f>Q8*S14</f>
        <v>0</v>
      </c>
      <c r="R14" s="345">
        <f>R8*S14</f>
        <v>0.5</v>
      </c>
      <c r="S14" s="328">
        <v>0.5</v>
      </c>
      <c r="T14" s="331" t="s">
        <v>10</v>
      </c>
      <c r="U14" s="352"/>
      <c r="V14" s="359" t="s">
        <v>4</v>
      </c>
      <c r="W14" s="341">
        <f>SUM(W7:W12)</f>
        <v>15.299999999999999</v>
      </c>
      <c r="X14" s="353">
        <f>SUM(X7:X12)</f>
        <v>15</v>
      </c>
      <c r="Y14" s="354">
        <v>15</v>
      </c>
      <c r="Z14" s="342" t="s">
        <v>10</v>
      </c>
      <c r="AB14" s="333" t="s">
        <v>43</v>
      </c>
      <c r="AC14" s="365"/>
      <c r="AD14" s="334" t="str">
        <f>IF(AZ14=0,"",MAX(AZ2:AZ21)-AZ14)</f>
        <v/>
      </c>
      <c r="AE14" s="364"/>
      <c r="AF14" s="363"/>
      <c r="AG14" s="364"/>
      <c r="AH14" s="363"/>
      <c r="AI14" s="364"/>
      <c r="AJ14" s="363"/>
      <c r="AK14" s="364"/>
      <c r="AL14" s="363"/>
      <c r="AM14" s="364"/>
      <c r="AN14" s="363"/>
      <c r="AO14" s="364"/>
      <c r="AP14" s="363"/>
      <c r="AQ14" s="364"/>
      <c r="AR14" s="363"/>
      <c r="AS14" s="364"/>
      <c r="AT14" s="363"/>
      <c r="AU14" s="364"/>
      <c r="AV14" s="363"/>
      <c r="AW14" s="364"/>
      <c r="AX14" s="363"/>
      <c r="AZ14" s="334">
        <f t="shared" si="0"/>
        <v>0</v>
      </c>
    </row>
    <row r="15" spans="1:52" x14ac:dyDescent="0.5">
      <c r="A15" s="351"/>
      <c r="B15" s="650" t="s">
        <v>4</v>
      </c>
      <c r="C15" s="650"/>
      <c r="D15" s="651"/>
      <c r="E15" s="377" t="s">
        <v>94</v>
      </c>
      <c r="F15" s="352"/>
      <c r="G15" s="330"/>
      <c r="H15" s="351"/>
      <c r="I15" s="650" t="s">
        <v>4</v>
      </c>
      <c r="J15" s="650"/>
      <c r="K15" s="651"/>
      <c r="L15" s="377" t="s">
        <v>94</v>
      </c>
      <c r="M15" s="352"/>
      <c r="N15" s="352"/>
      <c r="O15" s="351"/>
      <c r="P15" s="650" t="s">
        <v>4</v>
      </c>
      <c r="Q15" s="650"/>
      <c r="R15" s="651"/>
      <c r="S15" s="377" t="s">
        <v>94</v>
      </c>
      <c r="T15" s="352"/>
      <c r="U15" s="331"/>
      <c r="V15" s="359" t="s">
        <v>87</v>
      </c>
      <c r="W15" s="341">
        <f>SUM(W7:W11)</f>
        <v>15.299999999999999</v>
      </c>
      <c r="X15" s="353">
        <f>SUM(X7:X11)</f>
        <v>15</v>
      </c>
      <c r="Y15" s="343">
        <f>SUM(Y7:Y11)</f>
        <v>15</v>
      </c>
      <c r="Z15" s="342" t="s">
        <v>10</v>
      </c>
      <c r="AB15" s="333" t="s">
        <v>44</v>
      </c>
      <c r="AC15" s="365"/>
      <c r="AD15" s="334" t="str">
        <f>IF(AZ15=0,"",MAX(AZ2:AZ21)-AZ15)</f>
        <v/>
      </c>
      <c r="AE15" s="364"/>
      <c r="AF15" s="363"/>
      <c r="AG15" s="364"/>
      <c r="AH15" s="363"/>
      <c r="AI15" s="364"/>
      <c r="AJ15" s="363"/>
      <c r="AK15" s="364"/>
      <c r="AL15" s="363"/>
      <c r="AM15" s="364"/>
      <c r="AN15" s="363"/>
      <c r="AO15" s="364"/>
      <c r="AP15" s="363"/>
      <c r="AQ15" s="364"/>
      <c r="AR15" s="363"/>
      <c r="AS15" s="364"/>
      <c r="AT15" s="363"/>
      <c r="AU15" s="364"/>
      <c r="AV15" s="363"/>
      <c r="AW15" s="364"/>
      <c r="AX15" s="363"/>
      <c r="AZ15" s="334">
        <f t="shared" si="0"/>
        <v>0</v>
      </c>
    </row>
    <row r="16" spans="1:52" x14ac:dyDescent="0.5">
      <c r="A16" s="644" t="s">
        <v>279</v>
      </c>
      <c r="B16" s="511" t="str">
        <f>_xlfn.CONCAT(B8*E16," ×",B3,"=")</f>
        <v>5.1 ×6=</v>
      </c>
      <c r="C16" s="509" t="str">
        <f>_xlfn.CONCAT(C8*E16," ×",B3,"=")</f>
        <v>5 ×6=</v>
      </c>
      <c r="D16" s="513" t="str">
        <f>_xlfn.CONCAT(D8*E16," ×",B3,"=")</f>
        <v>0.5 ×6=</v>
      </c>
      <c r="E16" s="648">
        <v>0.5</v>
      </c>
      <c r="F16" s="647" t="s">
        <v>10</v>
      </c>
      <c r="H16" s="644" t="s">
        <v>279</v>
      </c>
      <c r="I16" s="511" t="str">
        <f>_xlfn.CONCAT(I8*L16," ×",I3,"=")</f>
        <v>0 ×=</v>
      </c>
      <c r="J16" s="509" t="str">
        <f>_xlfn.CONCAT(J8*L16," ×",I3,"=")</f>
        <v>0 ×=</v>
      </c>
      <c r="K16" s="513" t="str">
        <f>_xlfn.CONCAT(K8*L16," ×",I3,"=")</f>
        <v>0.5 ×=</v>
      </c>
      <c r="L16" s="648">
        <v>0.5</v>
      </c>
      <c r="M16" s="647" t="s">
        <v>10</v>
      </c>
      <c r="N16" s="331"/>
      <c r="O16" s="644" t="s">
        <v>279</v>
      </c>
      <c r="P16" s="511" t="str">
        <f>_xlfn.CONCAT(P8*S16," ×",P3,"=")</f>
        <v>0 ×=</v>
      </c>
      <c r="Q16" s="509" t="str">
        <f>_xlfn.CONCAT(Q8*S16," ×",P3,"=")</f>
        <v>0 ×=</v>
      </c>
      <c r="R16" s="513" t="str">
        <f>_xlfn.CONCAT(R8*S16," ×",P3,"=")</f>
        <v>0.5 ×=</v>
      </c>
      <c r="S16" s="648">
        <v>0.5</v>
      </c>
      <c r="T16" s="647" t="s">
        <v>10</v>
      </c>
      <c r="U16" s="331"/>
      <c r="V16" s="359" t="s">
        <v>93</v>
      </c>
      <c r="W16" s="341">
        <f>SUM(W7:W12)</f>
        <v>15.299999999999999</v>
      </c>
      <c r="X16" s="242">
        <f>SUM(X7:X12)</f>
        <v>15</v>
      </c>
      <c r="Y16" s="356" t="s">
        <v>38</v>
      </c>
      <c r="Z16" s="342" t="s">
        <v>10</v>
      </c>
      <c r="AB16" s="333" t="s">
        <v>45</v>
      </c>
      <c r="AC16" s="365"/>
      <c r="AD16" s="334" t="str">
        <f>IF(AZ16=0,"",MAX(AZ2:AZ21)-AZ16)</f>
        <v/>
      </c>
      <c r="AE16" s="364"/>
      <c r="AF16" s="363"/>
      <c r="AG16" s="364"/>
      <c r="AH16" s="363"/>
      <c r="AI16" s="364"/>
      <c r="AJ16" s="363"/>
      <c r="AK16" s="364"/>
      <c r="AL16" s="363"/>
      <c r="AM16" s="364"/>
      <c r="AN16" s="363"/>
      <c r="AO16" s="364"/>
      <c r="AP16" s="363"/>
      <c r="AQ16" s="364"/>
      <c r="AR16" s="363"/>
      <c r="AS16" s="364"/>
      <c r="AT16" s="363"/>
      <c r="AU16" s="364"/>
      <c r="AV16" s="363"/>
      <c r="AW16" s="364"/>
      <c r="AX16" s="363"/>
      <c r="AZ16" s="334">
        <f t="shared" si="0"/>
        <v>0</v>
      </c>
    </row>
    <row r="17" spans="1:52" x14ac:dyDescent="0.5">
      <c r="A17" s="644"/>
      <c r="B17" s="512">
        <f>B8*B3*E16</f>
        <v>30.599999999999998</v>
      </c>
      <c r="C17" s="507">
        <f>C8*B3*E16</f>
        <v>30</v>
      </c>
      <c r="D17" s="507">
        <f>D8*B3*E16</f>
        <v>3</v>
      </c>
      <c r="E17" s="649"/>
      <c r="F17" s="647"/>
      <c r="G17" s="482"/>
      <c r="H17" s="644"/>
      <c r="I17" s="512">
        <f>I8*I3*L16</f>
        <v>0</v>
      </c>
      <c r="J17" s="507">
        <f>J8*I3*L16</f>
        <v>0</v>
      </c>
      <c r="K17" s="507">
        <f>K8*I3*L16</f>
        <v>0</v>
      </c>
      <c r="L17" s="649"/>
      <c r="M17" s="647"/>
      <c r="N17" s="331"/>
      <c r="O17" s="644"/>
      <c r="P17" s="512">
        <f>P8*P3*S16</f>
        <v>0</v>
      </c>
      <c r="Q17" s="507">
        <f>Q8*P3*S16</f>
        <v>0</v>
      </c>
      <c r="R17" s="507">
        <f>R8*P3*S16</f>
        <v>0</v>
      </c>
      <c r="S17" s="649"/>
      <c r="T17" s="647"/>
      <c r="U17" s="331"/>
      <c r="AB17" s="333" t="s">
        <v>46</v>
      </c>
      <c r="AC17" s="365"/>
      <c r="AD17" s="334" t="str">
        <f>IF(AZ17=0,"",MAX(AZ2:AZ21)-AZ17)</f>
        <v/>
      </c>
      <c r="AE17" s="364"/>
      <c r="AF17" s="363"/>
      <c r="AG17" s="364"/>
      <c r="AH17" s="363"/>
      <c r="AI17" s="364"/>
      <c r="AJ17" s="363"/>
      <c r="AK17" s="364"/>
      <c r="AL17" s="363"/>
      <c r="AM17" s="364"/>
      <c r="AN17" s="363"/>
      <c r="AO17" s="364"/>
      <c r="AP17" s="363"/>
      <c r="AQ17" s="364"/>
      <c r="AR17" s="363"/>
      <c r="AS17" s="364"/>
      <c r="AT17" s="363"/>
      <c r="AU17" s="364"/>
      <c r="AV17" s="363"/>
      <c r="AW17" s="364"/>
      <c r="AX17" s="363"/>
      <c r="AZ17" s="334">
        <f t="shared" si="0"/>
        <v>0</v>
      </c>
    </row>
    <row r="18" spans="1:52" s="331" customFormat="1" x14ac:dyDescent="0.5">
      <c r="A18" s="644" t="s">
        <v>223</v>
      </c>
      <c r="B18" s="508" t="str">
        <f>_xlfn.CONCAT(B8*E18," ×",B4,"=")</f>
        <v>5.1 ×2=</v>
      </c>
      <c r="C18" s="510" t="str">
        <f>_xlfn.CONCAT(C8*E18," ×",B4,"=")</f>
        <v>5 ×2=</v>
      </c>
      <c r="D18" s="510" t="str">
        <f>_xlfn.CONCAT(D8*E18," ×",B4,"=")</f>
        <v>0.5 ×2=</v>
      </c>
      <c r="E18" s="645">
        <v>0.5</v>
      </c>
      <c r="F18" s="633" t="s">
        <v>10</v>
      </c>
      <c r="H18" s="644" t="s">
        <v>223</v>
      </c>
      <c r="I18" s="508" t="str">
        <f>_xlfn.CONCAT(I8*L18," ×",I4,"=")</f>
        <v>0 ×=</v>
      </c>
      <c r="J18" s="510" t="str">
        <f>_xlfn.CONCAT(J8*L18," ×",I4,"=")</f>
        <v>0 ×=</v>
      </c>
      <c r="K18" s="510" t="str">
        <f>_xlfn.CONCAT(K8*L18," ×",I4,"=")</f>
        <v>0.5 ×=</v>
      </c>
      <c r="L18" s="645">
        <v>0.5</v>
      </c>
      <c r="M18" s="633" t="s">
        <v>10</v>
      </c>
      <c r="O18" s="644" t="s">
        <v>223</v>
      </c>
      <c r="P18" s="508" t="str">
        <f>_xlfn.CONCAT(P8*S18," ×",P4,"=")</f>
        <v>0 ×=</v>
      </c>
      <c r="Q18" s="510" t="str">
        <f>_xlfn.CONCAT(Q8*S18," ×",P4,"=")</f>
        <v>0 ×=</v>
      </c>
      <c r="R18" s="510" t="str">
        <f>_xlfn.CONCAT(R8*S18," ×",P4,"=")</f>
        <v>0.5 ×=</v>
      </c>
      <c r="S18" s="645">
        <v>0.5</v>
      </c>
      <c r="T18" s="633" t="s">
        <v>10</v>
      </c>
      <c r="U18" s="499"/>
      <c r="AB18" s="535" t="s">
        <v>47</v>
      </c>
      <c r="AC18" s="536"/>
      <c r="AD18" s="395" t="str">
        <f>IF(AZ18=0,"",MAX(AZ2:AZ21)-AZ18)</f>
        <v/>
      </c>
      <c r="AE18" s="537"/>
      <c r="AF18" s="538"/>
      <c r="AG18" s="537"/>
      <c r="AH18" s="538"/>
      <c r="AI18" s="537"/>
      <c r="AJ18" s="538"/>
      <c r="AK18" s="537"/>
      <c r="AL18" s="538"/>
      <c r="AM18" s="537"/>
      <c r="AN18" s="538"/>
      <c r="AO18" s="537"/>
      <c r="AP18" s="538"/>
      <c r="AQ18" s="537"/>
      <c r="AR18" s="538"/>
      <c r="AS18" s="537"/>
      <c r="AT18" s="538"/>
      <c r="AU18" s="537"/>
      <c r="AV18" s="538"/>
      <c r="AW18" s="537"/>
      <c r="AX18" s="538"/>
      <c r="AZ18" s="395">
        <f t="shared" si="0"/>
        <v>0</v>
      </c>
    </row>
    <row r="19" spans="1:52" x14ac:dyDescent="0.5">
      <c r="A19" s="644"/>
      <c r="B19" s="544">
        <f>B8*B4*E18</f>
        <v>10.199999999999999</v>
      </c>
      <c r="C19" s="494">
        <f>C8*B4*E18</f>
        <v>10</v>
      </c>
      <c r="D19" s="495">
        <f>D8*B4*E18</f>
        <v>1</v>
      </c>
      <c r="E19" s="646"/>
      <c r="F19" s="633"/>
      <c r="H19" s="644"/>
      <c r="I19" s="544">
        <f>I8*I4*L18</f>
        <v>0</v>
      </c>
      <c r="J19" s="494">
        <f>J8*I4*L18</f>
        <v>0</v>
      </c>
      <c r="K19" s="495">
        <f>K8*I4*L18</f>
        <v>0</v>
      </c>
      <c r="L19" s="646"/>
      <c r="M19" s="633"/>
      <c r="N19" s="331"/>
      <c r="O19" s="644"/>
      <c r="P19" s="544">
        <f>P8*P4*S18</f>
        <v>0</v>
      </c>
      <c r="Q19" s="494">
        <f>Q8*P4*S18</f>
        <v>0</v>
      </c>
      <c r="R19" s="495">
        <f>R8*P4*S18</f>
        <v>0</v>
      </c>
      <c r="S19" s="646"/>
      <c r="T19" s="633"/>
      <c r="U19" s="499"/>
      <c r="AB19" s="333" t="s">
        <v>48</v>
      </c>
      <c r="AC19" s="365"/>
      <c r="AD19" s="334" t="str">
        <f>IF(AZ19=0,"",MAX(AZ2:AZ21)-AZ19)</f>
        <v/>
      </c>
      <c r="AE19" s="364"/>
      <c r="AF19" s="363"/>
      <c r="AG19" s="364"/>
      <c r="AH19" s="363"/>
      <c r="AI19" s="364"/>
      <c r="AJ19" s="363"/>
      <c r="AK19" s="364"/>
      <c r="AL19" s="363"/>
      <c r="AM19" s="364"/>
      <c r="AN19" s="363"/>
      <c r="AO19" s="364"/>
      <c r="AP19" s="363"/>
      <c r="AQ19" s="364"/>
      <c r="AR19" s="363"/>
      <c r="AS19" s="364"/>
      <c r="AT19" s="363"/>
      <c r="AU19" s="364"/>
      <c r="AV19" s="363"/>
      <c r="AW19" s="364"/>
      <c r="AX19" s="363"/>
      <c r="AZ19" s="334">
        <f t="shared" si="0"/>
        <v>0</v>
      </c>
    </row>
    <row r="20" spans="1:52" x14ac:dyDescent="0.5">
      <c r="A20" s="332" t="s">
        <v>280</v>
      </c>
      <c r="B20" s="496">
        <f>B8*B5*E20</f>
        <v>0</v>
      </c>
      <c r="C20" s="497">
        <f>C8*B5*E20</f>
        <v>0</v>
      </c>
      <c r="D20" s="497">
        <f>D8*B5*E20</f>
        <v>0</v>
      </c>
      <c r="E20" s="498">
        <v>0.5</v>
      </c>
      <c r="F20" s="499" t="s">
        <v>10</v>
      </c>
      <c r="H20" s="332" t="s">
        <v>280</v>
      </c>
      <c r="I20" s="496">
        <f>I8*I5*L20</f>
        <v>0</v>
      </c>
      <c r="J20" s="497">
        <f>J8*I5*L20</f>
        <v>0</v>
      </c>
      <c r="K20" s="497">
        <f>K8*I5*L20</f>
        <v>0</v>
      </c>
      <c r="L20" s="498">
        <v>0.5</v>
      </c>
      <c r="M20" s="499" t="s">
        <v>10</v>
      </c>
      <c r="N20" s="331"/>
      <c r="O20" s="332" t="s">
        <v>280</v>
      </c>
      <c r="P20" s="496">
        <f>P8*P5*S20</f>
        <v>0</v>
      </c>
      <c r="Q20" s="497">
        <f>Q8*P5*S20</f>
        <v>0</v>
      </c>
      <c r="R20" s="497">
        <f>R8*P5*S20</f>
        <v>0</v>
      </c>
      <c r="S20" s="498">
        <v>0.5</v>
      </c>
      <c r="T20" s="499" t="s">
        <v>10</v>
      </c>
      <c r="U20" s="499"/>
      <c r="AB20" s="333" t="s">
        <v>49</v>
      </c>
      <c r="AC20" s="365"/>
      <c r="AD20" s="334" t="str">
        <f>IF(AZ20=0,"",MAX(AZ2:AZ21)-AZ20)</f>
        <v/>
      </c>
      <c r="AE20" s="364"/>
      <c r="AF20" s="363"/>
      <c r="AG20" s="364"/>
      <c r="AH20" s="363"/>
      <c r="AI20" s="364"/>
      <c r="AJ20" s="363"/>
      <c r="AK20" s="364"/>
      <c r="AL20" s="363"/>
      <c r="AM20" s="364"/>
      <c r="AN20" s="363"/>
      <c r="AO20" s="364"/>
      <c r="AP20" s="363"/>
      <c r="AQ20" s="364"/>
      <c r="AR20" s="363"/>
      <c r="AS20" s="364"/>
      <c r="AT20" s="363"/>
      <c r="AU20" s="364"/>
      <c r="AV20" s="363"/>
      <c r="AW20" s="364"/>
      <c r="AX20" s="363"/>
      <c r="AZ20" s="334">
        <f t="shared" si="0"/>
        <v>0</v>
      </c>
    </row>
    <row r="21" spans="1:52" x14ac:dyDescent="0.5">
      <c r="A21" s="332"/>
      <c r="B21" s="336"/>
      <c r="C21" s="346"/>
      <c r="D21" s="344"/>
      <c r="E21" s="330"/>
      <c r="F21" s="331"/>
      <c r="H21" s="332"/>
      <c r="I21" s="336"/>
      <c r="J21" s="346"/>
      <c r="K21" s="344"/>
      <c r="L21" s="330"/>
      <c r="M21" s="331"/>
      <c r="N21" s="331"/>
      <c r="O21" s="332"/>
      <c r="P21" s="336"/>
      <c r="Q21" s="346"/>
      <c r="R21" s="344"/>
      <c r="S21" s="330"/>
      <c r="T21" s="331"/>
      <c r="U21" s="342"/>
      <c r="AB21" s="333" t="s">
        <v>50</v>
      </c>
      <c r="AC21" s="365"/>
      <c r="AD21" s="334" t="str">
        <f>IF(AZ21=0,"",MAX(AZ2:AZ21)-AZ21)</f>
        <v/>
      </c>
      <c r="AE21" s="364"/>
      <c r="AF21" s="363"/>
      <c r="AG21" s="364"/>
      <c r="AH21" s="363"/>
      <c r="AI21" s="364"/>
      <c r="AJ21" s="363"/>
      <c r="AK21" s="364"/>
      <c r="AL21" s="363"/>
      <c r="AM21" s="364"/>
      <c r="AN21" s="363"/>
      <c r="AO21" s="364"/>
      <c r="AP21" s="363"/>
      <c r="AQ21" s="364"/>
      <c r="AR21" s="363"/>
      <c r="AS21" s="364"/>
      <c r="AT21" s="363"/>
      <c r="AU21" s="364"/>
      <c r="AV21" s="363"/>
      <c r="AW21" s="364"/>
      <c r="AX21" s="363"/>
      <c r="AZ21" s="334">
        <f t="shared" si="0"/>
        <v>0</v>
      </c>
    </row>
    <row r="22" spans="1:52" x14ac:dyDescent="0.5">
      <c r="A22" s="359" t="s">
        <v>4</v>
      </c>
      <c r="B22" s="341">
        <f t="shared" ref="B22:C22" si="1">SUM(B10:B14,B17,B19:B20)</f>
        <v>152.99999999999997</v>
      </c>
      <c r="C22" s="341">
        <f t="shared" si="1"/>
        <v>150</v>
      </c>
      <c r="D22" s="341">
        <f>SUM(D10:D14,D17,D19:D20)</f>
        <v>15</v>
      </c>
      <c r="E22" s="209">
        <v>15</v>
      </c>
      <c r="F22" s="342" t="s">
        <v>10</v>
      </c>
      <c r="H22" s="359" t="s">
        <v>4</v>
      </c>
      <c r="I22" s="341">
        <f t="shared" ref="I22:J22" si="2">SUM(I10:I14,I17,I19:I20)</f>
        <v>0</v>
      </c>
      <c r="J22" s="341">
        <f t="shared" si="2"/>
        <v>0</v>
      </c>
      <c r="K22" s="341">
        <f>SUM(K10:K14,K17,K19:K20)</f>
        <v>15</v>
      </c>
      <c r="L22" s="209">
        <v>15</v>
      </c>
      <c r="M22" s="342" t="s">
        <v>10</v>
      </c>
      <c r="N22" s="342"/>
      <c r="O22" s="359" t="s">
        <v>4</v>
      </c>
      <c r="P22" s="341">
        <f t="shared" ref="P22:Q22" si="3">SUM(P10:P14,P17,P19:P20)</f>
        <v>0</v>
      </c>
      <c r="Q22" s="341">
        <f t="shared" si="3"/>
        <v>0</v>
      </c>
      <c r="R22" s="341">
        <f>SUM(R10:R14,R17,R19:R20)</f>
        <v>15</v>
      </c>
      <c r="S22" s="209">
        <v>15</v>
      </c>
      <c r="T22" s="342" t="s">
        <v>10</v>
      </c>
      <c r="U22" s="342"/>
    </row>
    <row r="23" spans="1:52" x14ac:dyDescent="0.5">
      <c r="A23" s="359" t="s">
        <v>87</v>
      </c>
      <c r="B23" s="353">
        <f t="shared" ref="B23:C23" si="4">SUM(B10:B14)</f>
        <v>112.19999999999997</v>
      </c>
      <c r="C23" s="353">
        <f t="shared" si="4"/>
        <v>110</v>
      </c>
      <c r="D23" s="353">
        <f>SUM(D10:D14)</f>
        <v>11</v>
      </c>
      <c r="E23" s="343">
        <f>SUM(E10:E14)</f>
        <v>11</v>
      </c>
      <c r="F23" s="342" t="s">
        <v>10</v>
      </c>
      <c r="H23" s="359" t="s">
        <v>87</v>
      </c>
      <c r="I23" s="353">
        <f t="shared" ref="I23:J23" si="5">SUM(I10:I14)</f>
        <v>0</v>
      </c>
      <c r="J23" s="353">
        <f t="shared" si="5"/>
        <v>0</v>
      </c>
      <c r="K23" s="353">
        <f>SUM(K10:K14)</f>
        <v>15</v>
      </c>
      <c r="L23" s="343">
        <f>SUM(L10:L14)</f>
        <v>15</v>
      </c>
      <c r="M23" s="342" t="s">
        <v>10</v>
      </c>
      <c r="N23" s="2"/>
      <c r="O23" s="359" t="s">
        <v>87</v>
      </c>
      <c r="P23" s="353">
        <f t="shared" ref="P23:Q23" si="6">SUM(P10:P14)</f>
        <v>0</v>
      </c>
      <c r="Q23" s="353">
        <f t="shared" si="6"/>
        <v>0</v>
      </c>
      <c r="R23" s="353">
        <f>SUM(R10:R14)</f>
        <v>15</v>
      </c>
      <c r="S23" s="343">
        <f>SUM(S10:S14)</f>
        <v>15</v>
      </c>
      <c r="T23" s="342" t="s">
        <v>10</v>
      </c>
    </row>
    <row r="24" spans="1:52" x14ac:dyDescent="0.5">
      <c r="A24" s="359" t="s">
        <v>281</v>
      </c>
      <c r="B24" s="355">
        <f t="shared" ref="B24:C24" si="7">SUM(B10:B14,B19:B20)</f>
        <v>122.39999999999998</v>
      </c>
      <c r="C24" s="355">
        <f t="shared" si="7"/>
        <v>120</v>
      </c>
      <c r="D24" s="355">
        <f>SUM(D10:D14,D19:D20)</f>
        <v>12</v>
      </c>
      <c r="E24" s="356" t="s">
        <v>38</v>
      </c>
      <c r="F24" s="342" t="s">
        <v>10</v>
      </c>
      <c r="H24" s="359" t="s">
        <v>281</v>
      </c>
      <c r="I24" s="355">
        <f t="shared" ref="I24:J24" si="8">SUM(I10:I14,I19:I20)</f>
        <v>0</v>
      </c>
      <c r="J24" s="355">
        <f t="shared" si="8"/>
        <v>0</v>
      </c>
      <c r="K24" s="355">
        <f>SUM(K10:K14,K19:K20)</f>
        <v>15</v>
      </c>
      <c r="L24" s="356" t="s">
        <v>38</v>
      </c>
      <c r="M24" s="342" t="s">
        <v>10</v>
      </c>
      <c r="O24" s="359" t="s">
        <v>281</v>
      </c>
      <c r="P24" s="355">
        <f t="shared" ref="P24:Q24" si="9">SUM(P10:P14,P19:P20)</f>
        <v>0</v>
      </c>
      <c r="Q24" s="355">
        <f t="shared" si="9"/>
        <v>0</v>
      </c>
      <c r="R24" s="355">
        <f>SUM(R10:R14,R19:R20)</f>
        <v>15</v>
      </c>
      <c r="S24" s="356" t="s">
        <v>38</v>
      </c>
      <c r="T24" s="342" t="s">
        <v>10</v>
      </c>
      <c r="AE24" s="326"/>
      <c r="AF24" s="326"/>
      <c r="AG24" s="326"/>
      <c r="AH24" s="326"/>
      <c r="AI24" s="326"/>
      <c r="AJ24" s="326"/>
      <c r="AK24" s="326"/>
      <c r="AL24" s="326"/>
      <c r="AM24" s="326"/>
      <c r="AN24" s="326"/>
      <c r="AO24" s="326"/>
      <c r="AP24" s="326"/>
      <c r="AQ24" s="326"/>
      <c r="AR24" s="326"/>
      <c r="AS24" s="326"/>
      <c r="AT24" s="326"/>
      <c r="AU24" s="326"/>
      <c r="AV24" s="326"/>
      <c r="AW24" s="326"/>
      <c r="AX24" s="326"/>
    </row>
    <row r="25" spans="1:52" ht="14.45" customHeight="1" x14ac:dyDescent="0.5">
      <c r="AE25" s="326"/>
      <c r="AF25" s="326"/>
      <c r="AG25" s="326"/>
      <c r="AH25" s="326"/>
      <c r="AI25" s="326"/>
      <c r="AJ25" s="326"/>
      <c r="AK25" s="326"/>
      <c r="AL25" s="326"/>
      <c r="AM25" s="326"/>
      <c r="AN25" s="326"/>
      <c r="AO25" s="326"/>
      <c r="AP25" s="326"/>
      <c r="AQ25" s="326"/>
      <c r="AR25" s="326"/>
      <c r="AS25" s="326"/>
      <c r="AT25" s="326"/>
      <c r="AU25" s="326"/>
      <c r="AV25" s="326"/>
      <c r="AW25" s="326"/>
      <c r="AX25" s="326"/>
    </row>
    <row r="26" spans="1:52" x14ac:dyDescent="0.5">
      <c r="AE26" s="326"/>
      <c r="AF26" s="326"/>
      <c r="AG26" s="326"/>
      <c r="AH26" s="326"/>
      <c r="AI26" s="326"/>
      <c r="AJ26" s="326"/>
      <c r="AK26" s="326"/>
      <c r="AL26" s="326"/>
      <c r="AM26" s="326"/>
      <c r="AN26" s="326"/>
      <c r="AO26" s="326"/>
      <c r="AP26" s="326"/>
      <c r="AQ26" s="326"/>
      <c r="AR26" s="326"/>
      <c r="AS26" s="326"/>
      <c r="AT26" s="326"/>
      <c r="AU26" s="326"/>
      <c r="AV26" s="326"/>
      <c r="AW26" s="326"/>
      <c r="AX26" s="326"/>
    </row>
    <row r="27" spans="1:52" x14ac:dyDescent="0.5">
      <c r="A27" s="320" t="s">
        <v>332</v>
      </c>
      <c r="AE27" s="326"/>
      <c r="AF27" s="326"/>
      <c r="AG27" s="326"/>
      <c r="AH27" s="326"/>
      <c r="AI27" s="326"/>
      <c r="AJ27" s="326"/>
      <c r="AK27" s="326"/>
      <c r="AL27" s="326"/>
      <c r="AM27" s="326"/>
      <c r="AN27" s="326"/>
      <c r="AO27" s="326"/>
      <c r="AP27" s="326"/>
      <c r="AQ27" s="326"/>
      <c r="AR27" s="326"/>
      <c r="AS27" s="326"/>
      <c r="AT27" s="326"/>
      <c r="AU27" s="326"/>
      <c r="AV27" s="326"/>
      <c r="AW27" s="326"/>
      <c r="AX27" s="326"/>
    </row>
    <row r="28" spans="1:52" x14ac:dyDescent="0.5">
      <c r="A28" s="320" t="s">
        <v>256</v>
      </c>
      <c r="AE28" s="326"/>
      <c r="AF28" s="326"/>
      <c r="AG28" s="326"/>
      <c r="AH28" s="326"/>
      <c r="AI28" s="326"/>
      <c r="AJ28" s="326"/>
      <c r="AK28" s="326"/>
      <c r="AL28" s="326"/>
      <c r="AM28" s="326"/>
      <c r="AN28" s="326"/>
      <c r="AO28" s="326"/>
      <c r="AP28" s="326"/>
      <c r="AQ28" s="326"/>
      <c r="AR28" s="326"/>
      <c r="AS28" s="326"/>
      <c r="AT28" s="326"/>
      <c r="AU28" s="326"/>
      <c r="AV28" s="326"/>
      <c r="AW28" s="326"/>
      <c r="AX28" s="326"/>
    </row>
    <row r="29" spans="1:52" x14ac:dyDescent="0.5">
      <c r="A29" s="320" t="s">
        <v>257</v>
      </c>
      <c r="AE29" s="326"/>
      <c r="AF29" s="326"/>
      <c r="AG29" s="326"/>
      <c r="AH29" s="326"/>
      <c r="AI29" s="326"/>
      <c r="AJ29" s="326"/>
      <c r="AK29" s="326"/>
      <c r="AL29" s="326"/>
      <c r="AM29" s="326"/>
      <c r="AN29" s="326"/>
      <c r="AO29" s="326"/>
      <c r="AP29" s="326"/>
      <c r="AQ29" s="326"/>
      <c r="AR29" s="326"/>
      <c r="AS29" s="326"/>
      <c r="AT29" s="326"/>
      <c r="AU29" s="326"/>
      <c r="AV29" s="326"/>
      <c r="AW29" s="326"/>
      <c r="AX29" s="326"/>
    </row>
    <row r="30" spans="1:52" ht="14.45" customHeight="1" x14ac:dyDescent="0.5">
      <c r="A30" s="320" t="s">
        <v>359</v>
      </c>
      <c r="AE30" s="326"/>
      <c r="AF30" s="326"/>
      <c r="AG30" s="326"/>
      <c r="AH30" s="326"/>
      <c r="AI30" s="326"/>
      <c r="AJ30" s="326"/>
      <c r="AK30" s="326"/>
      <c r="AL30" s="326"/>
      <c r="AM30" s="326"/>
      <c r="AN30" s="326"/>
      <c r="AO30" s="326"/>
      <c r="AP30" s="326"/>
      <c r="AQ30" s="326"/>
      <c r="AR30" s="326"/>
      <c r="AS30" s="326"/>
      <c r="AT30" s="326"/>
      <c r="AU30" s="326"/>
      <c r="AV30" s="326"/>
      <c r="AW30" s="326"/>
      <c r="AX30" s="326"/>
    </row>
    <row r="31" spans="1:52" x14ac:dyDescent="0.5">
      <c r="AE31" s="326"/>
      <c r="AF31" s="326"/>
      <c r="AG31" s="326"/>
      <c r="AH31" s="326"/>
      <c r="AI31" s="326"/>
      <c r="AJ31" s="326"/>
      <c r="AK31" s="326"/>
      <c r="AL31" s="326"/>
      <c r="AM31" s="326"/>
      <c r="AN31" s="326"/>
      <c r="AO31" s="326"/>
      <c r="AP31" s="326"/>
      <c r="AQ31" s="326"/>
      <c r="AR31" s="326"/>
      <c r="AS31" s="326"/>
      <c r="AT31" s="326"/>
      <c r="AU31" s="326"/>
      <c r="AV31" s="326"/>
      <c r="AW31" s="326"/>
      <c r="AX31" s="326"/>
    </row>
    <row r="32" spans="1:52" x14ac:dyDescent="0.5">
      <c r="A32" s="155"/>
      <c r="AE32" s="326"/>
      <c r="AF32" s="326"/>
      <c r="AG32" s="326"/>
      <c r="AH32" s="326"/>
      <c r="AI32" s="326"/>
      <c r="AJ32" s="326"/>
      <c r="AK32" s="326"/>
      <c r="AL32" s="326"/>
      <c r="AM32" s="326"/>
      <c r="AN32" s="326"/>
      <c r="AO32" s="326"/>
      <c r="AP32" s="326"/>
      <c r="AQ32" s="326"/>
      <c r="AR32" s="326"/>
      <c r="AS32" s="326"/>
      <c r="AT32" s="326"/>
      <c r="AU32" s="326"/>
      <c r="AV32" s="326"/>
      <c r="AW32" s="326"/>
      <c r="AX32" s="326"/>
    </row>
    <row r="33" spans="1:50" x14ac:dyDescent="0.5">
      <c r="A33" s="627" t="s">
        <v>319</v>
      </c>
      <c r="AE33" s="326"/>
      <c r="AF33" s="326"/>
      <c r="AG33" s="326"/>
      <c r="AH33" s="326"/>
      <c r="AI33" s="326"/>
      <c r="AJ33" s="326"/>
      <c r="AK33" s="326"/>
      <c r="AL33" s="326"/>
      <c r="AM33" s="326"/>
      <c r="AN33" s="326"/>
      <c r="AO33" s="326"/>
      <c r="AP33" s="326"/>
      <c r="AQ33" s="326"/>
      <c r="AR33" s="326"/>
      <c r="AS33" s="326"/>
      <c r="AT33" s="326"/>
      <c r="AU33" s="326"/>
      <c r="AV33" s="326"/>
      <c r="AW33" s="326"/>
      <c r="AX33" s="326"/>
    </row>
    <row r="34" spans="1:50" x14ac:dyDescent="0.5">
      <c r="A34" s="628"/>
      <c r="AE34" s="326"/>
      <c r="AF34" s="326"/>
      <c r="AG34" s="326"/>
      <c r="AH34" s="326"/>
      <c r="AI34" s="326"/>
      <c r="AJ34" s="326"/>
      <c r="AK34" s="326"/>
      <c r="AL34" s="326"/>
      <c r="AM34" s="326"/>
      <c r="AN34" s="326"/>
      <c r="AO34" s="326"/>
      <c r="AP34" s="326"/>
      <c r="AQ34" s="326"/>
      <c r="AR34" s="326"/>
      <c r="AS34" s="326"/>
      <c r="AT34" s="326"/>
      <c r="AU34" s="326"/>
      <c r="AV34" s="326"/>
      <c r="AW34" s="326"/>
      <c r="AX34" s="326"/>
    </row>
    <row r="35" spans="1:50" ht="142.5" customHeight="1" x14ac:dyDescent="0.5">
      <c r="A35" s="640" t="s">
        <v>364</v>
      </c>
      <c r="B35" s="640"/>
      <c r="C35" s="640"/>
      <c r="D35" s="640"/>
      <c r="E35" s="640"/>
      <c r="F35" s="640"/>
      <c r="G35" s="640"/>
      <c r="H35" s="493"/>
      <c r="I35" s="482"/>
      <c r="J35" s="482"/>
      <c r="K35" s="482"/>
      <c r="L35" s="482"/>
      <c r="M35" s="482"/>
      <c r="N35" s="482"/>
      <c r="O35" s="482"/>
      <c r="P35" s="482"/>
      <c r="Q35" s="482"/>
      <c r="R35" s="482"/>
      <c r="S35" s="482"/>
      <c r="T35" s="482"/>
      <c r="U35" s="482"/>
      <c r="AE35" s="326"/>
      <c r="AF35" s="326"/>
      <c r="AG35" s="326"/>
      <c r="AH35" s="326"/>
      <c r="AI35" s="326"/>
      <c r="AJ35" s="326"/>
      <c r="AK35" s="326"/>
      <c r="AL35" s="326"/>
      <c r="AM35" s="326"/>
      <c r="AN35" s="326"/>
      <c r="AO35" s="326"/>
      <c r="AP35" s="326"/>
      <c r="AQ35" s="326"/>
      <c r="AR35" s="326"/>
      <c r="AS35" s="326"/>
      <c r="AT35" s="326"/>
      <c r="AU35" s="326"/>
      <c r="AV35" s="326"/>
      <c r="AW35" s="326"/>
      <c r="AX35" s="326"/>
    </row>
    <row r="36" spans="1:50" ht="17.350000000000001" x14ac:dyDescent="0.5">
      <c r="A36" s="641" t="s">
        <v>336</v>
      </c>
      <c r="B36" s="641"/>
      <c r="C36" s="641"/>
      <c r="D36" s="641"/>
      <c r="E36" s="641"/>
      <c r="F36" s="641"/>
    </row>
    <row r="37" spans="1:50" ht="14.7" thickBot="1" x14ac:dyDescent="0.55000000000000004">
      <c r="A37" s="358" t="s">
        <v>2</v>
      </c>
      <c r="B37" s="361">
        <v>10</v>
      </c>
      <c r="C37" s="362"/>
      <c r="D37" s="360" t="s">
        <v>358</v>
      </c>
      <c r="E37" s="361" t="s">
        <v>241</v>
      </c>
      <c r="F37" s="367"/>
    </row>
    <row r="38" spans="1:50" ht="14.7" thickTop="1" x14ac:dyDescent="0.5">
      <c r="A38" s="358" t="s">
        <v>255</v>
      </c>
      <c r="B38" s="634">
        <v>2</v>
      </c>
      <c r="C38" s="635"/>
      <c r="D38" s="636"/>
      <c r="E38" s="329">
        <v>1</v>
      </c>
      <c r="F38" s="331"/>
    </row>
    <row r="39" spans="1:50" x14ac:dyDescent="0.5">
      <c r="A39" s="358" t="s">
        <v>222</v>
      </c>
      <c r="B39" s="637">
        <v>3</v>
      </c>
      <c r="C39" s="638"/>
      <c r="D39" s="639"/>
      <c r="E39" s="329">
        <v>1</v>
      </c>
      <c r="F39" s="331"/>
    </row>
    <row r="40" spans="1:50" x14ac:dyDescent="0.5">
      <c r="A40" s="358" t="s">
        <v>278</v>
      </c>
      <c r="B40" s="637">
        <v>0</v>
      </c>
      <c r="C40" s="638"/>
      <c r="D40" s="639"/>
      <c r="E40" s="329">
        <v>1</v>
      </c>
      <c r="F40" s="331"/>
    </row>
    <row r="41" spans="1:50" x14ac:dyDescent="0.5">
      <c r="A41" s="358" t="s">
        <v>3</v>
      </c>
      <c r="B41" s="369">
        <v>0.02</v>
      </c>
      <c r="C41" s="370">
        <v>0</v>
      </c>
      <c r="D41" s="350">
        <v>0</v>
      </c>
      <c r="E41" s="329" t="s">
        <v>38</v>
      </c>
      <c r="F41" s="331"/>
    </row>
    <row r="42" spans="1:50" x14ac:dyDescent="0.5">
      <c r="A42" s="482"/>
      <c r="B42" s="371"/>
      <c r="C42" s="482"/>
      <c r="D42" s="349"/>
      <c r="E42" s="339"/>
      <c r="F42" s="331"/>
    </row>
    <row r="43" spans="1:50" x14ac:dyDescent="0.5">
      <c r="A43" s="366" t="s">
        <v>2</v>
      </c>
      <c r="B43" s="379">
        <v>10.199999999999999</v>
      </c>
      <c r="C43" s="380">
        <v>10</v>
      </c>
      <c r="D43" s="381">
        <v>1</v>
      </c>
      <c r="E43" s="382" t="s">
        <v>7</v>
      </c>
      <c r="F43" s="331"/>
    </row>
    <row r="44" spans="1:50" x14ac:dyDescent="0.5">
      <c r="A44" s="332"/>
      <c r="B44" s="373"/>
      <c r="C44" s="348"/>
      <c r="D44" s="368"/>
      <c r="E44" s="368" t="s">
        <v>333</v>
      </c>
      <c r="F44" s="404" t="s">
        <v>262</v>
      </c>
    </row>
    <row r="45" spans="1:50" x14ac:dyDescent="0.5">
      <c r="A45" s="332" t="s">
        <v>334</v>
      </c>
      <c r="B45" s="543">
        <v>86.699999999999989</v>
      </c>
      <c r="C45" s="529">
        <v>85</v>
      </c>
      <c r="D45" s="530">
        <v>8.5</v>
      </c>
      <c r="E45" s="531">
        <v>8.5</v>
      </c>
      <c r="F45" s="499" t="s">
        <v>10</v>
      </c>
    </row>
    <row r="46" spans="1:50" x14ac:dyDescent="0.5">
      <c r="A46" s="332" t="s">
        <v>11</v>
      </c>
      <c r="B46" s="543">
        <v>15.299999999999999</v>
      </c>
      <c r="C46" s="497">
        <v>15</v>
      </c>
      <c r="D46" s="530">
        <v>1.5</v>
      </c>
      <c r="E46" s="531">
        <v>1.5</v>
      </c>
      <c r="F46" s="499" t="s">
        <v>10</v>
      </c>
    </row>
    <row r="47" spans="1:50" x14ac:dyDescent="0.5">
      <c r="A47" s="332" t="s">
        <v>357</v>
      </c>
      <c r="B47" s="543">
        <v>15.299999999999999</v>
      </c>
      <c r="C47" s="497">
        <v>15</v>
      </c>
      <c r="D47" s="497">
        <v>1.5</v>
      </c>
      <c r="E47" s="500">
        <v>1.5</v>
      </c>
      <c r="F47" s="499" t="s">
        <v>10</v>
      </c>
    </row>
    <row r="48" spans="1:50" x14ac:dyDescent="0.5">
      <c r="A48" s="332" t="s">
        <v>335</v>
      </c>
      <c r="B48" s="543">
        <v>5.0999999999999996</v>
      </c>
      <c r="C48" s="497">
        <v>5</v>
      </c>
      <c r="D48" s="497">
        <v>0.5</v>
      </c>
      <c r="E48" s="498">
        <v>0.5</v>
      </c>
      <c r="F48" s="499" t="s">
        <v>10</v>
      </c>
    </row>
    <row r="49" spans="1:50" x14ac:dyDescent="0.5">
      <c r="A49" s="332" t="s">
        <v>258</v>
      </c>
      <c r="B49" s="543">
        <v>5.0999999999999996</v>
      </c>
      <c r="C49" s="497">
        <v>5</v>
      </c>
      <c r="D49" s="497">
        <v>0.5</v>
      </c>
      <c r="E49" s="498">
        <v>0.5</v>
      </c>
      <c r="F49" s="499" t="s">
        <v>10</v>
      </c>
      <c r="G49" s="326" t="s">
        <v>363</v>
      </c>
    </row>
    <row r="50" spans="1:50" x14ac:dyDescent="0.5">
      <c r="A50" s="351"/>
      <c r="B50" s="642" t="s">
        <v>4</v>
      </c>
      <c r="C50" s="642"/>
      <c r="D50" s="643"/>
      <c r="E50" s="532" t="s">
        <v>94</v>
      </c>
      <c r="F50" s="533"/>
    </row>
    <row r="51" spans="1:50" x14ac:dyDescent="0.5">
      <c r="A51" s="644" t="s">
        <v>279</v>
      </c>
      <c r="B51" s="511" t="s">
        <v>340</v>
      </c>
      <c r="C51" s="509" t="s">
        <v>341</v>
      </c>
      <c r="D51" s="546" t="s">
        <v>342</v>
      </c>
      <c r="E51" s="648">
        <v>0.5</v>
      </c>
      <c r="F51" s="647" t="s">
        <v>10</v>
      </c>
    </row>
    <row r="52" spans="1:50" s="504" customFormat="1" x14ac:dyDescent="0.5">
      <c r="A52" s="644"/>
      <c r="B52" s="512">
        <v>10.199999999999999</v>
      </c>
      <c r="C52" s="507">
        <v>10</v>
      </c>
      <c r="D52" s="507">
        <v>1</v>
      </c>
      <c r="E52" s="649"/>
      <c r="F52" s="647"/>
      <c r="AE52" s="333"/>
      <c r="AF52" s="45"/>
      <c r="AG52" s="333"/>
      <c r="AH52" s="45"/>
      <c r="AI52" s="333"/>
      <c r="AJ52" s="45"/>
      <c r="AK52" s="333"/>
      <c r="AL52" s="45"/>
      <c r="AM52" s="333"/>
      <c r="AN52" s="45"/>
      <c r="AO52" s="333"/>
      <c r="AP52" s="45"/>
      <c r="AQ52" s="333"/>
      <c r="AR52" s="45"/>
      <c r="AS52" s="333"/>
      <c r="AT52" s="45"/>
      <c r="AU52" s="333"/>
      <c r="AV52" s="45"/>
      <c r="AW52" s="333"/>
      <c r="AX52" s="45"/>
    </row>
    <row r="53" spans="1:50" x14ac:dyDescent="0.5">
      <c r="A53" s="644" t="s">
        <v>223</v>
      </c>
      <c r="B53" s="545" t="s">
        <v>360</v>
      </c>
      <c r="C53" s="510" t="s">
        <v>361</v>
      </c>
      <c r="D53" s="510" t="s">
        <v>362</v>
      </c>
      <c r="E53" s="645">
        <v>0.5</v>
      </c>
      <c r="F53" s="633" t="s">
        <v>10</v>
      </c>
    </row>
    <row r="54" spans="1:50" x14ac:dyDescent="0.5">
      <c r="A54" s="644"/>
      <c r="B54" s="544">
        <v>15.299999999999999</v>
      </c>
      <c r="C54" s="494">
        <v>15</v>
      </c>
      <c r="D54" s="495">
        <v>1.5</v>
      </c>
      <c r="E54" s="646"/>
      <c r="F54" s="633"/>
    </row>
    <row r="55" spans="1:50" x14ac:dyDescent="0.5">
      <c r="A55" s="539" t="s">
        <v>280</v>
      </c>
      <c r="B55" s="540">
        <v>0</v>
      </c>
      <c r="C55" s="541">
        <v>0</v>
      </c>
      <c r="D55" s="541">
        <v>0</v>
      </c>
      <c r="E55" s="542">
        <v>0.5</v>
      </c>
      <c r="F55" s="50" t="s">
        <v>10</v>
      </c>
    </row>
    <row r="56" spans="1:50" x14ac:dyDescent="0.5">
      <c r="A56" s="332"/>
      <c r="B56" s="336"/>
      <c r="C56" s="346"/>
      <c r="D56" s="344"/>
      <c r="E56" s="330"/>
      <c r="F56" s="331"/>
    </row>
    <row r="57" spans="1:50" x14ac:dyDescent="0.5">
      <c r="A57" s="359" t="s">
        <v>4</v>
      </c>
      <c r="B57" s="341">
        <v>152.99999999999997</v>
      </c>
      <c r="C57" s="405">
        <v>150</v>
      </c>
      <c r="D57" s="341">
        <v>15</v>
      </c>
      <c r="E57" s="354">
        <v>15</v>
      </c>
      <c r="F57" s="342" t="s">
        <v>10</v>
      </c>
    </row>
    <row r="58" spans="1:50" x14ac:dyDescent="0.5">
      <c r="A58" s="359" t="s">
        <v>87</v>
      </c>
      <c r="B58" s="341">
        <v>127.49999999999997</v>
      </c>
      <c r="C58" s="375">
        <v>125</v>
      </c>
      <c r="D58" s="353">
        <v>12.5</v>
      </c>
      <c r="E58" s="343">
        <v>12.5</v>
      </c>
      <c r="F58" s="342" t="s">
        <v>10</v>
      </c>
    </row>
    <row r="59" spans="1:50" x14ac:dyDescent="0.5">
      <c r="A59" s="359" t="s">
        <v>281</v>
      </c>
      <c r="B59" s="341">
        <v>142.79999999999998</v>
      </c>
      <c r="C59" s="406">
        <v>140</v>
      </c>
      <c r="D59" s="534">
        <v>14</v>
      </c>
      <c r="E59" s="356" t="s">
        <v>38</v>
      </c>
      <c r="F59" s="342" t="s">
        <v>10</v>
      </c>
    </row>
  </sheetData>
  <mergeCells count="47">
    <mergeCell ref="B4:D4"/>
    <mergeCell ref="I4:K4"/>
    <mergeCell ref="P4:R4"/>
    <mergeCell ref="B5:D5"/>
    <mergeCell ref="I5:K5"/>
    <mergeCell ref="P5:R5"/>
    <mergeCell ref="A1:F1"/>
    <mergeCell ref="H1:L1"/>
    <mergeCell ref="O1:S1"/>
    <mergeCell ref="V1:Z1"/>
    <mergeCell ref="B3:D3"/>
    <mergeCell ref="I3:K3"/>
    <mergeCell ref="P3:R3"/>
    <mergeCell ref="S18:S19"/>
    <mergeCell ref="T18:T19"/>
    <mergeCell ref="E16:E17"/>
    <mergeCell ref="F16:F17"/>
    <mergeCell ref="A33:A34"/>
    <mergeCell ref="A18:A19"/>
    <mergeCell ref="E18:E19"/>
    <mergeCell ref="A16:A17"/>
    <mergeCell ref="L16:L17"/>
    <mergeCell ref="M16:M17"/>
    <mergeCell ref="S16:S17"/>
    <mergeCell ref="T16:T17"/>
    <mergeCell ref="O16:O17"/>
    <mergeCell ref="H16:H17"/>
    <mergeCell ref="B15:D15"/>
    <mergeCell ref="I15:K15"/>
    <mergeCell ref="P15:R15"/>
    <mergeCell ref="M18:M19"/>
    <mergeCell ref="O18:O19"/>
    <mergeCell ref="F18:F19"/>
    <mergeCell ref="H18:H19"/>
    <mergeCell ref="L18:L19"/>
    <mergeCell ref="F53:F54"/>
    <mergeCell ref="B38:D38"/>
    <mergeCell ref="B39:D39"/>
    <mergeCell ref="A35:G35"/>
    <mergeCell ref="A36:F36"/>
    <mergeCell ref="B40:D40"/>
    <mergeCell ref="B50:D50"/>
    <mergeCell ref="A53:A54"/>
    <mergeCell ref="E53:E54"/>
    <mergeCell ref="F51:F52"/>
    <mergeCell ref="A51:A52"/>
    <mergeCell ref="E51:E52"/>
  </mergeCells>
  <conditionalFormatting sqref="A12:F12">
    <cfRule type="expression" dxfId="24" priority="24">
      <formula>OR($E$2=0,$E$2="no")</formula>
    </cfRule>
  </conditionalFormatting>
  <conditionalFormatting sqref="V9:Z9">
    <cfRule type="expression" dxfId="23" priority="22">
      <formula>OR($Y$2=0,$Y$2="no")</formula>
    </cfRule>
  </conditionalFormatting>
  <conditionalFormatting sqref="O12:T12">
    <cfRule type="expression" dxfId="22" priority="21">
      <formula>OR($S$2=0,$S$2="no")</formula>
    </cfRule>
  </conditionalFormatting>
  <conditionalFormatting sqref="A20:F20">
    <cfRule type="expression" dxfId="21" priority="19">
      <formula>$B$5=0</formula>
    </cfRule>
  </conditionalFormatting>
  <conditionalFormatting sqref="H12:M12">
    <cfRule type="expression" dxfId="20" priority="18">
      <formula>OR($L$2=0, $L$2="no")</formula>
    </cfRule>
  </conditionalFormatting>
  <conditionalFormatting sqref="H18:M19">
    <cfRule type="expression" dxfId="19" priority="17">
      <formula>$I$4=0</formula>
    </cfRule>
  </conditionalFormatting>
  <conditionalFormatting sqref="H20:M20">
    <cfRule type="expression" dxfId="18" priority="16">
      <formula>$I$5=0</formula>
    </cfRule>
  </conditionalFormatting>
  <conditionalFormatting sqref="O18:T19">
    <cfRule type="expression" dxfId="17" priority="15">
      <formula>$P$4=0</formula>
    </cfRule>
  </conditionalFormatting>
  <conditionalFormatting sqref="O20:T20">
    <cfRule type="expression" dxfId="16" priority="14">
      <formula>$P$5=0</formula>
    </cfRule>
  </conditionalFormatting>
  <conditionalFormatting sqref="A18:F19">
    <cfRule type="expression" dxfId="15" priority="6">
      <formula>$B$4=0</formula>
    </cfRule>
  </conditionalFormatting>
  <conditionalFormatting sqref="A16:F17">
    <cfRule type="expression" dxfId="14" priority="5">
      <formula>$B$3=0</formula>
    </cfRule>
  </conditionalFormatting>
  <conditionalFormatting sqref="H16:M16 I17:M17">
    <cfRule type="expression" dxfId="13" priority="4">
      <formula>$I$3=0</formula>
    </cfRule>
  </conditionalFormatting>
  <conditionalFormatting sqref="O16:T17">
    <cfRule type="expression" dxfId="12" priority="3">
      <formula>$P$3=0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U41"/>
  <sheetViews>
    <sheetView zoomScaleNormal="100" workbookViewId="0">
      <selection activeCell="C2" sqref="C2"/>
    </sheetView>
  </sheetViews>
  <sheetFormatPr defaultRowHeight="14.35" x14ac:dyDescent="0.5"/>
  <cols>
    <col min="1" max="1" width="7.76171875" customWidth="1"/>
    <col min="2" max="2" width="12.76171875" customWidth="1"/>
    <col min="3" max="5" width="8.76171875" customWidth="1"/>
    <col min="6" max="6" width="4.17578125" customWidth="1"/>
    <col min="7" max="7" width="4.703125" customWidth="1"/>
    <col min="8" max="8" width="11.87890625" customWidth="1"/>
    <col min="9" max="9" width="6.87890625" customWidth="1"/>
    <col min="10" max="10" width="12.76171875" customWidth="1"/>
    <col min="11" max="13" width="8.76171875" customWidth="1"/>
    <col min="14" max="14" width="3.87890625" customWidth="1"/>
    <col min="15" max="15" width="5.1171875" customWidth="1"/>
    <col min="16" max="16" width="9.52734375" customWidth="1"/>
    <col min="17" max="17" width="7.29296875" customWidth="1"/>
    <col min="18" max="18" width="12.76171875" customWidth="1"/>
    <col min="19" max="21" width="8.76171875" customWidth="1"/>
    <col min="22" max="22" width="4" customWidth="1"/>
    <col min="23" max="23" width="5" customWidth="1"/>
    <col min="24" max="24" width="13.87890625" customWidth="1"/>
    <col min="25" max="25" width="8.87890625" customWidth="1"/>
    <col min="26" max="26" width="13.1171875" customWidth="1"/>
    <col min="27" max="29" width="8.76171875" customWidth="1"/>
    <col min="30" max="30" width="4.1171875" customWidth="1"/>
    <col min="31" max="31" width="4.87890625" customWidth="1"/>
    <col min="33" max="33" width="7.76171875" customWidth="1"/>
    <col min="34" max="34" width="12.76171875" customWidth="1"/>
    <col min="35" max="37" width="8.76171875" customWidth="1"/>
    <col min="38" max="38" width="4.17578125" customWidth="1"/>
    <col min="39" max="39" width="4.703125" customWidth="1"/>
    <col min="41" max="41" width="7.76171875" customWidth="1"/>
    <col min="42" max="42" width="12.76171875" customWidth="1"/>
    <col min="43" max="45" width="8.76171875" customWidth="1"/>
    <col min="46" max="46" width="4.17578125" customWidth="1"/>
    <col min="47" max="47" width="4.703125" customWidth="1"/>
  </cols>
  <sheetData>
    <row r="1" spans="1:47" ht="22.2" customHeight="1" x14ac:dyDescent="0.5">
      <c r="A1" s="662" t="s">
        <v>263</v>
      </c>
      <c r="B1" s="662"/>
      <c r="C1" s="662"/>
      <c r="D1" s="662"/>
      <c r="E1" s="662"/>
      <c r="F1" s="662"/>
      <c r="G1" s="662"/>
      <c r="H1" s="326"/>
      <c r="I1" s="655" t="s">
        <v>264</v>
      </c>
      <c r="J1" s="655"/>
      <c r="K1" s="655"/>
      <c r="L1" s="655"/>
      <c r="M1" s="655"/>
      <c r="N1" s="655"/>
      <c r="O1" s="655"/>
      <c r="P1" s="326"/>
      <c r="Q1" s="665" t="s">
        <v>265</v>
      </c>
      <c r="R1" s="665"/>
      <c r="S1" s="665"/>
      <c r="T1" s="665"/>
      <c r="U1" s="665"/>
      <c r="V1" s="665"/>
      <c r="W1" s="665"/>
      <c r="X1" s="326"/>
      <c r="Y1" s="666" t="s">
        <v>266</v>
      </c>
      <c r="Z1" s="666"/>
      <c r="AA1" s="666"/>
      <c r="AB1" s="666"/>
      <c r="AC1" s="666"/>
      <c r="AD1" s="666"/>
      <c r="AE1" s="666"/>
      <c r="AF1" s="326"/>
      <c r="AG1" s="657" t="s">
        <v>267</v>
      </c>
      <c r="AH1" s="657"/>
      <c r="AI1" s="657"/>
      <c r="AJ1" s="657"/>
      <c r="AK1" s="657"/>
      <c r="AL1" s="657"/>
      <c r="AM1" s="657"/>
      <c r="AN1" s="326"/>
      <c r="AO1" s="664" t="s">
        <v>268</v>
      </c>
      <c r="AP1" s="664"/>
      <c r="AQ1" s="664"/>
      <c r="AR1" s="664"/>
      <c r="AS1" s="664"/>
      <c r="AT1" s="664"/>
      <c r="AU1" s="664"/>
    </row>
    <row r="2" spans="1:47" ht="14.7" thickBot="1" x14ac:dyDescent="0.55000000000000004">
      <c r="A2" s="195" t="s">
        <v>195</v>
      </c>
      <c r="B2" s="187" t="s">
        <v>2</v>
      </c>
      <c r="C2" s="192">
        <v>10</v>
      </c>
      <c r="D2" s="187" t="s">
        <v>97</v>
      </c>
      <c r="E2" s="189" t="s">
        <v>96</v>
      </c>
      <c r="F2" s="190"/>
      <c r="I2" s="195" t="s">
        <v>195</v>
      </c>
      <c r="J2" s="187" t="s">
        <v>2</v>
      </c>
      <c r="K2" s="188"/>
      <c r="L2" s="187" t="s">
        <v>97</v>
      </c>
      <c r="M2" s="189" t="s">
        <v>96</v>
      </c>
      <c r="N2" s="190"/>
      <c r="Q2" s="195" t="s">
        <v>195</v>
      </c>
      <c r="R2" s="187" t="s">
        <v>2</v>
      </c>
      <c r="S2" s="188"/>
      <c r="T2" s="187" t="s">
        <v>97</v>
      </c>
      <c r="U2" s="189" t="s">
        <v>96</v>
      </c>
      <c r="V2" s="190"/>
      <c r="Y2" s="195" t="s">
        <v>195</v>
      </c>
      <c r="Z2" s="187" t="s">
        <v>2</v>
      </c>
      <c r="AA2" s="188">
        <v>0</v>
      </c>
      <c r="AB2" s="187" t="s">
        <v>97</v>
      </c>
      <c r="AC2" s="189" t="s">
        <v>96</v>
      </c>
      <c r="AD2" s="190"/>
      <c r="AG2" s="388" t="s">
        <v>195</v>
      </c>
      <c r="AH2" s="378" t="s">
        <v>2</v>
      </c>
      <c r="AI2" s="389">
        <v>10</v>
      </c>
      <c r="AJ2" s="378" t="s">
        <v>97</v>
      </c>
      <c r="AK2" s="189" t="s">
        <v>96</v>
      </c>
      <c r="AL2" s="190"/>
      <c r="AM2" s="326"/>
      <c r="AO2" s="388" t="s">
        <v>195</v>
      </c>
      <c r="AP2" s="378" t="s">
        <v>2</v>
      </c>
      <c r="AQ2" s="389">
        <v>10</v>
      </c>
      <c r="AR2" s="378" t="s">
        <v>97</v>
      </c>
      <c r="AS2" s="189" t="s">
        <v>96</v>
      </c>
      <c r="AT2" s="190"/>
      <c r="AU2" s="326"/>
    </row>
    <row r="3" spans="1:47" x14ac:dyDescent="0.5">
      <c r="A3" s="227"/>
      <c r="B3" s="1" t="s">
        <v>3</v>
      </c>
      <c r="C3" s="193">
        <v>0.04</v>
      </c>
      <c r="D3" s="77">
        <v>0</v>
      </c>
      <c r="E3" s="5"/>
      <c r="I3" s="227"/>
      <c r="J3" s="1" t="s">
        <v>3</v>
      </c>
      <c r="K3" s="76">
        <v>0.04</v>
      </c>
      <c r="L3" s="77">
        <v>0</v>
      </c>
      <c r="M3" s="5"/>
      <c r="Q3" s="227"/>
      <c r="R3" s="1" t="s">
        <v>3</v>
      </c>
      <c r="S3" s="76">
        <v>0.04</v>
      </c>
      <c r="T3" s="77">
        <v>0</v>
      </c>
      <c r="U3" s="5"/>
      <c r="Y3" s="227"/>
      <c r="Z3" s="1" t="s">
        <v>3</v>
      </c>
      <c r="AA3" s="76">
        <v>0.04</v>
      </c>
      <c r="AB3" s="77">
        <v>0</v>
      </c>
      <c r="AC3" s="5"/>
      <c r="AG3" s="335"/>
      <c r="AH3" s="327" t="s">
        <v>3</v>
      </c>
      <c r="AI3" s="390">
        <v>0.04</v>
      </c>
      <c r="AJ3" s="77">
        <v>0</v>
      </c>
      <c r="AK3" s="329"/>
      <c r="AL3" s="326"/>
      <c r="AM3" s="326"/>
      <c r="AO3" s="335"/>
      <c r="AP3" s="327" t="s">
        <v>3</v>
      </c>
      <c r="AQ3" s="390">
        <v>0.04</v>
      </c>
      <c r="AR3" s="77">
        <v>0</v>
      </c>
      <c r="AS3" s="329"/>
      <c r="AT3" s="326"/>
      <c r="AU3" s="326"/>
    </row>
    <row r="4" spans="1:47" ht="14.7" thickBot="1" x14ac:dyDescent="0.55000000000000004">
      <c r="A4" s="194"/>
      <c r="B4" s="228" t="s">
        <v>2</v>
      </c>
      <c r="C4" s="229">
        <f>C2*(1+C3)</f>
        <v>10.4</v>
      </c>
      <c r="D4" s="230">
        <f>C2*(1+D3)</f>
        <v>10</v>
      </c>
      <c r="E4" s="231" t="s">
        <v>7</v>
      </c>
      <c r="F4" s="186"/>
      <c r="I4" s="194"/>
      <c r="J4" s="228" t="s">
        <v>2</v>
      </c>
      <c r="K4" s="232">
        <f>K2*(1+K3)</f>
        <v>0</v>
      </c>
      <c r="L4" s="230">
        <f>K2*(1+L3)</f>
        <v>0</v>
      </c>
      <c r="M4" s="231" t="s">
        <v>7</v>
      </c>
      <c r="N4" s="186"/>
      <c r="Q4" s="194"/>
      <c r="R4" s="228" t="s">
        <v>2</v>
      </c>
      <c r="S4" s="232">
        <f>S2*(1+S3)</f>
        <v>0</v>
      </c>
      <c r="T4" s="230">
        <f>S2*(1+T3)</f>
        <v>0</v>
      </c>
      <c r="U4" s="231" t="s">
        <v>7</v>
      </c>
      <c r="V4" s="186"/>
      <c r="Y4" s="194"/>
      <c r="Z4" s="228" t="s">
        <v>2</v>
      </c>
      <c r="AA4" s="232">
        <f>AA2*(1+AA3)</f>
        <v>0</v>
      </c>
      <c r="AB4" s="230">
        <f>AA2*(1+AB3)</f>
        <v>0</v>
      </c>
      <c r="AC4" s="231" t="s">
        <v>7</v>
      </c>
      <c r="AD4" s="186"/>
      <c r="AG4" s="194"/>
      <c r="AH4" s="391" t="s">
        <v>2</v>
      </c>
      <c r="AI4" s="392">
        <f>AI2*(1+AI3)</f>
        <v>10.4</v>
      </c>
      <c r="AJ4" s="230">
        <f>AI2*(1+AJ3)</f>
        <v>10</v>
      </c>
      <c r="AK4" s="393" t="s">
        <v>7</v>
      </c>
      <c r="AL4" s="376"/>
      <c r="AM4" s="326"/>
      <c r="AO4" s="194"/>
      <c r="AP4" s="391" t="s">
        <v>2</v>
      </c>
      <c r="AQ4" s="392">
        <f>AQ2*(1+AQ3)</f>
        <v>10.4</v>
      </c>
      <c r="AR4" s="230">
        <f>AQ2*(1+AR3)</f>
        <v>10</v>
      </c>
      <c r="AS4" s="393" t="s">
        <v>7</v>
      </c>
      <c r="AT4" s="376"/>
      <c r="AU4" s="326"/>
    </row>
    <row r="5" spans="1:47" ht="14.7" thickTop="1" x14ac:dyDescent="0.5">
      <c r="A5" s="227"/>
      <c r="B5" s="1"/>
      <c r="C5" s="196"/>
      <c r="D5" s="30"/>
      <c r="E5" s="185" t="str">
        <f>IF(SUM(E9:E11)&gt;0.1*E14, "Warning: too high [enzyme]. Raise rxn volume. Or lower enzyme volume.","")</f>
        <v/>
      </c>
      <c r="F5" s="321" t="s">
        <v>262</v>
      </c>
      <c r="I5" s="227"/>
      <c r="J5" s="1"/>
      <c r="K5" s="58"/>
      <c r="L5" s="30"/>
      <c r="M5" s="185" t="str">
        <f>IF(SUM(M9:M11)&gt;0.1*M14, "Warning: too high [enzyme]. Raise rxn volume. Or lower enzyme volume.","")</f>
        <v/>
      </c>
      <c r="N5" s="322" t="s">
        <v>262</v>
      </c>
      <c r="Q5" s="227"/>
      <c r="R5" s="1"/>
      <c r="S5" s="58"/>
      <c r="T5" s="30"/>
      <c r="U5" s="185" t="str">
        <f>IF(SUM(U9:U11)&gt;0.1*U14, "Warning: too high [enzyme]. Raise rxn volume. Or lower enzyme volume.","")</f>
        <v/>
      </c>
      <c r="V5" s="323" t="s">
        <v>262</v>
      </c>
      <c r="Y5" s="227"/>
      <c r="Z5" s="1"/>
      <c r="AA5" s="58"/>
      <c r="AB5" s="30"/>
      <c r="AC5" s="185" t="str">
        <f>IF(SUM(AC9:AC11)&gt;0.1*AC14, "Warning: too high [enzyme]. Raise rxn volume. Or lower enzyme volume.","")</f>
        <v/>
      </c>
      <c r="AD5" s="324" t="s">
        <v>262</v>
      </c>
      <c r="AG5" s="335"/>
      <c r="AH5" s="327"/>
      <c r="AI5" s="403"/>
      <c r="AJ5" s="394"/>
      <c r="AK5" s="368" t="str">
        <f>IF(SUM(AK9:AK11)&gt;0.1*AK14, "Warning: too high [enzyme]. Raise rxn volume. Or lower enzyme volume.","")</f>
        <v/>
      </c>
      <c r="AL5" s="404" t="s">
        <v>262</v>
      </c>
      <c r="AM5" s="326"/>
      <c r="AO5" s="335"/>
      <c r="AP5" s="327"/>
      <c r="AQ5" s="403"/>
      <c r="AR5" s="394"/>
      <c r="AS5" s="368" t="str">
        <f>IF(SUM(AS9:AS11)&gt;0.1*AS14, "Warning: too high [enzyme]. Raise rxn volume. Or lower enzyme volume.","")</f>
        <v/>
      </c>
      <c r="AT5" s="404" t="s">
        <v>262</v>
      </c>
      <c r="AU5" s="326"/>
    </row>
    <row r="6" spans="1:47" ht="16.350000000000001" x14ac:dyDescent="0.65">
      <c r="A6" s="227"/>
      <c r="B6" s="1" t="s">
        <v>8</v>
      </c>
      <c r="C6" s="180">
        <f>C4*E6</f>
        <v>124.80000000000001</v>
      </c>
      <c r="D6" s="62">
        <f>D4*E6</f>
        <v>120</v>
      </c>
      <c r="E6" s="28">
        <f>E14-SUM(E7:E12)</f>
        <v>12</v>
      </c>
      <c r="F6" t="s">
        <v>10</v>
      </c>
      <c r="I6" s="227"/>
      <c r="J6" s="1" t="s">
        <v>8</v>
      </c>
      <c r="K6" s="10">
        <f>K4*M6</f>
        <v>0</v>
      </c>
      <c r="L6" s="62">
        <f>L4*M6</f>
        <v>0</v>
      </c>
      <c r="M6" s="28">
        <f>M14-SUM(M7:M12)</f>
        <v>12</v>
      </c>
      <c r="N6" t="s">
        <v>10</v>
      </c>
      <c r="Q6" s="227"/>
      <c r="R6" s="1" t="s">
        <v>8</v>
      </c>
      <c r="S6" s="10">
        <f>S4*U6</f>
        <v>0</v>
      </c>
      <c r="T6" s="62">
        <f>T4*U6</f>
        <v>0</v>
      </c>
      <c r="U6" s="28">
        <f>U14-SUM(U7:U12)</f>
        <v>12</v>
      </c>
      <c r="V6" t="s">
        <v>10</v>
      </c>
      <c r="Y6" s="227"/>
      <c r="Z6" s="1" t="s">
        <v>8</v>
      </c>
      <c r="AA6" s="10">
        <f>AA4*AC6</f>
        <v>0</v>
      </c>
      <c r="AB6" s="62">
        <f>AB4*AC6</f>
        <v>0</v>
      </c>
      <c r="AC6" s="28">
        <f>AC14-SUM(AC7:AC12)</f>
        <v>12</v>
      </c>
      <c r="AD6" t="s">
        <v>10</v>
      </c>
      <c r="AG6" s="335"/>
      <c r="AH6" s="327" t="s">
        <v>8</v>
      </c>
      <c r="AI6" s="395">
        <f>AI4*AK6</f>
        <v>124.80000000000001</v>
      </c>
      <c r="AJ6" s="396">
        <f>AJ4*AK6</f>
        <v>120</v>
      </c>
      <c r="AK6" s="337">
        <f>AK14-SUM(AK7:AK12)</f>
        <v>12</v>
      </c>
      <c r="AL6" s="326" t="s">
        <v>10</v>
      </c>
      <c r="AM6" s="326"/>
      <c r="AO6" s="335"/>
      <c r="AP6" s="327" t="s">
        <v>8</v>
      </c>
      <c r="AQ6" s="395">
        <f>AQ4*AS6</f>
        <v>124.80000000000001</v>
      </c>
      <c r="AR6" s="396">
        <f>AR4*AS6</f>
        <v>120</v>
      </c>
      <c r="AS6" s="337">
        <f>AS14-SUM(AS7:AS12)</f>
        <v>12</v>
      </c>
      <c r="AT6" s="326" t="s">
        <v>10</v>
      </c>
      <c r="AU6" s="326"/>
    </row>
    <row r="7" spans="1:47" x14ac:dyDescent="0.5">
      <c r="A7" s="227" t="s">
        <v>210</v>
      </c>
      <c r="B7" s="1" t="s">
        <v>61</v>
      </c>
      <c r="C7" s="180">
        <f>C4*E7</f>
        <v>15.600000000000001</v>
      </c>
      <c r="D7" s="62">
        <f>D4*E7</f>
        <v>15</v>
      </c>
      <c r="E7" s="28">
        <f>E14/10</f>
        <v>1.5</v>
      </c>
      <c r="F7" t="s">
        <v>10</v>
      </c>
      <c r="I7" s="227"/>
      <c r="J7" s="1" t="s">
        <v>61</v>
      </c>
      <c r="K7" s="10">
        <f>K4*M7</f>
        <v>0</v>
      </c>
      <c r="L7" s="62">
        <f>L4*M7</f>
        <v>0</v>
      </c>
      <c r="M7" s="28">
        <f>M14/10</f>
        <v>1.5</v>
      </c>
      <c r="N7" t="s">
        <v>10</v>
      </c>
      <c r="Q7" s="227"/>
      <c r="R7" s="1" t="s">
        <v>61</v>
      </c>
      <c r="S7" s="10">
        <f>S4*U7</f>
        <v>0</v>
      </c>
      <c r="T7" s="62">
        <f>T4*U7</f>
        <v>0</v>
      </c>
      <c r="U7" s="28">
        <f>U14/10</f>
        <v>1.5</v>
      </c>
      <c r="V7" t="s">
        <v>10</v>
      </c>
      <c r="Y7" s="227"/>
      <c r="Z7" s="1" t="s">
        <v>61</v>
      </c>
      <c r="AA7" s="10">
        <f>AA4*AC7</f>
        <v>0</v>
      </c>
      <c r="AB7" s="62">
        <f>AB4*AC7</f>
        <v>0</v>
      </c>
      <c r="AC7" s="28">
        <f>AC14/10</f>
        <v>1.5</v>
      </c>
      <c r="AD7" t="s">
        <v>10</v>
      </c>
      <c r="AG7" s="335" t="s">
        <v>210</v>
      </c>
      <c r="AH7" s="327" t="s">
        <v>61</v>
      </c>
      <c r="AI7" s="395">
        <f>AI4*AK7</f>
        <v>15.600000000000001</v>
      </c>
      <c r="AJ7" s="396">
        <f>AJ4*AK7</f>
        <v>15</v>
      </c>
      <c r="AK7" s="337">
        <f>AK14/10</f>
        <v>1.5</v>
      </c>
      <c r="AL7" s="326" t="s">
        <v>10</v>
      </c>
      <c r="AM7" s="326"/>
      <c r="AO7" s="335" t="s">
        <v>210</v>
      </c>
      <c r="AP7" s="327" t="s">
        <v>61</v>
      </c>
      <c r="AQ7" s="395">
        <f>AQ4*AS7</f>
        <v>15.600000000000001</v>
      </c>
      <c r="AR7" s="396">
        <f>AR4*AS7</f>
        <v>15</v>
      </c>
      <c r="AS7" s="337">
        <f>AS14/10</f>
        <v>1.5</v>
      </c>
      <c r="AT7" s="326" t="s">
        <v>10</v>
      </c>
      <c r="AU7" s="326"/>
    </row>
    <row r="8" spans="1:47" s="234" customFormat="1" x14ac:dyDescent="0.5">
      <c r="A8" s="233"/>
      <c r="B8" s="235" t="s">
        <v>205</v>
      </c>
      <c r="C8" s="236">
        <f>C4*E8</f>
        <v>0</v>
      </c>
      <c r="D8" s="237">
        <f>D3*E8</f>
        <v>0</v>
      </c>
      <c r="E8" s="238">
        <f>IF(E2="yes",E14/10,0)</f>
        <v>0</v>
      </c>
      <c r="F8" s="234" t="s">
        <v>10</v>
      </c>
      <c r="I8" s="233"/>
      <c r="J8" s="235" t="s">
        <v>205</v>
      </c>
      <c r="K8" s="236">
        <f>K4*M8</f>
        <v>0</v>
      </c>
      <c r="L8" s="237">
        <f>L3*M8</f>
        <v>0</v>
      </c>
      <c r="M8" s="238">
        <f>IF(M2="yes",M14/10,0)</f>
        <v>0</v>
      </c>
      <c r="N8" s="234" t="s">
        <v>10</v>
      </c>
      <c r="Q8" s="233"/>
      <c r="R8" s="235" t="s">
        <v>205</v>
      </c>
      <c r="S8" s="236">
        <f>S4*U8</f>
        <v>0</v>
      </c>
      <c r="T8" s="237">
        <f>T3*U8</f>
        <v>0</v>
      </c>
      <c r="U8" s="238">
        <f>IF(U2="yes",U14/10,0)</f>
        <v>0</v>
      </c>
      <c r="V8" s="234" t="s">
        <v>10</v>
      </c>
      <c r="Y8" s="233"/>
      <c r="Z8" s="235" t="s">
        <v>205</v>
      </c>
      <c r="AA8" s="236">
        <f>AA4*AC8</f>
        <v>0</v>
      </c>
      <c r="AB8" s="237">
        <f>AB3*AC8</f>
        <v>0</v>
      </c>
      <c r="AC8" s="238">
        <f>IF(AC2="yes",AC14/10,0)</f>
        <v>0</v>
      </c>
      <c r="AD8" s="234" t="s">
        <v>10</v>
      </c>
      <c r="AG8" s="397"/>
      <c r="AH8" s="384" t="s">
        <v>205</v>
      </c>
      <c r="AI8" s="385">
        <f>AI4*AK8</f>
        <v>0</v>
      </c>
      <c r="AJ8" s="386">
        <f>AJ3*AK8</f>
        <v>0</v>
      </c>
      <c r="AK8" s="398">
        <f>IF(AK2="yes",AK14/10,0)</f>
        <v>0</v>
      </c>
      <c r="AL8" s="383" t="s">
        <v>10</v>
      </c>
      <c r="AM8" s="383"/>
      <c r="AO8" s="397"/>
      <c r="AP8" s="384" t="s">
        <v>205</v>
      </c>
      <c r="AQ8" s="385">
        <f>AQ4*AS8</f>
        <v>0</v>
      </c>
      <c r="AR8" s="386">
        <f>AR3*AS8</f>
        <v>0</v>
      </c>
      <c r="AS8" s="398">
        <f>IF(AS2="yes",AS14/10,0)</f>
        <v>0</v>
      </c>
      <c r="AT8" s="383" t="s">
        <v>10</v>
      </c>
      <c r="AU8" s="383"/>
    </row>
    <row r="9" spans="1:47" ht="14.45" customHeight="1" x14ac:dyDescent="0.5">
      <c r="A9" s="227" t="s">
        <v>259</v>
      </c>
      <c r="B9" s="1" t="s">
        <v>56</v>
      </c>
      <c r="C9" s="180">
        <f>C4*E9</f>
        <v>5.2</v>
      </c>
      <c r="D9" s="62">
        <f>D4*E9</f>
        <v>5</v>
      </c>
      <c r="E9" s="3">
        <v>0.5</v>
      </c>
      <c r="F9" t="s">
        <v>10</v>
      </c>
      <c r="G9" s="663" t="str">
        <f>CONCATENATE("&lt; ",E14/10," µL total")</f>
        <v>&lt; 1.5 µL total</v>
      </c>
      <c r="I9" s="227"/>
      <c r="J9" s="1" t="s">
        <v>56</v>
      </c>
      <c r="K9" s="10">
        <f>K4*M9</f>
        <v>0</v>
      </c>
      <c r="L9" s="62">
        <f>L4*M9</f>
        <v>0</v>
      </c>
      <c r="M9" s="3">
        <v>0.5</v>
      </c>
      <c r="N9" t="s">
        <v>10</v>
      </c>
      <c r="O9" s="663" t="str">
        <f>CONCATENATE("&lt; ",M14/10," µL total")</f>
        <v>&lt; 1.5 µL total</v>
      </c>
      <c r="Q9" s="227"/>
      <c r="R9" s="1" t="s">
        <v>56</v>
      </c>
      <c r="S9" s="10">
        <f>S4*U9</f>
        <v>0</v>
      </c>
      <c r="T9" s="62">
        <f>T4*U9</f>
        <v>0</v>
      </c>
      <c r="U9" s="3">
        <v>0.5</v>
      </c>
      <c r="V9" t="s">
        <v>10</v>
      </c>
      <c r="W9" s="663" t="str">
        <f>CONCATENATE("&lt; ",U14/10," µL total")</f>
        <v>&lt; 1.5 µL total</v>
      </c>
      <c r="Y9" s="227"/>
      <c r="Z9" s="1" t="s">
        <v>56</v>
      </c>
      <c r="AA9" s="10">
        <f>AA4*AC9</f>
        <v>0</v>
      </c>
      <c r="AB9" s="62">
        <f>AB4*AC9</f>
        <v>0</v>
      </c>
      <c r="AC9" s="3">
        <v>0.5</v>
      </c>
      <c r="AD9" t="s">
        <v>10</v>
      </c>
      <c r="AE9" s="663" t="str">
        <f>CONCATENATE("&lt; ",AC14/10," µL total")</f>
        <v>&lt; 1.5 µL total</v>
      </c>
      <c r="AG9" s="335" t="s">
        <v>259</v>
      </c>
      <c r="AH9" s="327" t="s">
        <v>56</v>
      </c>
      <c r="AI9" s="395">
        <f>AI4*AK9</f>
        <v>5.2</v>
      </c>
      <c r="AJ9" s="396">
        <f>AJ4*AK9</f>
        <v>5</v>
      </c>
      <c r="AK9" s="328">
        <v>0.5</v>
      </c>
      <c r="AL9" s="326" t="s">
        <v>10</v>
      </c>
      <c r="AM9" s="663" t="str">
        <f>CONCATENATE("&lt; ",AK14/10," µL total")</f>
        <v>&lt; 1.5 µL total</v>
      </c>
      <c r="AO9" s="335" t="s">
        <v>259</v>
      </c>
      <c r="AP9" s="327" t="s">
        <v>56</v>
      </c>
      <c r="AQ9" s="395">
        <f>AQ4*AS9</f>
        <v>5.2</v>
      </c>
      <c r="AR9" s="396">
        <f>AR4*AS9</f>
        <v>5</v>
      </c>
      <c r="AS9" s="328">
        <v>0.5</v>
      </c>
      <c r="AT9" s="326" t="s">
        <v>10</v>
      </c>
      <c r="AU9" s="663" t="str">
        <f>CONCATENATE("&lt; ",AS14/10," µL total")</f>
        <v>&lt; 1.5 µL total</v>
      </c>
    </row>
    <row r="10" spans="1:47" ht="14.45" customHeight="1" x14ac:dyDescent="0.5">
      <c r="A10" s="227" t="s">
        <v>260</v>
      </c>
      <c r="B10" s="1" t="s">
        <v>57</v>
      </c>
      <c r="C10" s="180">
        <f>C4*E10</f>
        <v>0</v>
      </c>
      <c r="D10" s="62">
        <f>D4*E10</f>
        <v>0</v>
      </c>
      <c r="E10" s="3">
        <v>0</v>
      </c>
      <c r="F10" t="s">
        <v>10</v>
      </c>
      <c r="G10" s="663"/>
      <c r="I10" s="227"/>
      <c r="J10" s="1" t="s">
        <v>57</v>
      </c>
      <c r="K10" s="10">
        <f>K4*M10</f>
        <v>0</v>
      </c>
      <c r="L10" s="62">
        <f>L4*M10</f>
        <v>0</v>
      </c>
      <c r="M10" s="3">
        <v>0</v>
      </c>
      <c r="N10" t="s">
        <v>10</v>
      </c>
      <c r="O10" s="663"/>
      <c r="Q10" s="227"/>
      <c r="R10" s="1" t="s">
        <v>57</v>
      </c>
      <c r="S10" s="10">
        <f>S4*U10</f>
        <v>0</v>
      </c>
      <c r="T10" s="62">
        <f>T4*U10</f>
        <v>0</v>
      </c>
      <c r="U10" s="3">
        <v>0</v>
      </c>
      <c r="V10" t="s">
        <v>10</v>
      </c>
      <c r="W10" s="663"/>
      <c r="Y10" s="227"/>
      <c r="Z10" s="1" t="s">
        <v>57</v>
      </c>
      <c r="AA10" s="10">
        <f>AA4*AC10</f>
        <v>0</v>
      </c>
      <c r="AB10" s="62">
        <f>AB4*AC10</f>
        <v>0</v>
      </c>
      <c r="AC10" s="3">
        <v>0</v>
      </c>
      <c r="AD10" t="s">
        <v>10</v>
      </c>
      <c r="AE10" s="663"/>
      <c r="AG10" s="335" t="s">
        <v>260</v>
      </c>
      <c r="AH10" s="327" t="s">
        <v>57</v>
      </c>
      <c r="AI10" s="395">
        <f>AI4*AK10</f>
        <v>0</v>
      </c>
      <c r="AJ10" s="396">
        <f>AJ4*AK10</f>
        <v>0</v>
      </c>
      <c r="AK10" s="328">
        <v>0</v>
      </c>
      <c r="AL10" s="326" t="s">
        <v>10</v>
      </c>
      <c r="AM10" s="663"/>
      <c r="AO10" s="335" t="s">
        <v>260</v>
      </c>
      <c r="AP10" s="327" t="s">
        <v>57</v>
      </c>
      <c r="AQ10" s="395">
        <f>AQ4*AS10</f>
        <v>0</v>
      </c>
      <c r="AR10" s="396">
        <f>AR4*AS10</f>
        <v>0</v>
      </c>
      <c r="AS10" s="328">
        <v>0</v>
      </c>
      <c r="AT10" s="326" t="s">
        <v>10</v>
      </c>
      <c r="AU10" s="663"/>
    </row>
    <row r="11" spans="1:47" ht="14.45" customHeight="1" x14ac:dyDescent="0.5">
      <c r="A11" s="227"/>
      <c r="B11" s="1" t="s">
        <v>58</v>
      </c>
      <c r="C11" s="180">
        <f>C4*E11</f>
        <v>0</v>
      </c>
      <c r="D11" s="62">
        <f>D4*E11</f>
        <v>0</v>
      </c>
      <c r="E11" s="3">
        <v>0</v>
      </c>
      <c r="F11" t="s">
        <v>10</v>
      </c>
      <c r="G11" s="663"/>
      <c r="I11" s="227"/>
      <c r="J11" s="1" t="s">
        <v>58</v>
      </c>
      <c r="K11" s="10">
        <f>K4*M11</f>
        <v>0</v>
      </c>
      <c r="L11" s="62">
        <f>L4*M11</f>
        <v>0</v>
      </c>
      <c r="M11" s="3">
        <v>0</v>
      </c>
      <c r="N11" t="s">
        <v>10</v>
      </c>
      <c r="O11" s="663"/>
      <c r="Q11" s="227"/>
      <c r="R11" s="1" t="s">
        <v>58</v>
      </c>
      <c r="S11" s="10">
        <f>S4*U11</f>
        <v>0</v>
      </c>
      <c r="T11" s="62">
        <f>T4*U11</f>
        <v>0</v>
      </c>
      <c r="U11" s="3">
        <v>0</v>
      </c>
      <c r="V11" t="s">
        <v>10</v>
      </c>
      <c r="W11" s="663"/>
      <c r="Y11" s="227"/>
      <c r="Z11" s="1" t="s">
        <v>58</v>
      </c>
      <c r="AA11" s="10">
        <f>AA4*AC11</f>
        <v>0</v>
      </c>
      <c r="AB11" s="62">
        <f>AB4*AC11</f>
        <v>0</v>
      </c>
      <c r="AC11" s="3">
        <v>0</v>
      </c>
      <c r="AD11" t="s">
        <v>10</v>
      </c>
      <c r="AE11" s="663"/>
      <c r="AG11" s="335"/>
      <c r="AH11" s="327" t="s">
        <v>58</v>
      </c>
      <c r="AI11" s="395">
        <f>AI4*AK11</f>
        <v>0</v>
      </c>
      <c r="AJ11" s="396">
        <f>AJ4*AK11</f>
        <v>0</v>
      </c>
      <c r="AK11" s="328">
        <v>0</v>
      </c>
      <c r="AL11" s="326" t="s">
        <v>10</v>
      </c>
      <c r="AM11" s="663"/>
      <c r="AO11" s="335"/>
      <c r="AP11" s="327" t="s">
        <v>58</v>
      </c>
      <c r="AQ11" s="395">
        <f>AQ4*AS11</f>
        <v>0</v>
      </c>
      <c r="AR11" s="396">
        <f>AR4*AS11</f>
        <v>0</v>
      </c>
      <c r="AS11" s="328">
        <v>0</v>
      </c>
      <c r="AT11" s="326" t="s">
        <v>10</v>
      </c>
      <c r="AU11" s="663"/>
    </row>
    <row r="12" spans="1:47" ht="14.45" customHeight="1" x14ac:dyDescent="0.5">
      <c r="A12" s="227"/>
      <c r="B12" s="1" t="s">
        <v>59</v>
      </c>
      <c r="C12" s="180">
        <f>C4*E12</f>
        <v>10.4</v>
      </c>
      <c r="D12" s="62">
        <f>D4*E12</f>
        <v>10</v>
      </c>
      <c r="E12" s="29">
        <v>1</v>
      </c>
      <c r="F12" t="s">
        <v>10</v>
      </c>
      <c r="G12" s="404" t="s">
        <v>193</v>
      </c>
      <c r="I12" s="227"/>
      <c r="J12" s="1" t="s">
        <v>59</v>
      </c>
      <c r="K12" s="10">
        <f>K4*M12</f>
        <v>0</v>
      </c>
      <c r="L12" s="62">
        <f>L4*M12</f>
        <v>0</v>
      </c>
      <c r="M12" s="29">
        <v>1</v>
      </c>
      <c r="N12" t="s">
        <v>10</v>
      </c>
      <c r="O12" s="404" t="s">
        <v>193</v>
      </c>
      <c r="Q12" s="227"/>
      <c r="R12" s="1" t="s">
        <v>59</v>
      </c>
      <c r="S12" s="10">
        <f>S4*U12</f>
        <v>0</v>
      </c>
      <c r="T12" s="62">
        <f>T4*U12</f>
        <v>0</v>
      </c>
      <c r="U12" s="29">
        <v>1</v>
      </c>
      <c r="V12" t="s">
        <v>10</v>
      </c>
      <c r="W12" s="404" t="s">
        <v>193</v>
      </c>
      <c r="Y12" s="227"/>
      <c r="Z12" s="1" t="s">
        <v>59</v>
      </c>
      <c r="AA12" s="10">
        <f>AA4*AC12</f>
        <v>0</v>
      </c>
      <c r="AB12" s="62">
        <f>AB4*AC12</f>
        <v>0</v>
      </c>
      <c r="AC12" s="29">
        <v>1</v>
      </c>
      <c r="AD12" t="s">
        <v>10</v>
      </c>
      <c r="AE12" s="404" t="s">
        <v>193</v>
      </c>
      <c r="AG12" s="335"/>
      <c r="AH12" s="327" t="s">
        <v>59</v>
      </c>
      <c r="AI12" s="395">
        <f>AI4*AK12</f>
        <v>10.4</v>
      </c>
      <c r="AJ12" s="396">
        <f>AJ4*AK12</f>
        <v>10</v>
      </c>
      <c r="AK12" s="338">
        <v>1</v>
      </c>
      <c r="AL12" s="326" t="s">
        <v>10</v>
      </c>
      <c r="AM12" s="404" t="s">
        <v>193</v>
      </c>
      <c r="AO12" s="335"/>
      <c r="AP12" s="327" t="s">
        <v>59</v>
      </c>
      <c r="AQ12" s="395">
        <f>AQ4*AS12</f>
        <v>10.4</v>
      </c>
      <c r="AR12" s="396">
        <f>AR4*AS12</f>
        <v>10</v>
      </c>
      <c r="AS12" s="338">
        <v>1</v>
      </c>
      <c r="AT12" s="326" t="s">
        <v>10</v>
      </c>
      <c r="AU12" s="404" t="s">
        <v>193</v>
      </c>
    </row>
    <row r="13" spans="1:47" x14ac:dyDescent="0.5">
      <c r="A13" s="227"/>
      <c r="B13" s="1"/>
      <c r="C13" s="7"/>
      <c r="D13" s="32"/>
      <c r="E13" s="6"/>
      <c r="I13" s="227"/>
      <c r="J13" s="1"/>
      <c r="L13" s="32"/>
      <c r="M13" s="6"/>
      <c r="Q13" s="227"/>
      <c r="R13" s="1"/>
      <c r="T13" s="32"/>
      <c r="U13" s="6"/>
      <c r="Y13" s="227"/>
      <c r="Z13" s="1"/>
      <c r="AB13" s="32"/>
      <c r="AC13" s="6"/>
      <c r="AG13" s="335"/>
      <c r="AH13" s="327"/>
      <c r="AI13" s="331"/>
      <c r="AJ13" s="399"/>
      <c r="AK13" s="330"/>
      <c r="AL13" s="326"/>
      <c r="AM13" s="326"/>
      <c r="AO13" s="335"/>
      <c r="AP13" s="327"/>
      <c r="AQ13" s="331"/>
      <c r="AR13" s="399"/>
      <c r="AS13" s="330"/>
      <c r="AT13" s="326"/>
      <c r="AU13" s="326"/>
    </row>
    <row r="14" spans="1:47" x14ac:dyDescent="0.5">
      <c r="A14" s="227"/>
      <c r="B14" s="52" t="s">
        <v>4</v>
      </c>
      <c r="C14" s="53">
        <f>SUM(C6:C12)</f>
        <v>156</v>
      </c>
      <c r="D14" s="54">
        <f>SUM(D6:D12)</f>
        <v>150</v>
      </c>
      <c r="E14" s="191">
        <v>15</v>
      </c>
      <c r="F14" s="56" t="s">
        <v>10</v>
      </c>
      <c r="I14" s="227"/>
      <c r="J14" s="52" t="s">
        <v>4</v>
      </c>
      <c r="K14" s="53">
        <f>SUM(K6:K12)</f>
        <v>0</v>
      </c>
      <c r="L14" s="54">
        <f>SUM(L6:L12)</f>
        <v>0</v>
      </c>
      <c r="M14" s="55">
        <v>15</v>
      </c>
      <c r="N14" s="56" t="s">
        <v>10</v>
      </c>
      <c r="Q14" s="227"/>
      <c r="R14" s="52" t="s">
        <v>4</v>
      </c>
      <c r="S14" s="53">
        <f>SUM(S6:S12)</f>
        <v>0</v>
      </c>
      <c r="T14" s="54">
        <f>SUM(T6:T12)</f>
        <v>0</v>
      </c>
      <c r="U14" s="55">
        <v>15</v>
      </c>
      <c r="V14" s="56" t="s">
        <v>10</v>
      </c>
      <c r="Y14" s="227"/>
      <c r="Z14" s="52" t="s">
        <v>4</v>
      </c>
      <c r="AA14" s="53">
        <f>SUM(AA6:AA12)</f>
        <v>0</v>
      </c>
      <c r="AB14" s="54">
        <f>SUM(AB6:AB12)</f>
        <v>0</v>
      </c>
      <c r="AC14" s="55">
        <v>15</v>
      </c>
      <c r="AD14" s="56" t="s">
        <v>10</v>
      </c>
      <c r="AG14" s="335"/>
      <c r="AH14" s="400" t="s">
        <v>4</v>
      </c>
      <c r="AI14" s="340">
        <f>SUM(AI6:AI12)</f>
        <v>156</v>
      </c>
      <c r="AJ14" s="341">
        <f>SUM(AJ6:AJ12)</f>
        <v>150</v>
      </c>
      <c r="AK14" s="402">
        <v>15</v>
      </c>
      <c r="AL14" s="342" t="s">
        <v>10</v>
      </c>
      <c r="AM14" s="326"/>
      <c r="AO14" s="335"/>
      <c r="AP14" s="400" t="s">
        <v>4</v>
      </c>
      <c r="AQ14" s="340">
        <f>SUM(AQ6:AQ12)</f>
        <v>156</v>
      </c>
      <c r="AR14" s="341">
        <f>SUM(AR6:AR12)</f>
        <v>150</v>
      </c>
      <c r="AS14" s="402">
        <v>15</v>
      </c>
      <c r="AT14" s="342" t="s">
        <v>10</v>
      </c>
      <c r="AU14" s="326"/>
    </row>
    <row r="15" spans="1:47" x14ac:dyDescent="0.5">
      <c r="A15" s="227"/>
      <c r="B15" s="68" t="s">
        <v>103</v>
      </c>
      <c r="C15" s="53">
        <f>SUM(C6:C11)</f>
        <v>145.6</v>
      </c>
      <c r="D15" s="54">
        <f>SUM(D6:D11)</f>
        <v>140</v>
      </c>
      <c r="E15" s="57">
        <f>SUM(E6:E11)</f>
        <v>14</v>
      </c>
      <c r="F15" s="56" t="s">
        <v>10</v>
      </c>
      <c r="I15" s="227"/>
      <c r="J15" s="68" t="s">
        <v>103</v>
      </c>
      <c r="K15" s="53">
        <f>SUM(K6:K11)</f>
        <v>0</v>
      </c>
      <c r="L15" s="54">
        <f>SUM(L6:L11)</f>
        <v>0</v>
      </c>
      <c r="M15" s="57">
        <f>SUM(M6:M11)</f>
        <v>14</v>
      </c>
      <c r="N15" s="56" t="s">
        <v>10</v>
      </c>
      <c r="Q15" s="227"/>
      <c r="R15" s="68" t="s">
        <v>103</v>
      </c>
      <c r="S15" s="53">
        <f>SUM(S6:S11)</f>
        <v>0</v>
      </c>
      <c r="T15" s="54">
        <f>SUM(T6:T11)</f>
        <v>0</v>
      </c>
      <c r="U15" s="57">
        <f>SUM(U6:U11)</f>
        <v>14</v>
      </c>
      <c r="V15" s="56" t="s">
        <v>10</v>
      </c>
      <c r="Y15" s="227"/>
      <c r="Z15" s="68" t="s">
        <v>103</v>
      </c>
      <c r="AA15" s="53">
        <f>SUM(AA6:AA11)</f>
        <v>0</v>
      </c>
      <c r="AB15" s="54">
        <f>SUM(AB6:AB11)</f>
        <v>0</v>
      </c>
      <c r="AC15" s="57">
        <f>SUM(AC6:AC11)</f>
        <v>14</v>
      </c>
      <c r="AD15" s="56" t="s">
        <v>10</v>
      </c>
      <c r="AG15" s="335"/>
      <c r="AH15" s="359" t="s">
        <v>103</v>
      </c>
      <c r="AI15" s="340">
        <f>SUM(AI6:AI11)</f>
        <v>145.6</v>
      </c>
      <c r="AJ15" s="341">
        <f>SUM(AJ6:AJ11)</f>
        <v>140</v>
      </c>
      <c r="AK15" s="343">
        <f>SUM(AK6:AK11)</f>
        <v>14</v>
      </c>
      <c r="AL15" s="342" t="s">
        <v>10</v>
      </c>
      <c r="AM15" s="326"/>
      <c r="AO15" s="335"/>
      <c r="AP15" s="359" t="s">
        <v>103</v>
      </c>
      <c r="AQ15" s="340">
        <f>SUM(AQ6:AQ11)</f>
        <v>145.6</v>
      </c>
      <c r="AR15" s="341">
        <f>SUM(AR6:AR11)</f>
        <v>140</v>
      </c>
      <c r="AS15" s="343">
        <f>SUM(AS6:AS11)</f>
        <v>14</v>
      </c>
      <c r="AT15" s="342" t="s">
        <v>10</v>
      </c>
      <c r="AU15" s="326"/>
    </row>
    <row r="16" spans="1:47" x14ac:dyDescent="0.5">
      <c r="A16" s="227"/>
      <c r="B16" s="68" t="s">
        <v>104</v>
      </c>
      <c r="C16" s="53">
        <f>SUM(C6:C8,C12)</f>
        <v>150.80000000000001</v>
      </c>
      <c r="D16" s="54">
        <f>SUM(D6:D8,D12)</f>
        <v>145</v>
      </c>
      <c r="E16" s="57">
        <f>SUM(E6:E8,E12)</f>
        <v>14.5</v>
      </c>
      <c r="F16" s="56" t="s">
        <v>10</v>
      </c>
      <c r="I16" s="227"/>
      <c r="J16" s="68" t="s">
        <v>104</v>
      </c>
      <c r="K16" s="53">
        <f>SUM(K6:K8,K12)</f>
        <v>0</v>
      </c>
      <c r="L16" s="54">
        <f>SUM(L6:L8,L12)</f>
        <v>0</v>
      </c>
      <c r="M16" s="57">
        <f>SUM(M6:M8,M12)</f>
        <v>14.5</v>
      </c>
      <c r="N16" s="56" t="s">
        <v>10</v>
      </c>
      <c r="Q16" s="227"/>
      <c r="R16" s="68" t="s">
        <v>104</v>
      </c>
      <c r="S16" s="53">
        <f>SUM(S6:S8,S12)</f>
        <v>0</v>
      </c>
      <c r="T16" s="54">
        <f>SUM(T6:T8,T12)</f>
        <v>0</v>
      </c>
      <c r="U16" s="57">
        <f>SUM(U6:U8,U12)</f>
        <v>14.5</v>
      </c>
      <c r="V16" s="56" t="s">
        <v>10</v>
      </c>
      <c r="Y16" s="227"/>
      <c r="Z16" s="68" t="s">
        <v>104</v>
      </c>
      <c r="AA16" s="53">
        <f>SUM(AA6:AA8,AA12)</f>
        <v>0</v>
      </c>
      <c r="AB16" s="54">
        <f>SUM(AB6:AB8,AB12)</f>
        <v>0</v>
      </c>
      <c r="AC16" s="57">
        <f>SUM(AC6:AC8,AC12)</f>
        <v>14.5</v>
      </c>
      <c r="AD16" s="56" t="s">
        <v>10</v>
      </c>
      <c r="AG16" s="335"/>
      <c r="AH16" s="359" t="s">
        <v>104</v>
      </c>
      <c r="AI16" s="340">
        <f>SUM(AI6:AI8,AI12)</f>
        <v>150.80000000000001</v>
      </c>
      <c r="AJ16" s="341">
        <f>SUM(AJ6:AJ8,AJ12)</f>
        <v>145</v>
      </c>
      <c r="AK16" s="343">
        <f>SUM(AK6:AK8,AK12)</f>
        <v>14.5</v>
      </c>
      <c r="AL16" s="342" t="s">
        <v>10</v>
      </c>
      <c r="AM16" s="326"/>
      <c r="AO16" s="335"/>
      <c r="AP16" s="359" t="s">
        <v>104</v>
      </c>
      <c r="AQ16" s="340">
        <f>SUM(AQ6:AQ8,AQ12)</f>
        <v>150.80000000000001</v>
      </c>
      <c r="AR16" s="341">
        <f>SUM(AR6:AR8,AR12)</f>
        <v>145</v>
      </c>
      <c r="AS16" s="343">
        <f>SUM(AS6:AS8,AS12)</f>
        <v>14.5</v>
      </c>
      <c r="AT16" s="342" t="s">
        <v>10</v>
      </c>
      <c r="AU16" s="326"/>
    </row>
    <row r="17" spans="1:47" x14ac:dyDescent="0.5">
      <c r="A17" s="227"/>
      <c r="B17" s="78" t="s">
        <v>105</v>
      </c>
      <c r="C17" s="53">
        <f>SUM(C6:C8)</f>
        <v>140.4</v>
      </c>
      <c r="D17" s="54">
        <f>SUM(D6:D8)</f>
        <v>135</v>
      </c>
      <c r="E17" s="57">
        <f>SUM(E6:E8)</f>
        <v>13.5</v>
      </c>
      <c r="F17" s="56" t="s">
        <v>10</v>
      </c>
      <c r="I17" s="227"/>
      <c r="J17" s="78" t="s">
        <v>105</v>
      </c>
      <c r="K17" s="53">
        <f>SUM(K6:K8)</f>
        <v>0</v>
      </c>
      <c r="L17" s="54">
        <f>SUM(L6:L8)</f>
        <v>0</v>
      </c>
      <c r="M17" s="57">
        <f>SUM(M6:M8)</f>
        <v>13.5</v>
      </c>
      <c r="N17" s="56" t="s">
        <v>10</v>
      </c>
      <c r="Q17" s="227"/>
      <c r="R17" s="78" t="s">
        <v>105</v>
      </c>
      <c r="S17" s="53">
        <f>SUM(S6:S8)</f>
        <v>0</v>
      </c>
      <c r="T17" s="54">
        <f>SUM(T6:T8)</f>
        <v>0</v>
      </c>
      <c r="U17" s="57">
        <f>SUM(U6:U8)</f>
        <v>13.5</v>
      </c>
      <c r="V17" s="56" t="s">
        <v>10</v>
      </c>
      <c r="Y17" s="227"/>
      <c r="Z17" s="78" t="s">
        <v>105</v>
      </c>
      <c r="AA17" s="53">
        <f>SUM(AA6:AA8)</f>
        <v>0</v>
      </c>
      <c r="AB17" s="54">
        <f>SUM(AB6:AB8)</f>
        <v>0</v>
      </c>
      <c r="AC17" s="57">
        <f>SUM(AC6:AC8)</f>
        <v>13.5</v>
      </c>
      <c r="AD17" s="56" t="s">
        <v>10</v>
      </c>
      <c r="AG17" s="335"/>
      <c r="AH17" s="401" t="s">
        <v>105</v>
      </c>
      <c r="AI17" s="340">
        <f>SUM(AI6:AI8)</f>
        <v>140.4</v>
      </c>
      <c r="AJ17" s="341">
        <f>SUM(AJ6:AJ8)</f>
        <v>135</v>
      </c>
      <c r="AK17" s="343">
        <f>SUM(AK6:AK8)</f>
        <v>13.5</v>
      </c>
      <c r="AL17" s="342" t="s">
        <v>10</v>
      </c>
      <c r="AM17" s="326"/>
      <c r="AO17" s="335"/>
      <c r="AP17" s="401" t="s">
        <v>105</v>
      </c>
      <c r="AQ17" s="340">
        <f>SUM(AQ6:AQ8)</f>
        <v>140.4</v>
      </c>
      <c r="AR17" s="341">
        <f>SUM(AR6:AR8)</f>
        <v>135</v>
      </c>
      <c r="AS17" s="343">
        <f>SUM(AS6:AS8)</f>
        <v>13.5</v>
      </c>
      <c r="AT17" s="342" t="s">
        <v>10</v>
      </c>
      <c r="AU17" s="326"/>
    </row>
    <row r="21" spans="1:47" ht="22.2" customHeight="1" x14ac:dyDescent="0.5">
      <c r="A21" s="656" t="s">
        <v>202</v>
      </c>
      <c r="B21" s="656"/>
      <c r="C21" s="656"/>
      <c r="D21" s="656"/>
      <c r="E21" s="656"/>
      <c r="F21" s="656"/>
      <c r="G21" s="656"/>
    </row>
    <row r="22" spans="1:47" ht="14.7" thickBot="1" x14ac:dyDescent="0.55000000000000004">
      <c r="A22" s="195" t="s">
        <v>195</v>
      </c>
      <c r="B22" s="187" t="s">
        <v>2</v>
      </c>
      <c r="C22" s="192">
        <v>10</v>
      </c>
      <c r="D22" s="187" t="s">
        <v>204</v>
      </c>
      <c r="E22" s="189" t="s">
        <v>96</v>
      </c>
      <c r="F22" s="190"/>
      <c r="G22" s="658" t="s">
        <v>209</v>
      </c>
      <c r="H22" s="659"/>
    </row>
    <row r="23" spans="1:47" x14ac:dyDescent="0.5">
      <c r="A23" s="227"/>
      <c r="B23" s="1" t="s">
        <v>3</v>
      </c>
      <c r="C23" s="193">
        <v>0.03</v>
      </c>
      <c r="D23" s="77">
        <v>0</v>
      </c>
      <c r="E23" s="5"/>
    </row>
    <row r="24" spans="1:47" ht="14.7" thickBot="1" x14ac:dyDescent="0.55000000000000004">
      <c r="A24" s="194"/>
      <c r="B24" s="228" t="s">
        <v>2</v>
      </c>
      <c r="C24" s="229">
        <f>C22*(1+C23)</f>
        <v>10.3</v>
      </c>
      <c r="D24" s="230">
        <f>C22*(1+D23)</f>
        <v>10</v>
      </c>
      <c r="E24" s="231" t="s">
        <v>7</v>
      </c>
      <c r="F24" s="186"/>
      <c r="H24" t="s">
        <v>214</v>
      </c>
    </row>
    <row r="25" spans="1:47" ht="14.7" thickTop="1" x14ac:dyDescent="0.5">
      <c r="A25" s="227"/>
      <c r="B25" s="1"/>
      <c r="C25" s="196"/>
      <c r="D25" s="30"/>
      <c r="E25" s="185" t="str">
        <f>IF(SUM(E29:E29)&gt;0.1*E32, "Warning: too high [enzyme]. Raise rxn volume. Or lower enzyme volume.","")</f>
        <v/>
      </c>
      <c r="F25" s="325" t="s">
        <v>262</v>
      </c>
      <c r="H25" t="s">
        <v>215</v>
      </c>
    </row>
    <row r="26" spans="1:47" ht="16.350000000000001" x14ac:dyDescent="0.65">
      <c r="A26" s="227"/>
      <c r="B26" s="1" t="s">
        <v>8</v>
      </c>
      <c r="C26" s="180">
        <f>C24*E26</f>
        <v>82.4</v>
      </c>
      <c r="D26" s="62">
        <f>D24*E26</f>
        <v>80</v>
      </c>
      <c r="E26" s="28">
        <f>E32-SUM(E27:E30)</f>
        <v>8</v>
      </c>
      <c r="F26" t="s">
        <v>10</v>
      </c>
      <c r="H26" s="18" t="s">
        <v>216</v>
      </c>
    </row>
    <row r="27" spans="1:47" x14ac:dyDescent="0.5">
      <c r="A27" s="227"/>
      <c r="B27" s="1" t="s">
        <v>207</v>
      </c>
      <c r="C27" s="180">
        <f>C24*E27</f>
        <v>10.3</v>
      </c>
      <c r="D27" s="62">
        <f>D24*E27</f>
        <v>10</v>
      </c>
      <c r="E27" s="28">
        <f>E32/10</f>
        <v>1</v>
      </c>
      <c r="F27" t="s">
        <v>10</v>
      </c>
    </row>
    <row r="28" spans="1:47" x14ac:dyDescent="0.5">
      <c r="A28" s="227"/>
      <c r="B28" s="235" t="s">
        <v>206</v>
      </c>
      <c r="C28" s="236">
        <f>C24*E28</f>
        <v>0</v>
      </c>
      <c r="D28" s="237">
        <f>D23*E28</f>
        <v>0</v>
      </c>
      <c r="E28" s="238">
        <f>IF(E22="yes",E32/10,0)</f>
        <v>0</v>
      </c>
      <c r="F28" s="234" t="s">
        <v>10</v>
      </c>
    </row>
    <row r="29" spans="1:47" ht="14.45" customHeight="1" x14ac:dyDescent="0.65">
      <c r="A29" s="227"/>
      <c r="B29" s="1" t="s">
        <v>203</v>
      </c>
      <c r="C29" s="180">
        <f>C24*E29</f>
        <v>5.15</v>
      </c>
      <c r="D29" s="62">
        <f>D24*E29</f>
        <v>5</v>
      </c>
      <c r="E29" s="3">
        <v>0.5</v>
      </c>
      <c r="F29" t="s">
        <v>10</v>
      </c>
      <c r="G29" s="660" t="str">
        <f>CONCATENATE("&lt; ",E32/10," µL total")</f>
        <v>&lt; 1 µL total</v>
      </c>
      <c r="H29" s="661"/>
    </row>
    <row r="30" spans="1:47" x14ac:dyDescent="0.5">
      <c r="A30" s="227"/>
      <c r="B30" s="1" t="s">
        <v>292</v>
      </c>
      <c r="C30" s="180">
        <f>C24*E30</f>
        <v>5.15</v>
      </c>
      <c r="D30" s="62">
        <f>D24*E30</f>
        <v>5</v>
      </c>
      <c r="E30" s="29">
        <v>0.5</v>
      </c>
      <c r="F30" t="s">
        <v>10</v>
      </c>
      <c r="G30" s="658" t="s">
        <v>208</v>
      </c>
      <c r="H30" s="659"/>
    </row>
    <row r="31" spans="1:47" x14ac:dyDescent="0.5">
      <c r="A31" s="227"/>
      <c r="B31" s="1"/>
      <c r="C31" s="7"/>
      <c r="D31" s="32"/>
      <c r="E31" s="6"/>
    </row>
    <row r="32" spans="1:47" x14ac:dyDescent="0.5">
      <c r="A32" s="227"/>
      <c r="B32" s="52" t="s">
        <v>4</v>
      </c>
      <c r="C32" s="53">
        <f>SUM(C26:C30)</f>
        <v>103.00000000000001</v>
      </c>
      <c r="D32" s="54">
        <f>SUM(D26:D30)</f>
        <v>100</v>
      </c>
      <c r="E32" s="191">
        <v>10</v>
      </c>
      <c r="F32" s="56" t="s">
        <v>10</v>
      </c>
    </row>
    <row r="33" spans="1:6" x14ac:dyDescent="0.5">
      <c r="A33" s="227"/>
      <c r="B33" s="68" t="s">
        <v>103</v>
      </c>
      <c r="C33" s="53">
        <f>SUM(C26:C29)</f>
        <v>97.850000000000009</v>
      </c>
      <c r="D33" s="54">
        <f>SUM(D26:D29)</f>
        <v>95</v>
      </c>
      <c r="E33" s="57">
        <f>SUM(E26:E29)</f>
        <v>9.5</v>
      </c>
      <c r="F33" s="56" t="s">
        <v>10</v>
      </c>
    </row>
    <row r="34" spans="1:6" x14ac:dyDescent="0.5">
      <c r="A34" s="227"/>
      <c r="B34" s="68" t="s">
        <v>104</v>
      </c>
      <c r="C34" s="53">
        <f>SUM(C26:C28,C30)</f>
        <v>97.850000000000009</v>
      </c>
      <c r="D34" s="54">
        <f>SUM(D26:D28,D30)</f>
        <v>95</v>
      </c>
      <c r="E34" s="57">
        <f>SUM(E26:E28,E30)</f>
        <v>9.5</v>
      </c>
      <c r="F34" s="56" t="s">
        <v>10</v>
      </c>
    </row>
    <row r="35" spans="1:6" x14ac:dyDescent="0.5">
      <c r="A35" s="227"/>
      <c r="B35" s="78" t="s">
        <v>105</v>
      </c>
      <c r="C35" s="53">
        <f>SUM(C26:C28)</f>
        <v>92.7</v>
      </c>
      <c r="D35" s="54">
        <f>SUM(D26:D28)</f>
        <v>90</v>
      </c>
      <c r="E35" s="57">
        <f>SUM(E26:E28)</f>
        <v>9</v>
      </c>
      <c r="F35" s="56" t="s">
        <v>10</v>
      </c>
    </row>
    <row r="38" spans="1:6" x14ac:dyDescent="0.5">
      <c r="A38" s="156"/>
    </row>
    <row r="39" spans="1:6" ht="14.45" customHeight="1" x14ac:dyDescent="0.5">
      <c r="A39" s="627" t="s">
        <v>319</v>
      </c>
      <c r="B39" s="627"/>
      <c r="C39" s="627"/>
      <c r="D39" s="268"/>
      <c r="E39" s="268"/>
    </row>
    <row r="40" spans="1:6" x14ac:dyDescent="0.5">
      <c r="A40" s="627"/>
      <c r="B40" s="627"/>
      <c r="C40" s="627"/>
      <c r="D40" s="268"/>
      <c r="E40" s="268"/>
    </row>
    <row r="41" spans="1:6" x14ac:dyDescent="0.5">
      <c r="C41" s="279"/>
      <c r="D41" s="268"/>
      <c r="E41" s="268"/>
    </row>
  </sheetData>
  <mergeCells count="17">
    <mergeCell ref="AO1:AU1"/>
    <mergeCell ref="Q1:W1"/>
    <mergeCell ref="Y1:AE1"/>
    <mergeCell ref="AM9:AM11"/>
    <mergeCell ref="AU9:AU11"/>
    <mergeCell ref="W9:W11"/>
    <mergeCell ref="AE9:AE11"/>
    <mergeCell ref="I1:O1"/>
    <mergeCell ref="A21:G21"/>
    <mergeCell ref="A39:C40"/>
    <mergeCell ref="AG1:AM1"/>
    <mergeCell ref="G22:H22"/>
    <mergeCell ref="G29:H29"/>
    <mergeCell ref="G30:H30"/>
    <mergeCell ref="A1:G1"/>
    <mergeCell ref="G9:G11"/>
    <mergeCell ref="O9:O11"/>
  </mergeCells>
  <conditionalFormatting sqref="B8:F8">
    <cfRule type="expression" dxfId="11" priority="10">
      <formula>$E$2="yes"</formula>
    </cfRule>
  </conditionalFormatting>
  <conditionalFormatting sqref="J8:N8">
    <cfRule type="expression" dxfId="10" priority="9">
      <formula>$M$2="yes"</formula>
    </cfRule>
  </conditionalFormatting>
  <conditionalFormatting sqref="R8:V8">
    <cfRule type="expression" dxfId="9" priority="8">
      <formula>$U$2="yes"</formula>
    </cfRule>
  </conditionalFormatting>
  <conditionalFormatting sqref="Z8:AD8">
    <cfRule type="expression" dxfId="8" priority="7">
      <formula>$AC$2="yes"</formula>
    </cfRule>
  </conditionalFormatting>
  <conditionalFormatting sqref="B28:F28">
    <cfRule type="expression" dxfId="7" priority="5">
      <formula>$E$22="yes"</formula>
    </cfRule>
  </conditionalFormatting>
  <conditionalFormatting sqref="AH8:AL8">
    <cfRule type="expression" dxfId="6" priority="2">
      <formula>$E$2="yes"</formula>
    </cfRule>
  </conditionalFormatting>
  <conditionalFormatting sqref="AP8:AT8">
    <cfRule type="expression" dxfId="5" priority="1">
      <formula>$E$2="yes"</formula>
    </cfRule>
  </conditionalFormatting>
  <pageMargins left="0.7" right="0.7" top="0.75" bottom="0.75" header="0.3" footer="0.3"/>
  <pageSetup orientation="portrait" r:id="rId1"/>
  <ignoredErrors>
    <ignoredError sqref="E5 AC5 U5 M5"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6"/>
  <sheetViews>
    <sheetView workbookViewId="0">
      <selection activeCell="B2" sqref="B2"/>
    </sheetView>
  </sheetViews>
  <sheetFormatPr defaultRowHeight="14.35" x14ac:dyDescent="0.5"/>
  <cols>
    <col min="1" max="1" width="16.52734375" customWidth="1"/>
    <col min="2" max="4" width="9.76171875" customWidth="1"/>
    <col min="5" max="5" width="4.29296875" customWidth="1"/>
    <col min="6" max="6" width="10.41015625" customWidth="1"/>
    <col min="8" max="8" width="11.87890625" customWidth="1"/>
    <col min="9" max="11" width="9.76171875" customWidth="1"/>
    <col min="12" max="12" width="8.87890625" customWidth="1"/>
    <col min="13" max="13" width="5.76171875" customWidth="1"/>
    <col min="15" max="15" width="8.17578125" customWidth="1"/>
  </cols>
  <sheetData>
    <row r="1" spans="1:13" s="15" customFormat="1" ht="21.6" customHeight="1" x14ac:dyDescent="0.5">
      <c r="A1" s="667" t="s">
        <v>282</v>
      </c>
      <c r="B1" s="667"/>
      <c r="C1" s="667"/>
      <c r="D1" s="667"/>
      <c r="E1" s="667"/>
      <c r="H1" s="669" t="s">
        <v>283</v>
      </c>
      <c r="I1" s="669"/>
      <c r="J1" s="669"/>
      <c r="K1" s="669"/>
      <c r="L1" s="669"/>
    </row>
    <row r="2" spans="1:13" x14ac:dyDescent="0.5">
      <c r="A2" s="261" t="s">
        <v>2</v>
      </c>
      <c r="B2" s="263">
        <v>0</v>
      </c>
      <c r="C2" s="314" t="s">
        <v>225</v>
      </c>
      <c r="D2" s="264">
        <v>5</v>
      </c>
      <c r="E2" s="265" t="s">
        <v>15</v>
      </c>
      <c r="F2" s="33" t="s">
        <v>229</v>
      </c>
      <c r="H2" s="261" t="s">
        <v>2</v>
      </c>
      <c r="I2" s="263">
        <v>0</v>
      </c>
      <c r="J2" s="314" t="s">
        <v>225</v>
      </c>
      <c r="K2" s="264">
        <v>5</v>
      </c>
      <c r="L2" s="265" t="s">
        <v>15</v>
      </c>
      <c r="M2" s="33" t="s">
        <v>229</v>
      </c>
    </row>
    <row r="3" spans="1:13" ht="14.7" thickBot="1" x14ac:dyDescent="0.55000000000000004">
      <c r="A3" s="262"/>
      <c r="B3" s="262"/>
      <c r="C3" s="315" t="s">
        <v>227</v>
      </c>
      <c r="D3" s="266">
        <v>50</v>
      </c>
      <c r="E3" s="267" t="s">
        <v>10</v>
      </c>
      <c r="H3" s="262"/>
      <c r="I3" s="262"/>
      <c r="J3" s="315" t="s">
        <v>227</v>
      </c>
      <c r="K3" s="266">
        <v>50</v>
      </c>
      <c r="L3" s="267" t="s">
        <v>10</v>
      </c>
    </row>
    <row r="4" spans="1:13" x14ac:dyDescent="0.5">
      <c r="A4" s="65" t="s">
        <v>3</v>
      </c>
      <c r="B4" s="249">
        <v>0</v>
      </c>
      <c r="C4" s="250">
        <v>0</v>
      </c>
      <c r="D4" s="251"/>
      <c r="E4" s="64"/>
      <c r="H4" s="65" t="s">
        <v>3</v>
      </c>
      <c r="I4" s="249">
        <v>0</v>
      </c>
      <c r="J4" s="250">
        <v>0</v>
      </c>
      <c r="K4" s="251"/>
      <c r="L4" s="64"/>
    </row>
    <row r="5" spans="1:13" ht="14.7" thickBot="1" x14ac:dyDescent="0.55000000000000004">
      <c r="A5" s="252" t="s">
        <v>2</v>
      </c>
      <c r="B5" s="253">
        <f>B2*(1+B4)</f>
        <v>0</v>
      </c>
      <c r="C5" s="254">
        <f>B2*(1+C4)</f>
        <v>0</v>
      </c>
      <c r="D5" s="255" t="s">
        <v>7</v>
      </c>
      <c r="E5" s="256"/>
      <c r="H5" s="252" t="s">
        <v>2</v>
      </c>
      <c r="I5" s="253">
        <f>I2*(1+I4)</f>
        <v>0</v>
      </c>
      <c r="J5" s="254">
        <f>I2*(1+J4)</f>
        <v>0</v>
      </c>
      <c r="K5" s="255" t="s">
        <v>7</v>
      </c>
      <c r="L5" s="256"/>
    </row>
    <row r="6" spans="1:13" ht="14.7" thickTop="1" x14ac:dyDescent="0.5">
      <c r="A6" s="65"/>
      <c r="B6" s="64"/>
      <c r="C6" s="66"/>
      <c r="D6" s="67"/>
      <c r="E6" s="64"/>
      <c r="H6" s="65"/>
      <c r="I6" s="64"/>
      <c r="J6" s="66"/>
      <c r="K6" s="67"/>
      <c r="L6" s="64"/>
    </row>
    <row r="7" spans="1:13" x14ac:dyDescent="0.5">
      <c r="A7" s="65" t="s">
        <v>226</v>
      </c>
      <c r="B7" s="316">
        <f>B2*(1+B4)*D7</f>
        <v>0</v>
      </c>
      <c r="C7" s="214">
        <f>B2*(1+C4)*D7</f>
        <v>0</v>
      </c>
      <c r="D7" s="257">
        <v>40</v>
      </c>
      <c r="E7" s="64" t="s">
        <v>10</v>
      </c>
      <c r="F7" s="33" t="s">
        <v>228</v>
      </c>
      <c r="H7" s="65" t="s">
        <v>226</v>
      </c>
      <c r="I7" s="316">
        <f>I2*(1+I4)*K7</f>
        <v>0</v>
      </c>
      <c r="J7" s="214">
        <f>I2*(1+J4)*K7</f>
        <v>0</v>
      </c>
      <c r="K7" s="257">
        <v>40</v>
      </c>
      <c r="L7" s="64" t="s">
        <v>10</v>
      </c>
      <c r="M7" s="33" t="s">
        <v>228</v>
      </c>
    </row>
    <row r="8" spans="1:13" x14ac:dyDescent="0.5">
      <c r="A8" s="258"/>
      <c r="B8" s="317" t="str">
        <f>CONCATENATE("=",B7/D3, " tubes")</f>
        <v>=0 tubes</v>
      </c>
      <c r="C8" s="221" t="str">
        <f>CONCATENATE(,C7/D3, " tubes")</f>
        <v>0 tubes</v>
      </c>
      <c r="F8" s="33"/>
      <c r="H8" s="258"/>
      <c r="I8" s="317" t="str">
        <f>CONCATENATE("=",I7/K3, " tubes")</f>
        <v>=0 tubes</v>
      </c>
      <c r="J8" s="221" t="str">
        <f>CONCATENATE(,J7/K3, " tubes")</f>
        <v>0 tubes</v>
      </c>
      <c r="M8" s="33"/>
    </row>
    <row r="9" spans="1:13" x14ac:dyDescent="0.5">
      <c r="A9" s="65" t="s">
        <v>224</v>
      </c>
      <c r="B9" s="167">
        <f>B2*(1+B4)*D9</f>
        <v>0</v>
      </c>
      <c r="C9" s="214">
        <f>B2*(1+C4)*D9</f>
        <v>0</v>
      </c>
      <c r="D9" s="259">
        <f>IF(D2&gt;0,D7/(D2-1),0)</f>
        <v>10</v>
      </c>
      <c r="E9" s="64" t="s">
        <v>10</v>
      </c>
      <c r="H9" s="65" t="s">
        <v>224</v>
      </c>
      <c r="I9" s="167">
        <f>I2*(1+I4)*K9</f>
        <v>0</v>
      </c>
      <c r="J9" s="214">
        <f>I2*(1+J4)*K9</f>
        <v>0</v>
      </c>
      <c r="K9" s="259">
        <f>IF(K2&gt;0,K7/(K2-1),0)</f>
        <v>10</v>
      </c>
      <c r="L9" s="64" t="s">
        <v>10</v>
      </c>
    </row>
    <row r="10" spans="1:13" x14ac:dyDescent="0.5">
      <c r="A10" s="64"/>
      <c r="B10" s="210"/>
      <c r="C10" s="214"/>
      <c r="D10" s="210"/>
      <c r="E10" s="64"/>
      <c r="H10" s="64"/>
      <c r="I10" s="210"/>
      <c r="J10" s="214"/>
      <c r="K10" s="210"/>
      <c r="L10" s="64"/>
    </row>
    <row r="11" spans="1:13" x14ac:dyDescent="0.5">
      <c r="A11" s="65" t="s">
        <v>4</v>
      </c>
      <c r="B11" s="167">
        <f>SUM(B7,B9)</f>
        <v>0</v>
      </c>
      <c r="C11" s="215">
        <f>SUM(C7,C9)</f>
        <v>0</v>
      </c>
      <c r="D11" s="260">
        <f>SUM(D7,D9)</f>
        <v>50</v>
      </c>
      <c r="E11" s="64" t="s">
        <v>10</v>
      </c>
      <c r="H11" s="65" t="s">
        <v>4</v>
      </c>
      <c r="I11" s="167">
        <f>SUM(I7,I9)</f>
        <v>0</v>
      </c>
      <c r="J11" s="215">
        <f>SUM(J7,J9)</f>
        <v>0</v>
      </c>
      <c r="K11" s="260">
        <f>SUM(K7,K9)</f>
        <v>50</v>
      </c>
      <c r="L11" s="64" t="s">
        <v>10</v>
      </c>
    </row>
    <row r="15" spans="1:13" ht="18" x14ac:dyDescent="0.5">
      <c r="A15" s="668" t="s">
        <v>98</v>
      </c>
      <c r="B15" s="668"/>
      <c r="C15" s="668"/>
      <c r="D15" s="668"/>
      <c r="E15" s="668"/>
      <c r="F15" s="668"/>
      <c r="H15" s="668" t="s">
        <v>62</v>
      </c>
      <c r="I15" s="668"/>
      <c r="J15" s="668"/>
      <c r="K15" s="668"/>
      <c r="L15" s="668"/>
    </row>
    <row r="16" spans="1:13" ht="14.7" thickBot="1" x14ac:dyDescent="0.55000000000000004">
      <c r="A16" s="187" t="s">
        <v>2</v>
      </c>
      <c r="B16" s="305"/>
      <c r="C16" s="303">
        <f>B16</f>
        <v>0</v>
      </c>
      <c r="D16" s="306" t="s">
        <v>7</v>
      </c>
      <c r="H16" s="187" t="s">
        <v>2</v>
      </c>
      <c r="I16" s="188">
        <v>8</v>
      </c>
      <c r="J16" s="307"/>
      <c r="K16" s="308"/>
    </row>
    <row r="17" spans="1:15" x14ac:dyDescent="0.5">
      <c r="A17" s="1" t="s">
        <v>3</v>
      </c>
      <c r="B17" s="76">
        <v>0.05</v>
      </c>
      <c r="C17" s="216">
        <v>0</v>
      </c>
      <c r="D17" s="217"/>
      <c r="H17" s="311" t="s">
        <v>3</v>
      </c>
      <c r="I17" s="20">
        <v>0.05</v>
      </c>
      <c r="J17" s="312">
        <v>0</v>
      </c>
      <c r="K17" s="313"/>
    </row>
    <row r="18" spans="1:15" ht="14.7" thickBot="1" x14ac:dyDescent="0.55000000000000004">
      <c r="A18" s="302" t="s">
        <v>2</v>
      </c>
      <c r="B18" s="334">
        <f>B16*(1+B17)</f>
        <v>0</v>
      </c>
      <c r="C18" s="303">
        <f>C16*(1+C17)</f>
        <v>0</v>
      </c>
      <c r="D18" s="304" t="s">
        <v>7</v>
      </c>
      <c r="H18" s="187" t="s">
        <v>2</v>
      </c>
      <c r="I18" s="334">
        <f>I16*(1+I17)</f>
        <v>8.4</v>
      </c>
      <c r="J18" s="309">
        <f>I16*(1+J17)</f>
        <v>8</v>
      </c>
      <c r="K18" s="310" t="s">
        <v>7</v>
      </c>
    </row>
    <row r="19" spans="1:15" x14ac:dyDescent="0.5">
      <c r="A19" s="1" t="s">
        <v>51</v>
      </c>
      <c r="B19" s="334">
        <f>B18*D19</f>
        <v>0</v>
      </c>
      <c r="C19" s="214">
        <f>C18*D19</f>
        <v>0</v>
      </c>
      <c r="D19" s="218">
        <v>1.667</v>
      </c>
      <c r="E19" s="7" t="s">
        <v>52</v>
      </c>
      <c r="F19" s="21" t="s">
        <v>53</v>
      </c>
      <c r="H19" s="1" t="s">
        <v>51</v>
      </c>
      <c r="I19" s="334">
        <f>I18*K19</f>
        <v>42</v>
      </c>
      <c r="J19" s="214">
        <f>J18*K19</f>
        <v>40</v>
      </c>
      <c r="K19">
        <v>5</v>
      </c>
      <c r="L19" s="7" t="s">
        <v>52</v>
      </c>
      <c r="O19" s="21"/>
    </row>
    <row r="20" spans="1:15" ht="12.6" customHeight="1" x14ac:dyDescent="0.5">
      <c r="B20" s="172"/>
      <c r="C20" s="172"/>
      <c r="D20" s="219"/>
      <c r="F20" s="21"/>
      <c r="I20" s="172"/>
      <c r="J20" s="215"/>
      <c r="K20" s="31"/>
      <c r="O20" s="21"/>
    </row>
    <row r="21" spans="1:15" ht="16.350000000000001" x14ac:dyDescent="0.65">
      <c r="A21" s="1" t="s">
        <v>8</v>
      </c>
      <c r="B21" s="334">
        <f>B18*D21</f>
        <v>0</v>
      </c>
      <c r="C21" s="214">
        <f>C18*D21</f>
        <v>0</v>
      </c>
      <c r="D21" s="220">
        <v>16.667000000000002</v>
      </c>
      <c r="E21" s="7" t="s">
        <v>10</v>
      </c>
      <c r="H21" s="1" t="s">
        <v>63</v>
      </c>
      <c r="I21" s="334">
        <f>I18*K21</f>
        <v>0</v>
      </c>
      <c r="J21" s="214">
        <f>J18*K21</f>
        <v>0</v>
      </c>
      <c r="K21" s="26">
        <v>0</v>
      </c>
      <c r="L21" s="7" t="s">
        <v>10</v>
      </c>
      <c r="O21" s="21"/>
    </row>
    <row r="22" spans="1:15" ht="16.350000000000001" x14ac:dyDescent="0.65">
      <c r="A22" s="1" t="s">
        <v>6</v>
      </c>
      <c r="B22" s="334">
        <f>B18*D22</f>
        <v>0</v>
      </c>
      <c r="C22" s="214">
        <f>C18*D22</f>
        <v>0</v>
      </c>
      <c r="D22" s="220">
        <v>80</v>
      </c>
      <c r="E22" s="7" t="s">
        <v>10</v>
      </c>
      <c r="H22" s="1" t="s">
        <v>8</v>
      </c>
      <c r="I22" s="334">
        <f>I18*K22</f>
        <v>420</v>
      </c>
      <c r="J22" s="214">
        <f>J18*K22</f>
        <v>400</v>
      </c>
      <c r="K22" s="74">
        <f>50-K21</f>
        <v>50</v>
      </c>
      <c r="L22" s="7" t="s">
        <v>10</v>
      </c>
    </row>
    <row r="23" spans="1:15" x14ac:dyDescent="0.5">
      <c r="A23" s="1" t="s">
        <v>68</v>
      </c>
      <c r="B23" s="334">
        <f>B18*D23</f>
        <v>0</v>
      </c>
      <c r="C23" s="214">
        <f>C18*D23</f>
        <v>0</v>
      </c>
      <c r="D23" s="220">
        <v>24</v>
      </c>
      <c r="E23" s="7" t="s">
        <v>10</v>
      </c>
      <c r="H23" s="1" t="s">
        <v>201</v>
      </c>
      <c r="I23" s="334">
        <f>I18*K23</f>
        <v>420</v>
      </c>
      <c r="J23" s="214">
        <f>J18*K23</f>
        <v>400</v>
      </c>
      <c r="K23">
        <v>50</v>
      </c>
      <c r="L23" s="7" t="s">
        <v>10</v>
      </c>
    </row>
    <row r="24" spans="1:15" x14ac:dyDescent="0.5">
      <c r="A24" s="1" t="s">
        <v>67</v>
      </c>
      <c r="B24" s="334">
        <f>B18*D24</f>
        <v>0</v>
      </c>
      <c r="C24" s="214">
        <f>C18*D24</f>
        <v>0</v>
      </c>
      <c r="D24" s="220">
        <v>8.3330000000000002</v>
      </c>
      <c r="E24" s="7" t="s">
        <v>10</v>
      </c>
      <c r="H24" s="1" t="s">
        <v>64</v>
      </c>
      <c r="I24" s="334">
        <f>I18*K24</f>
        <v>2016</v>
      </c>
      <c r="J24" s="214">
        <f>J18*K24</f>
        <v>1920</v>
      </c>
      <c r="K24">
        <v>240</v>
      </c>
      <c r="L24" s="7" t="s">
        <v>10</v>
      </c>
    </row>
    <row r="25" spans="1:15" x14ac:dyDescent="0.5">
      <c r="A25" s="1"/>
      <c r="B25" s="213"/>
      <c r="C25" s="214"/>
      <c r="D25" s="217"/>
      <c r="E25" s="7"/>
      <c r="H25" s="1" t="s">
        <v>68</v>
      </c>
      <c r="I25" s="334">
        <f>I18*K25</f>
        <v>302.40000000000003</v>
      </c>
      <c r="J25" s="214">
        <f>J18*K25</f>
        <v>288</v>
      </c>
      <c r="K25">
        <v>36</v>
      </c>
      <c r="L25" s="7" t="s">
        <v>10</v>
      </c>
    </row>
    <row r="26" spans="1:15" x14ac:dyDescent="0.5">
      <c r="A26" s="1" t="s">
        <v>4</v>
      </c>
      <c r="B26" s="334">
        <f>SUM(B21:B24)</f>
        <v>0</v>
      </c>
      <c r="C26" s="214">
        <f>SUM(C21:C24)</f>
        <v>0</v>
      </c>
      <c r="D26" s="334">
        <f>SUM(D21:D24)</f>
        <v>129</v>
      </c>
      <c r="E26" s="7" t="s">
        <v>10</v>
      </c>
      <c r="H26" s="1" t="s">
        <v>67</v>
      </c>
      <c r="I26" s="334">
        <f>I18*K26</f>
        <v>210</v>
      </c>
      <c r="J26" s="214">
        <f>J18*K26</f>
        <v>200</v>
      </c>
      <c r="K26">
        <v>25</v>
      </c>
      <c r="L26" s="7" t="s">
        <v>10</v>
      </c>
    </row>
    <row r="27" spans="1:15" x14ac:dyDescent="0.5">
      <c r="A27" s="1" t="s">
        <v>9</v>
      </c>
      <c r="B27" s="334">
        <f>SUM(B22:B24)</f>
        <v>0</v>
      </c>
      <c r="C27" s="214">
        <f>SUM(C22:C24)</f>
        <v>0</v>
      </c>
      <c r="D27" s="334">
        <f>SUM(D22:D24)</f>
        <v>112.333</v>
      </c>
      <c r="E27" s="7" t="s">
        <v>10</v>
      </c>
      <c r="H27" s="1"/>
      <c r="I27" s="213"/>
      <c r="J27" s="214"/>
      <c r="K27" s="19"/>
      <c r="L27" s="7"/>
    </row>
    <row r="28" spans="1:15" x14ac:dyDescent="0.5">
      <c r="A28" s="1"/>
      <c r="H28" s="1" t="s">
        <v>4</v>
      </c>
      <c r="I28" s="334">
        <f>SUM(I22:I26)</f>
        <v>3368.4</v>
      </c>
      <c r="J28" s="214">
        <f>SUM(J22:J26)</f>
        <v>3208</v>
      </c>
      <c r="K28" s="22">
        <f>SUM(K21:K26)</f>
        <v>401</v>
      </c>
      <c r="L28" s="7" t="s">
        <v>10</v>
      </c>
    </row>
    <row r="29" spans="1:15" x14ac:dyDescent="0.5">
      <c r="A29" t="str">
        <f>CONCATENATE("1) Grow ", B19, " ", E19, " log phase yeast culture.")</f>
        <v>1) Grow 0 mL log phase yeast culture.</v>
      </c>
      <c r="H29" s="1" t="s">
        <v>99</v>
      </c>
      <c r="I29" s="334">
        <f>SUM(I23:I26)</f>
        <v>2948.4</v>
      </c>
      <c r="J29" s="214">
        <f>SUM(J23:J26)</f>
        <v>2808</v>
      </c>
      <c r="K29" s="22">
        <f>SUM(K24:K26)</f>
        <v>301</v>
      </c>
      <c r="L29" s="7" t="s">
        <v>10</v>
      </c>
    </row>
    <row r="30" spans="1:15" x14ac:dyDescent="0.5">
      <c r="A30" s="18" t="str">
        <f>CONCATENATE("2) Make ", B27, " ", E27, " PEG/LiOAc/ssDNA soln.")</f>
        <v>2) Make 0 µL PEG/LiOAc/ssDNA soln.</v>
      </c>
      <c r="C30" s="18"/>
      <c r="D30" s="18"/>
      <c r="J30" s="1"/>
    </row>
    <row r="31" spans="1:15" x14ac:dyDescent="0.5">
      <c r="A31" t="s">
        <v>230</v>
      </c>
      <c r="C31" s="18"/>
      <c r="D31" s="18"/>
      <c r="I31" t="str">
        <f>CONCATENATE("1) Grow ", I19, " ", L19, " log phase yeast culture.")</f>
        <v>1) Grow 42 mL log phase yeast culture.</v>
      </c>
      <c r="J31" s="9"/>
    </row>
    <row r="32" spans="1:15" x14ac:dyDescent="0.5">
      <c r="A32" s="18" t="str">
        <f>CONCATENATE("4) Resuspend cell pellet(s) in ", B21, " ", E21, " sterile water.")</f>
        <v>4) Resuspend cell pellet(s) in 0 µL sterile water.</v>
      </c>
      <c r="C32" s="18"/>
      <c r="D32" s="18"/>
      <c r="I32" s="18" t="str">
        <f>CONCATENATE("2) Make ", I29, " ", L29, " PEG/LiOAc/ssDNA soln.")</f>
        <v>2) Make 2948.4 µL PEG/LiOAc/ssDNA soln.</v>
      </c>
      <c r="J32" s="9"/>
      <c r="L32" s="18"/>
      <c r="M32" s="18"/>
    </row>
    <row r="33" spans="1:13" x14ac:dyDescent="0.5">
      <c r="A33" s="18" t="s">
        <v>231</v>
      </c>
      <c r="C33" s="18"/>
      <c r="D33" s="18"/>
      <c r="I33" t="s">
        <v>230</v>
      </c>
      <c r="J33" s="9"/>
      <c r="L33" s="18"/>
      <c r="M33" s="18"/>
    </row>
    <row r="34" spans="1:13" x14ac:dyDescent="0.5">
      <c r="A34" s="18" t="str">
        <f>CONCATENATE("6) Add ", D27, " ", E27, " cell/PEG/LiOAc/ssDNA soln to DNA tubes.")</f>
        <v>6) Add 112.333 µL cell/PEG/LiOAc/ssDNA soln to DNA tubes.</v>
      </c>
      <c r="I34" s="18" t="str">
        <f>CONCATENATE("4) Resuspend cell pellet(s) in ", I22, " ", L22, " 100 mM LioOAC.")</f>
        <v>4) Resuspend cell pellet(s) in 420 µL 100 mM LioOAC.</v>
      </c>
      <c r="J34" s="9"/>
      <c r="L34" s="18"/>
      <c r="M34" s="18"/>
    </row>
    <row r="35" spans="1:13" x14ac:dyDescent="0.5">
      <c r="A35" t="s">
        <v>54</v>
      </c>
      <c r="I35" s="18" t="s">
        <v>231</v>
      </c>
      <c r="J35" s="9"/>
      <c r="L35" s="18"/>
      <c r="M35" s="18"/>
    </row>
    <row r="36" spans="1:13" x14ac:dyDescent="0.5">
      <c r="A36" t="s">
        <v>55</v>
      </c>
      <c r="I36" s="18" t="str">
        <f>CONCATENATE("6) Add ", K29, " ", L29, " cell/PEG/LiOAc/ssDNA soln to DNA tubes.")</f>
        <v>6) Add 301 µL cell/PEG/LiOAc/ssDNA soln to DNA tubes.</v>
      </c>
      <c r="J36" s="9"/>
    </row>
    <row r="37" spans="1:13" x14ac:dyDescent="0.5">
      <c r="I37" t="s">
        <v>66</v>
      </c>
    </row>
    <row r="38" spans="1:13" x14ac:dyDescent="0.5">
      <c r="I38" t="s">
        <v>65</v>
      </c>
    </row>
    <row r="43" spans="1:13" ht="14.45" customHeight="1" x14ac:dyDescent="0.5">
      <c r="A43" s="627" t="s">
        <v>319</v>
      </c>
      <c r="B43" s="627"/>
      <c r="C43" s="268"/>
      <c r="D43" s="268"/>
    </row>
    <row r="44" spans="1:13" ht="13.85" customHeight="1" x14ac:dyDescent="0.5">
      <c r="A44" s="627"/>
      <c r="B44" s="627"/>
      <c r="C44" s="268"/>
      <c r="D44" s="268"/>
    </row>
    <row r="45" spans="1:13" x14ac:dyDescent="0.5">
      <c r="B45" s="279"/>
      <c r="C45" s="268"/>
      <c r="D45" s="268"/>
    </row>
    <row r="66" spans="1:1" x14ac:dyDescent="0.5">
      <c r="A66" s="156" t="s">
        <v>171</v>
      </c>
    </row>
  </sheetData>
  <mergeCells count="5">
    <mergeCell ref="A1:E1"/>
    <mergeCell ref="A15:F15"/>
    <mergeCell ref="H1:L1"/>
    <mergeCell ref="H15:L15"/>
    <mergeCell ref="A43:B4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7"/>
  <sheetViews>
    <sheetView zoomScaleNormal="100" workbookViewId="0">
      <selection activeCell="B2" sqref="B2"/>
    </sheetView>
  </sheetViews>
  <sheetFormatPr defaultRowHeight="14.35" x14ac:dyDescent="0.5"/>
  <cols>
    <col min="1" max="1" width="15.1171875" customWidth="1"/>
    <col min="5" max="5" width="3.29296875" customWidth="1"/>
    <col min="6" max="6" width="11.29296875" customWidth="1"/>
    <col min="7" max="7" width="13.703125" customWidth="1"/>
    <col min="8" max="8" width="14" customWidth="1"/>
    <col min="12" max="12" width="3.87890625" customWidth="1"/>
    <col min="13" max="13" width="13.41015625" customWidth="1"/>
    <col min="15" max="15" width="14.1171875" customWidth="1"/>
    <col min="19" max="19" width="5.1171875" customWidth="1"/>
    <col min="21" max="21" width="13.703125" customWidth="1"/>
  </cols>
  <sheetData>
    <row r="1" spans="1:20" ht="21" customHeight="1" x14ac:dyDescent="0.5">
      <c r="A1" s="655" t="s">
        <v>236</v>
      </c>
      <c r="B1" s="655"/>
      <c r="C1" s="655"/>
      <c r="D1" s="655"/>
      <c r="E1" s="655"/>
      <c r="F1" s="655"/>
      <c r="H1" s="672" t="s">
        <v>232</v>
      </c>
      <c r="I1" s="672"/>
      <c r="J1" s="672"/>
      <c r="K1" s="672"/>
      <c r="L1" s="672"/>
      <c r="M1" s="672"/>
      <c r="O1" s="662" t="s">
        <v>173</v>
      </c>
      <c r="P1" s="662"/>
      <c r="Q1" s="662"/>
      <c r="R1" s="662"/>
      <c r="S1" s="662"/>
      <c r="T1" s="662"/>
    </row>
    <row r="2" spans="1:20" ht="15" customHeight="1" x14ac:dyDescent="0.5">
      <c r="A2" s="59" t="s">
        <v>248</v>
      </c>
      <c r="B2" s="163"/>
      <c r="C2" s="158" t="s">
        <v>234</v>
      </c>
      <c r="D2" s="48"/>
      <c r="E2" s="268" t="s">
        <v>235</v>
      </c>
      <c r="F2" s="268"/>
      <c r="H2" s="59" t="s">
        <v>248</v>
      </c>
      <c r="I2" s="163">
        <v>10</v>
      </c>
      <c r="J2" s="158" t="s">
        <v>234</v>
      </c>
      <c r="K2" s="299">
        <v>25</v>
      </c>
      <c r="L2" s="268" t="s">
        <v>235</v>
      </c>
      <c r="M2" s="268"/>
      <c r="O2" s="59" t="s">
        <v>248</v>
      </c>
      <c r="P2" s="163">
        <v>10</v>
      </c>
      <c r="Q2" s="158" t="s">
        <v>234</v>
      </c>
      <c r="R2" s="299">
        <v>3.2</v>
      </c>
      <c r="S2" s="268" t="s">
        <v>235</v>
      </c>
      <c r="T2" s="268"/>
    </row>
    <row r="3" spans="1:20" ht="14.7" thickBot="1" x14ac:dyDescent="0.55000000000000004">
      <c r="A3" s="69" t="s">
        <v>217</v>
      </c>
      <c r="B3" s="164">
        <v>10</v>
      </c>
      <c r="C3" s="38" t="s">
        <v>14</v>
      </c>
      <c r="F3" s="268"/>
      <c r="H3" s="69" t="s">
        <v>217</v>
      </c>
      <c r="I3" s="164">
        <v>10</v>
      </c>
      <c r="J3" s="38" t="s">
        <v>14</v>
      </c>
      <c r="M3" s="268"/>
      <c r="O3" s="69" t="s">
        <v>217</v>
      </c>
      <c r="P3" s="164">
        <v>10</v>
      </c>
      <c r="Q3" s="38" t="s">
        <v>14</v>
      </c>
      <c r="R3" s="268"/>
      <c r="S3" s="268"/>
      <c r="T3" s="268"/>
    </row>
    <row r="4" spans="1:20" ht="15.6" customHeight="1" thickTop="1" x14ac:dyDescent="0.5">
      <c r="A4" s="59" t="s">
        <v>3</v>
      </c>
      <c r="B4" s="166">
        <v>0</v>
      </c>
      <c r="C4" s="157">
        <v>0</v>
      </c>
      <c r="D4" s="72" t="s">
        <v>38</v>
      </c>
      <c r="E4" s="268"/>
      <c r="F4" s="268"/>
      <c r="H4" s="59" t="s">
        <v>3</v>
      </c>
      <c r="I4" s="166">
        <v>0</v>
      </c>
      <c r="J4" s="157">
        <v>0</v>
      </c>
      <c r="K4" s="72" t="s">
        <v>38</v>
      </c>
      <c r="L4" s="268"/>
      <c r="M4" s="268"/>
      <c r="O4" s="59" t="s">
        <v>3</v>
      </c>
      <c r="P4" s="166">
        <v>0</v>
      </c>
      <c r="Q4" s="157">
        <v>0</v>
      </c>
      <c r="R4" s="72" t="s">
        <v>38</v>
      </c>
      <c r="S4" s="268"/>
      <c r="T4" s="268"/>
    </row>
    <row r="5" spans="1:20" x14ac:dyDescent="0.5">
      <c r="A5" s="1"/>
      <c r="B5" s="51"/>
      <c r="C5" s="27"/>
      <c r="D5" s="5"/>
      <c r="E5" s="268"/>
      <c r="F5" s="268"/>
      <c r="H5" s="1"/>
      <c r="I5" s="51"/>
      <c r="J5" s="27"/>
      <c r="K5" s="5"/>
      <c r="L5" s="268"/>
      <c r="M5" s="268"/>
      <c r="O5" s="1"/>
      <c r="P5" s="51"/>
      <c r="Q5" s="27"/>
      <c r="R5" s="5"/>
      <c r="S5" s="268"/>
      <c r="T5" s="268"/>
    </row>
    <row r="6" spans="1:20" x14ac:dyDescent="0.5">
      <c r="A6" s="63" t="s">
        <v>249</v>
      </c>
      <c r="B6" s="167">
        <f>B2*(1+B4)</f>
        <v>0</v>
      </c>
      <c r="C6" s="168">
        <f>B2*(1+C4)</f>
        <v>0</v>
      </c>
      <c r="D6" s="75" t="s">
        <v>7</v>
      </c>
      <c r="E6" s="64"/>
      <c r="F6" s="268"/>
      <c r="H6" s="63" t="s">
        <v>249</v>
      </c>
      <c r="I6" s="167">
        <f>I2*(1+I4)</f>
        <v>10</v>
      </c>
      <c r="J6" s="168">
        <f>I2*(1+J4)</f>
        <v>10</v>
      </c>
      <c r="K6" s="75" t="s">
        <v>7</v>
      </c>
      <c r="L6" s="64"/>
      <c r="M6" s="268"/>
      <c r="O6" s="63" t="s">
        <v>249</v>
      </c>
      <c r="P6" s="167">
        <f>P2*(1+P4)</f>
        <v>10</v>
      </c>
      <c r="Q6" s="168">
        <f>P2*(1+Q4)</f>
        <v>10</v>
      </c>
      <c r="R6" s="75" t="s">
        <v>7</v>
      </c>
      <c r="S6" s="64"/>
      <c r="T6" s="268"/>
    </row>
    <row r="7" spans="1:20" x14ac:dyDescent="0.5">
      <c r="A7" s="65"/>
      <c r="B7" s="64"/>
      <c r="C7" s="66"/>
      <c r="D7" s="67"/>
      <c r="E7" s="64"/>
      <c r="F7" s="268"/>
      <c r="H7" s="65"/>
      <c r="I7" s="64"/>
      <c r="J7" s="66"/>
      <c r="K7" s="67"/>
      <c r="L7" s="64"/>
      <c r="M7" s="268"/>
      <c r="O7" s="65"/>
      <c r="P7" s="64"/>
      <c r="Q7" s="66"/>
      <c r="R7" s="67"/>
      <c r="S7" s="64"/>
      <c r="T7" s="268"/>
    </row>
    <row r="8" spans="1:20" ht="16.350000000000001" x14ac:dyDescent="0.65">
      <c r="A8" s="65" t="s">
        <v>95</v>
      </c>
      <c r="B8" s="167">
        <f>B6*D8</f>
        <v>0</v>
      </c>
      <c r="C8" s="169">
        <f>C6*D8</f>
        <v>0</v>
      </c>
      <c r="D8" s="170">
        <f>D12-SUM(D9:D10)</f>
        <v>15</v>
      </c>
      <c r="E8" s="64" t="s">
        <v>10</v>
      </c>
      <c r="F8" s="268"/>
      <c r="H8" s="65" t="s">
        <v>95</v>
      </c>
      <c r="I8" s="167">
        <f>I6*K8</f>
        <v>100</v>
      </c>
      <c r="J8" s="169">
        <f>J6*K8</f>
        <v>100</v>
      </c>
      <c r="K8" s="170">
        <f>K12-SUM(K9:K10)</f>
        <v>10</v>
      </c>
      <c r="L8" s="64" t="s">
        <v>10</v>
      </c>
      <c r="M8" s="268"/>
      <c r="O8" s="65" t="s">
        <v>95</v>
      </c>
      <c r="P8" s="167">
        <f>P6*R8</f>
        <v>101.8</v>
      </c>
      <c r="Q8" s="169">
        <f>Q6*R8</f>
        <v>101.8</v>
      </c>
      <c r="R8" s="170">
        <f>R12-SUM(R9:R10)</f>
        <v>10.18</v>
      </c>
      <c r="S8" s="64" t="s">
        <v>10</v>
      </c>
      <c r="T8" s="268"/>
    </row>
    <row r="9" spans="1:20" x14ac:dyDescent="0.5">
      <c r="A9" s="65" t="s">
        <v>181</v>
      </c>
      <c r="B9" s="167">
        <f>B6*D9</f>
        <v>0</v>
      </c>
      <c r="C9" s="169">
        <f>C6*D9</f>
        <v>0</v>
      </c>
      <c r="D9" s="167">
        <f>D2/B3</f>
        <v>0</v>
      </c>
      <c r="E9" s="64" t="s">
        <v>10</v>
      </c>
      <c r="F9" s="159"/>
      <c r="H9" s="65" t="s">
        <v>181</v>
      </c>
      <c r="I9" s="167">
        <f>I6*K9</f>
        <v>25</v>
      </c>
      <c r="J9" s="169">
        <f>J6*K9</f>
        <v>25</v>
      </c>
      <c r="K9" s="167">
        <f>K2/I3</f>
        <v>2.5</v>
      </c>
      <c r="L9" s="64" t="s">
        <v>10</v>
      </c>
      <c r="M9" s="159"/>
      <c r="O9" s="65" t="s">
        <v>181</v>
      </c>
      <c r="P9" s="167">
        <f>P6*R9</f>
        <v>3.2</v>
      </c>
      <c r="Q9" s="169">
        <f>Q6*R9</f>
        <v>3.2</v>
      </c>
      <c r="R9" s="167">
        <f>R2/P3</f>
        <v>0.32</v>
      </c>
      <c r="S9" s="64" t="s">
        <v>10</v>
      </c>
      <c r="T9" s="159" t="s">
        <v>180</v>
      </c>
    </row>
    <row r="10" spans="1:20" ht="27.6" customHeight="1" x14ac:dyDescent="0.5">
      <c r="A10" s="65" t="s">
        <v>23</v>
      </c>
      <c r="B10" s="167">
        <f>B6*D10</f>
        <v>0</v>
      </c>
      <c r="C10" s="169">
        <f>C6*D10</f>
        <v>0</v>
      </c>
      <c r="D10" s="171"/>
      <c r="E10" s="64" t="s">
        <v>10</v>
      </c>
      <c r="F10" s="297"/>
      <c r="H10" s="65" t="s">
        <v>23</v>
      </c>
      <c r="I10" s="167">
        <f>I6*K10</f>
        <v>25</v>
      </c>
      <c r="J10" s="169">
        <f>J6*K10</f>
        <v>25</v>
      </c>
      <c r="K10" s="171">
        <v>2.5</v>
      </c>
      <c r="L10" s="64" t="s">
        <v>10</v>
      </c>
      <c r="M10" s="297" t="s">
        <v>247</v>
      </c>
      <c r="O10" s="65" t="s">
        <v>23</v>
      </c>
      <c r="P10" s="167">
        <f>P6*R10</f>
        <v>25</v>
      </c>
      <c r="Q10" s="169">
        <f>Q6*R10</f>
        <v>25</v>
      </c>
      <c r="R10" s="171">
        <v>2.5</v>
      </c>
      <c r="S10" s="64" t="s">
        <v>10</v>
      </c>
      <c r="T10" s="17" t="s">
        <v>186</v>
      </c>
    </row>
    <row r="11" spans="1:20" x14ac:dyDescent="0.5">
      <c r="A11" s="268"/>
      <c r="B11" s="172"/>
      <c r="C11" s="173"/>
      <c r="D11" s="174"/>
      <c r="E11" s="268"/>
      <c r="F11" s="268"/>
      <c r="H11" s="268"/>
      <c r="I11" s="172"/>
      <c r="J11" s="173"/>
      <c r="K11" s="174"/>
      <c r="L11" s="268"/>
      <c r="M11" s="268"/>
      <c r="O11" s="268"/>
      <c r="P11" s="172"/>
      <c r="Q11" s="173"/>
      <c r="R11" s="174"/>
      <c r="S11" s="268"/>
      <c r="T11" s="268"/>
    </row>
    <row r="12" spans="1:20" x14ac:dyDescent="0.5">
      <c r="A12" s="68" t="s">
        <v>4</v>
      </c>
      <c r="B12" s="175">
        <f>SUM(B8:B10)</f>
        <v>0</v>
      </c>
      <c r="C12" s="176">
        <f>SUM(C8:C10)</f>
        <v>0</v>
      </c>
      <c r="D12" s="163">
        <v>15</v>
      </c>
      <c r="E12" s="56" t="s">
        <v>10</v>
      </c>
      <c r="F12" s="56"/>
      <c r="H12" s="68" t="s">
        <v>4</v>
      </c>
      <c r="I12" s="175">
        <f>SUM(I8:I10)</f>
        <v>150</v>
      </c>
      <c r="J12" s="176">
        <f>SUM(J8:J10)</f>
        <v>150</v>
      </c>
      <c r="K12" s="298">
        <v>15</v>
      </c>
      <c r="L12" s="56" t="s">
        <v>10</v>
      </c>
      <c r="M12" s="56" t="s">
        <v>233</v>
      </c>
      <c r="O12" s="68" t="s">
        <v>4</v>
      </c>
      <c r="P12" s="175">
        <f>SUM(P8:P10)</f>
        <v>130</v>
      </c>
      <c r="Q12" s="176">
        <f>SUM(Q8:Q10)</f>
        <v>130</v>
      </c>
      <c r="R12" s="298">
        <v>13</v>
      </c>
      <c r="S12" s="56" t="s">
        <v>10</v>
      </c>
      <c r="T12" s="56" t="s">
        <v>187</v>
      </c>
    </row>
    <row r="13" spans="1:20" ht="16.350000000000001" x14ac:dyDescent="0.65">
      <c r="A13" s="68" t="s">
        <v>188</v>
      </c>
      <c r="B13" s="175">
        <f>SUM(B8:B9)</f>
        <v>0</v>
      </c>
      <c r="C13" s="176">
        <f>SUM(C8:C9)</f>
        <v>0</v>
      </c>
      <c r="D13" s="177">
        <f>SUM(D8:D9)</f>
        <v>15</v>
      </c>
      <c r="E13" s="56" t="s">
        <v>10</v>
      </c>
      <c r="F13" s="268"/>
      <c r="H13" s="68" t="s">
        <v>188</v>
      </c>
      <c r="I13" s="175">
        <f>SUM(I8:I9)</f>
        <v>125</v>
      </c>
      <c r="J13" s="176">
        <f>SUM(J8:J9)</f>
        <v>125</v>
      </c>
      <c r="K13" s="177">
        <f>SUM(K8:K9)</f>
        <v>12.5</v>
      </c>
      <c r="L13" s="56" t="s">
        <v>10</v>
      </c>
      <c r="M13" s="268"/>
      <c r="O13" s="68" t="s">
        <v>188</v>
      </c>
      <c r="P13" s="175">
        <f>SUM(P8:P9)</f>
        <v>105</v>
      </c>
      <c r="Q13" s="176">
        <f>SUM(Q8:Q9)</f>
        <v>105</v>
      </c>
      <c r="R13" s="177">
        <f>SUM(R8:R9)</f>
        <v>10.5</v>
      </c>
      <c r="S13" s="56" t="s">
        <v>10</v>
      </c>
      <c r="T13" s="268"/>
    </row>
    <row r="14" spans="1:20" ht="16.350000000000001" x14ac:dyDescent="0.65">
      <c r="A14" s="68" t="s">
        <v>189</v>
      </c>
      <c r="B14" s="175">
        <f>SUM(B8,B10)</f>
        <v>0</v>
      </c>
      <c r="C14" s="176">
        <f>SUM(C8,C10)</f>
        <v>0</v>
      </c>
      <c r="D14" s="177">
        <f>SUM(D8,D10)</f>
        <v>15</v>
      </c>
      <c r="E14" s="56" t="s">
        <v>10</v>
      </c>
      <c r="F14" s="268"/>
      <c r="H14" s="68" t="s">
        <v>189</v>
      </c>
      <c r="I14" s="175">
        <f>SUM(I8,I10)</f>
        <v>125</v>
      </c>
      <c r="J14" s="176">
        <f>SUM(J8,J10)</f>
        <v>125</v>
      </c>
      <c r="K14" s="177">
        <f>SUM(K8,K10)</f>
        <v>12.5</v>
      </c>
      <c r="L14" s="56" t="s">
        <v>10</v>
      </c>
      <c r="M14" s="268"/>
      <c r="O14" s="68" t="s">
        <v>189</v>
      </c>
      <c r="P14" s="175">
        <f>SUM(P8,P10)</f>
        <v>126.8</v>
      </c>
      <c r="Q14" s="176">
        <f>SUM(Q8,Q10)</f>
        <v>126.8</v>
      </c>
      <c r="R14" s="177">
        <f>SUM(R8,R10)</f>
        <v>12.68</v>
      </c>
      <c r="S14" s="56" t="s">
        <v>10</v>
      </c>
      <c r="T14" s="268"/>
    </row>
    <row r="15" spans="1:20" ht="14.7" thickBot="1" x14ac:dyDescent="0.55000000000000004">
      <c r="A15" s="268"/>
      <c r="B15" s="268"/>
      <c r="C15" s="268"/>
      <c r="D15" s="268"/>
      <c r="E15" s="268"/>
      <c r="F15" s="268"/>
      <c r="O15" s="268"/>
      <c r="P15" s="268"/>
      <c r="Q15" s="268"/>
      <c r="R15" s="268"/>
      <c r="S15" s="268"/>
      <c r="T15" s="268"/>
    </row>
    <row r="16" spans="1:20" ht="15" customHeight="1" thickBot="1" x14ac:dyDescent="0.55000000000000004">
      <c r="A16" s="300" t="s">
        <v>337</v>
      </c>
      <c r="O16" s="670" t="s">
        <v>174</v>
      </c>
      <c r="P16" s="671"/>
      <c r="Q16" s="670" t="s">
        <v>175</v>
      </c>
      <c r="R16" s="671"/>
      <c r="S16" s="670" t="s">
        <v>176</v>
      </c>
      <c r="T16" s="671"/>
    </row>
    <row r="17" spans="1:20" ht="14.7" thickBot="1" x14ac:dyDescent="0.55000000000000004">
      <c r="O17" s="165" t="s">
        <v>177</v>
      </c>
      <c r="P17" s="165" t="s">
        <v>178</v>
      </c>
      <c r="Q17" s="165" t="s">
        <v>177</v>
      </c>
      <c r="R17" s="165" t="s">
        <v>178</v>
      </c>
      <c r="S17" s="165" t="s">
        <v>179</v>
      </c>
      <c r="T17" s="165" t="s">
        <v>178</v>
      </c>
    </row>
    <row r="18" spans="1:20" ht="14.7" thickBot="1" x14ac:dyDescent="0.55000000000000004">
      <c r="O18" s="165" t="s">
        <v>180</v>
      </c>
      <c r="P18" s="165" t="s">
        <v>181</v>
      </c>
      <c r="Q18" s="165" t="s">
        <v>182</v>
      </c>
      <c r="R18" s="165" t="s">
        <v>181</v>
      </c>
      <c r="S18" s="165" t="s">
        <v>183</v>
      </c>
      <c r="T18" s="165" t="s">
        <v>181</v>
      </c>
    </row>
    <row r="19" spans="1:20" ht="15" customHeight="1" thickBot="1" x14ac:dyDescent="0.55000000000000004">
      <c r="O19" s="165" t="s">
        <v>184</v>
      </c>
      <c r="P19" s="165" t="s">
        <v>185</v>
      </c>
      <c r="Q19" s="165" t="s">
        <v>184</v>
      </c>
      <c r="R19" s="165" t="s">
        <v>185</v>
      </c>
      <c r="S19" s="165" t="s">
        <v>184</v>
      </c>
      <c r="T19" s="165" t="s">
        <v>185</v>
      </c>
    </row>
    <row r="20" spans="1:20" ht="14.45" customHeight="1" x14ac:dyDescent="0.5">
      <c r="A20" s="627" t="s">
        <v>319</v>
      </c>
      <c r="B20" s="627"/>
      <c r="O20" s="268"/>
      <c r="P20" s="268"/>
      <c r="Q20" s="268"/>
      <c r="R20" s="268"/>
      <c r="S20" s="268"/>
      <c r="T20" s="268"/>
    </row>
    <row r="21" spans="1:20" x14ac:dyDescent="0.5">
      <c r="A21" s="627"/>
      <c r="B21" s="627"/>
      <c r="O21" s="268"/>
      <c r="P21" s="268"/>
      <c r="Q21" s="268"/>
      <c r="R21" s="268"/>
      <c r="S21" s="268"/>
      <c r="T21" s="268"/>
    </row>
    <row r="22" spans="1:20" x14ac:dyDescent="0.5">
      <c r="O22" s="268"/>
      <c r="P22" s="268"/>
      <c r="Q22" s="268"/>
      <c r="R22" s="268"/>
      <c r="S22" s="268"/>
      <c r="T22" s="268"/>
    </row>
    <row r="23" spans="1:20" x14ac:dyDescent="0.5">
      <c r="O23" s="268"/>
      <c r="P23" s="268"/>
      <c r="Q23" s="268"/>
      <c r="R23" s="268"/>
      <c r="S23" s="268"/>
      <c r="T23" s="268"/>
    </row>
    <row r="24" spans="1:20" x14ac:dyDescent="0.5">
      <c r="O24" s="268"/>
      <c r="P24" s="268"/>
      <c r="Q24" s="268"/>
      <c r="R24" s="268"/>
      <c r="S24" s="268"/>
      <c r="T24" s="268"/>
    </row>
    <row r="25" spans="1:20" x14ac:dyDescent="0.5">
      <c r="O25" s="268"/>
      <c r="P25" s="268"/>
      <c r="Q25" s="268"/>
      <c r="R25" s="268"/>
      <c r="S25" s="268"/>
      <c r="T25" s="268"/>
    </row>
    <row r="26" spans="1:20" x14ac:dyDescent="0.5">
      <c r="O26" s="268"/>
      <c r="P26" s="268"/>
      <c r="Q26" s="268"/>
      <c r="R26" s="268"/>
      <c r="S26" s="268"/>
      <c r="T26" s="268"/>
    </row>
    <row r="27" spans="1:20" x14ac:dyDescent="0.5">
      <c r="O27" s="268"/>
      <c r="P27" s="268"/>
      <c r="Q27" s="268"/>
      <c r="R27" s="268"/>
      <c r="S27" s="268"/>
      <c r="T27" s="268"/>
    </row>
    <row r="28" spans="1:20" x14ac:dyDescent="0.5">
      <c r="L28" s="268"/>
      <c r="M28" s="268"/>
      <c r="N28" s="268"/>
      <c r="O28" s="268"/>
      <c r="P28" s="268"/>
      <c r="Q28" s="268"/>
    </row>
    <row r="29" spans="1:20" x14ac:dyDescent="0.5">
      <c r="L29" s="268"/>
      <c r="M29" s="268"/>
      <c r="N29" s="268"/>
      <c r="O29" s="268"/>
      <c r="P29" s="268"/>
      <c r="Q29" s="268"/>
    </row>
    <row r="30" spans="1:20" x14ac:dyDescent="0.5">
      <c r="L30" s="268"/>
      <c r="M30" s="268"/>
      <c r="N30" s="268"/>
      <c r="O30" s="268"/>
      <c r="P30" s="268"/>
      <c r="Q30" s="268"/>
    </row>
    <row r="35" spans="1:4" x14ac:dyDescent="0.5">
      <c r="A35" s="268"/>
    </row>
    <row r="36" spans="1:4" x14ac:dyDescent="0.5">
      <c r="B36" s="155"/>
      <c r="C36" s="268"/>
      <c r="D36" s="268"/>
    </row>
    <row r="37" spans="1:4" x14ac:dyDescent="0.5">
      <c r="B37" s="279"/>
      <c r="C37" s="268"/>
      <c r="D37" s="268"/>
    </row>
  </sheetData>
  <mergeCells count="7">
    <mergeCell ref="A20:B21"/>
    <mergeCell ref="O1:T1"/>
    <mergeCell ref="O16:P16"/>
    <mergeCell ref="Q16:R16"/>
    <mergeCell ref="S16:T16"/>
    <mergeCell ref="A1:F1"/>
    <mergeCell ref="H1:M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H78"/>
  <sheetViews>
    <sheetView zoomScaleNormal="100" workbookViewId="0">
      <pane xSplit="2" ySplit="3" topLeftCell="C4" activePane="bottomRight" state="frozen"/>
      <selection pane="topRight" activeCell="C1" sqref="C1"/>
      <selection pane="bottomLeft" activeCell="A3" sqref="A3"/>
      <selection pane="bottomRight" activeCell="E4" sqref="E4"/>
    </sheetView>
  </sheetViews>
  <sheetFormatPr defaultRowHeight="14.35" x14ac:dyDescent="0.5"/>
  <cols>
    <col min="1" max="1" width="5.52734375" style="339" customWidth="1"/>
    <col min="2" max="2" width="11.29296875" style="339" customWidth="1"/>
    <col min="3" max="3" width="10.87890625" style="339" customWidth="1"/>
    <col min="4" max="4" width="11" style="339" customWidth="1"/>
    <col min="5" max="5" width="9.29296875" style="339" customWidth="1"/>
    <col min="6" max="6" width="7.17578125" style="339" customWidth="1"/>
    <col min="7" max="7" width="8.05859375" style="339" customWidth="1"/>
    <col min="8" max="8" width="4.703125" style="339" customWidth="1"/>
    <col min="9" max="9" width="10" style="339" customWidth="1"/>
    <col min="10" max="11" width="8.41015625" style="339" customWidth="1"/>
    <col min="12" max="12" width="4.76171875" style="339" customWidth="1"/>
    <col min="13" max="13" width="10.76171875" style="339" customWidth="1"/>
    <col min="14" max="14" width="8.9375" style="339"/>
    <col min="15" max="15" width="4.234375" style="339" customWidth="1"/>
    <col min="16" max="16" width="3.76171875" style="339" customWidth="1"/>
    <col min="17" max="17" width="7.3515625" style="339" customWidth="1"/>
    <col min="18" max="18" width="4.5859375" style="339" customWidth="1"/>
    <col min="19" max="20" width="7.3515625" style="339" customWidth="1"/>
    <col min="21" max="21" width="3.87890625" style="339" customWidth="1"/>
    <col min="22" max="22" width="3.76171875" style="339" customWidth="1"/>
    <col min="23" max="23" width="7.3515625" style="339" customWidth="1"/>
    <col min="24" max="24" width="5.05859375" style="339" customWidth="1"/>
    <col min="25" max="26" width="7.3515625" style="339" customWidth="1"/>
    <col min="27" max="27" width="3.87890625" style="339" customWidth="1"/>
    <col min="28" max="28" width="3.76171875" style="339" customWidth="1"/>
    <col min="29" max="29" width="11.41015625" style="339" customWidth="1"/>
    <col min="30" max="30" width="7" style="339" customWidth="1"/>
    <col min="31" max="32" width="7.3515625" style="339" customWidth="1"/>
    <col min="33" max="33" width="3.87890625" style="339" customWidth="1"/>
    <col min="34" max="34" width="3.76171875" style="339" customWidth="1"/>
    <col min="35" max="16384" width="8.9375" style="339"/>
  </cols>
  <sheetData>
    <row r="1" spans="1:34" s="326" customFormat="1" ht="15.7" x14ac:dyDescent="0.55000000000000004">
      <c r="A1" s="684" t="s">
        <v>192</v>
      </c>
      <c r="B1" s="684"/>
      <c r="C1" s="684"/>
      <c r="D1" s="684"/>
      <c r="E1" s="684"/>
      <c r="F1" s="684"/>
      <c r="G1" s="684"/>
      <c r="H1" s="684"/>
      <c r="J1" s="446"/>
      <c r="K1" s="450" t="s">
        <v>305</v>
      </c>
      <c r="L1" s="451">
        <v>0.05</v>
      </c>
      <c r="M1" s="198" t="s">
        <v>167</v>
      </c>
      <c r="N1" s="436" t="str">
        <f>CONCATENATE(M2*1000000000000000/1000000," nM or fmol/µL")</f>
        <v>50 nM or fmol/µL</v>
      </c>
      <c r="O1" s="431"/>
      <c r="P1" s="336"/>
      <c r="Q1" s="679" t="s">
        <v>288</v>
      </c>
      <c r="R1" s="680"/>
      <c r="S1" s="680"/>
      <c r="T1" s="680"/>
      <c r="U1" s="680"/>
      <c r="V1" s="680"/>
      <c r="W1" s="681" t="s">
        <v>289</v>
      </c>
      <c r="X1" s="680"/>
      <c r="Y1" s="680"/>
      <c r="Z1" s="680"/>
      <c r="AA1" s="680"/>
      <c r="AB1" s="680"/>
      <c r="AC1" s="681" t="s">
        <v>284</v>
      </c>
      <c r="AD1" s="680"/>
      <c r="AE1" s="680"/>
      <c r="AF1" s="680"/>
      <c r="AG1" s="680"/>
      <c r="AH1" s="680"/>
    </row>
    <row r="2" spans="1:34" customFormat="1" ht="18" thickBot="1" x14ac:dyDescent="0.75">
      <c r="B2" s="689" t="s">
        <v>298</v>
      </c>
      <c r="C2" s="689"/>
      <c r="D2" s="689"/>
      <c r="E2" s="689"/>
      <c r="F2" s="438"/>
      <c r="G2" s="438"/>
      <c r="J2" s="685" t="s">
        <v>197</v>
      </c>
      <c r="K2" s="686"/>
      <c r="L2" s="269"/>
      <c r="M2" s="557">
        <v>4.9999999999999998E-8</v>
      </c>
      <c r="N2" s="432" t="s">
        <v>17</v>
      </c>
      <c r="P2" s="27"/>
      <c r="Q2" s="687" t="s">
        <v>196</v>
      </c>
      <c r="R2" s="688"/>
      <c r="S2" s="682" t="s">
        <v>287</v>
      </c>
      <c r="T2" s="408" t="s">
        <v>390</v>
      </c>
      <c r="U2" s="409">
        <v>15</v>
      </c>
      <c r="V2" s="410" t="s">
        <v>10</v>
      </c>
      <c r="W2" s="677" t="s">
        <v>196</v>
      </c>
      <c r="X2" s="678"/>
      <c r="Y2" s="682" t="s">
        <v>287</v>
      </c>
      <c r="Z2" s="408" t="s">
        <v>390</v>
      </c>
      <c r="AA2" s="409">
        <v>15</v>
      </c>
      <c r="AB2" s="410" t="s">
        <v>10</v>
      </c>
      <c r="AC2" s="677" t="s">
        <v>196</v>
      </c>
      <c r="AD2" s="678"/>
      <c r="AE2" s="682" t="s">
        <v>287</v>
      </c>
      <c r="AF2" s="408" t="s">
        <v>390</v>
      </c>
      <c r="AG2" s="409">
        <v>15</v>
      </c>
      <c r="AH2" s="410" t="s">
        <v>10</v>
      </c>
    </row>
    <row r="3" spans="1:34" s="15" customFormat="1" ht="34.200000000000003" customHeight="1" thickTop="1" x14ac:dyDescent="0.5">
      <c r="A3" s="271"/>
      <c r="B3" s="437" t="s">
        <v>128</v>
      </c>
      <c r="C3" s="272" t="s">
        <v>299</v>
      </c>
      <c r="D3" s="272" t="s">
        <v>300</v>
      </c>
      <c r="E3" s="272" t="s">
        <v>371</v>
      </c>
      <c r="F3" s="439" t="s">
        <v>301</v>
      </c>
      <c r="G3" s="440" t="s">
        <v>372</v>
      </c>
      <c r="H3" s="271"/>
      <c r="I3" s="197" t="s">
        <v>211</v>
      </c>
      <c r="J3" s="556">
        <v>2.5000000000000001E-14</v>
      </c>
      <c r="K3" s="435" t="str">
        <f>"mol*" &amp; CHAR(10) &amp; "=" &amp; J3*1000000000000000 &amp; " fmol"</f>
        <v>mol*
=25 fmol</v>
      </c>
      <c r="L3" s="270"/>
      <c r="M3" s="318" t="s">
        <v>168</v>
      </c>
      <c r="N3" s="273" t="s">
        <v>198</v>
      </c>
      <c r="O3" s="445"/>
      <c r="P3" s="444"/>
      <c r="Q3" s="448">
        <v>500</v>
      </c>
      <c r="R3" s="447" t="s">
        <v>302</v>
      </c>
      <c r="S3" s="683"/>
      <c r="T3" s="441" t="s">
        <v>391</v>
      </c>
      <c r="U3" s="442">
        <v>2.5</v>
      </c>
      <c r="V3" s="443" t="s">
        <v>10</v>
      </c>
      <c r="W3" s="411">
        <v>100</v>
      </c>
      <c r="X3" s="181" t="s">
        <v>191</v>
      </c>
      <c r="Y3" s="683"/>
      <c r="Z3" s="441" t="s">
        <v>392</v>
      </c>
      <c r="AA3" s="442">
        <v>2.5</v>
      </c>
      <c r="AB3" s="443" t="s">
        <v>10</v>
      </c>
      <c r="AC3" s="433" t="s">
        <v>285</v>
      </c>
      <c r="AD3" s="434" t="s">
        <v>286</v>
      </c>
      <c r="AE3" s="683"/>
      <c r="AF3" s="441" t="s">
        <v>392</v>
      </c>
      <c r="AG3" s="442">
        <v>2.5</v>
      </c>
      <c r="AH3" s="443" t="s">
        <v>10</v>
      </c>
    </row>
    <row r="4" spans="1:34" customFormat="1" x14ac:dyDescent="0.5">
      <c r="A4" s="449">
        <v>1</v>
      </c>
      <c r="B4" s="182" t="s">
        <v>199</v>
      </c>
      <c r="C4" s="3">
        <v>3000</v>
      </c>
      <c r="D4" s="3">
        <v>200</v>
      </c>
      <c r="E4" s="3"/>
      <c r="F4" s="183"/>
      <c r="G4" s="559"/>
      <c r="I4" s="558">
        <f>IF($F4="",IF(OR(AND($C4="",$G4=""),$D4=""),"",IF($G4="",($D4*10^-9/10^-6)/($C4*615.88)*10^9,$D4/10^-6/$G4)),$F4)</f>
        <v>108.24619514624062</v>
      </c>
      <c r="J4" s="574">
        <f>IF($I4="","",J$3/($I4*10^-9)*10^6)</f>
        <v>0.23095499999999997</v>
      </c>
      <c r="K4" s="337" t="str">
        <f>IF(J4="","","µL")</f>
        <v>µL</v>
      </c>
      <c r="M4" s="558">
        <f>IF($I4="","",$I4*10^-9/M$2)</f>
        <v>2.1649239029248126</v>
      </c>
      <c r="N4" s="575" t="str">
        <f t="shared" ref="N4:N35" si="0">IF($M4="","",IF($M4&lt;1+$L$1,IF($M4&gt;1-$L$1,"≈0","Too dilute"),IF($E4="","?",($M4*$E4)-$E4)))</f>
        <v>?</v>
      </c>
      <c r="P4" s="27"/>
      <c r="Q4" s="576">
        <f t="shared" ref="Q4:Q6" si="1">IF($F4="",IF($D4="","",Q$3/$D4),(Q$3/($C4*617.89*$F4))*10^6)</f>
        <v>2.5</v>
      </c>
      <c r="R4" s="337" t="str">
        <f>IF(Q4="","","µL")</f>
        <v>µL</v>
      </c>
      <c r="S4" s="577">
        <f>IF(Q4="","",U$2-U$3-Q4)</f>
        <v>10</v>
      </c>
      <c r="W4" s="578">
        <f>IF($F4="",IF(OR($C4="",$D4=""),"",(W$3*$C4*0.001/$D4)),(W$3*$C4*0.001/($C4*617.96*$F4))*10^6)</f>
        <v>1.5</v>
      </c>
      <c r="X4" s="337" t="str">
        <f>IF(W4="","","µL")</f>
        <v>µL</v>
      </c>
      <c r="Y4" s="577">
        <f>IF(W4="","",AA$2-AA$3-W4)</f>
        <v>11</v>
      </c>
      <c r="Z4" s="326"/>
      <c r="AA4" s="326"/>
      <c r="AB4" s="326"/>
      <c r="AC4" s="578">
        <f t="shared" ref="AC4:AC53" si="2">IF($F4="",IF(OR($C4="",$D4=""),"",IF($C4&lt;6000,500/$D4,IF($C4&lt;=10000,800/$D4,1000/$D4))),IF($C4&lt;6000,(500/($C4*617.89*$F4))*10^6,IF($C4&lt;=10000,(800/($C4*617.89*$F4))*10^6,(1000/($C4*617.89*$F4))*10^6)))</f>
        <v>2.5</v>
      </c>
      <c r="AD4" s="337" t="str">
        <f>IF(AC4="","","µL")</f>
        <v>µL</v>
      </c>
      <c r="AE4" s="577">
        <f>IF(AC4="","",AG$2-AG$3-AC4)</f>
        <v>10</v>
      </c>
      <c r="AF4" s="326"/>
      <c r="AG4" s="326"/>
      <c r="AH4" s="326"/>
    </row>
    <row r="5" spans="1:34" customFormat="1" x14ac:dyDescent="0.5">
      <c r="A5" s="449">
        <v>2</v>
      </c>
      <c r="B5" s="182"/>
      <c r="C5" s="3"/>
      <c r="D5" s="3"/>
      <c r="E5" s="3"/>
      <c r="F5" s="183"/>
      <c r="G5" s="183"/>
      <c r="I5" s="558" t="str">
        <f t="shared" ref="I5:I53" si="3">IF($F5="",IF(OR(AND($C5="",$G5=""),$D5=""),"",IF($G5="",($D5*10^-9/10^-6)/($C5*615.88)*10^9,$D5/10^-6/$G5)),$F5)</f>
        <v/>
      </c>
      <c r="J5" s="574" t="str">
        <f t="shared" ref="J5:J53" si="4">IF($I5="","",J$3/($I5*10^-9)*10^6)</f>
        <v/>
      </c>
      <c r="K5" s="337" t="str">
        <f t="shared" ref="K5:K53" si="5">IF(J5="","","µL")</f>
        <v/>
      </c>
      <c r="M5" s="558" t="str">
        <f t="shared" ref="M5:M53" si="6">IF($I5="","",$I5*10^-9/M$2)</f>
        <v/>
      </c>
      <c r="N5" s="575" t="str">
        <f t="shared" si="0"/>
        <v/>
      </c>
      <c r="P5" s="27"/>
      <c r="Q5" s="576" t="str">
        <f t="shared" si="1"/>
        <v/>
      </c>
      <c r="R5" s="337" t="str">
        <f t="shared" ref="R5:R53" si="7">IF(Q5="","","µL")</f>
        <v/>
      </c>
      <c r="S5" s="577" t="str">
        <f t="shared" ref="S5:S53" si="8">IF(Q5="","",U$2-U$3-Q5)</f>
        <v/>
      </c>
      <c r="W5" s="578" t="str">
        <f t="shared" ref="W5:W53" si="9">IF($F5="",IF(OR($C5="",$D5=""),"",(W$3*$C5*0.001/$D5)),(W$3*$C5*0.001/($C5*617.96*$F5))*10^6)</f>
        <v/>
      </c>
      <c r="X5" s="337" t="str">
        <f t="shared" ref="X5:X52" si="10">IF(W5="","","µL")</f>
        <v/>
      </c>
      <c r="Y5" s="577" t="str">
        <f t="shared" ref="Y5:Y52" si="11">IF(W5="","",AA$2-AA$3-W5)</f>
        <v/>
      </c>
      <c r="Z5" s="326"/>
      <c r="AA5" s="326"/>
      <c r="AB5" s="326"/>
      <c r="AC5" s="578" t="str">
        <f t="shared" si="2"/>
        <v/>
      </c>
      <c r="AD5" s="337" t="str">
        <f t="shared" ref="AD5:AD53" si="12">IF(AC5="","","µL")</f>
        <v/>
      </c>
      <c r="AE5" s="577" t="str">
        <f t="shared" ref="AE5:AE53" si="13">IF(AC5="","",AG$2-AG$3-AC5)</f>
        <v/>
      </c>
      <c r="AF5" s="326"/>
      <c r="AG5" s="326"/>
      <c r="AH5" s="326"/>
    </row>
    <row r="6" spans="1:34" customFormat="1" x14ac:dyDescent="0.5">
      <c r="A6" s="449">
        <v>3</v>
      </c>
      <c r="B6" s="182"/>
      <c r="C6" s="3"/>
      <c r="D6" s="3"/>
      <c r="E6" s="3"/>
      <c r="F6" s="183"/>
      <c r="G6" s="559"/>
      <c r="I6" s="558" t="str">
        <f t="shared" si="3"/>
        <v/>
      </c>
      <c r="J6" s="574" t="str">
        <f t="shared" si="4"/>
        <v/>
      </c>
      <c r="K6" s="337" t="str">
        <f t="shared" si="5"/>
        <v/>
      </c>
      <c r="M6" s="558" t="str">
        <f t="shared" si="6"/>
        <v/>
      </c>
      <c r="N6" s="575" t="str">
        <f t="shared" si="0"/>
        <v/>
      </c>
      <c r="P6" s="27"/>
      <c r="Q6" s="576" t="str">
        <f t="shared" si="1"/>
        <v/>
      </c>
      <c r="R6" s="337" t="str">
        <f t="shared" si="7"/>
        <v/>
      </c>
      <c r="S6" s="577" t="str">
        <f t="shared" si="8"/>
        <v/>
      </c>
      <c r="W6" s="578" t="str">
        <f t="shared" si="9"/>
        <v/>
      </c>
      <c r="X6" s="337" t="str">
        <f t="shared" si="10"/>
        <v/>
      </c>
      <c r="Y6" s="577" t="str">
        <f t="shared" si="11"/>
        <v/>
      </c>
      <c r="Z6" s="326"/>
      <c r="AA6" s="326"/>
      <c r="AB6" s="326"/>
      <c r="AC6" s="578" t="str">
        <f t="shared" si="2"/>
        <v/>
      </c>
      <c r="AD6" s="337" t="str">
        <f t="shared" si="12"/>
        <v/>
      </c>
      <c r="AE6" s="577" t="str">
        <f t="shared" si="13"/>
        <v/>
      </c>
      <c r="AF6" s="326"/>
      <c r="AG6" s="326"/>
      <c r="AH6" s="326"/>
    </row>
    <row r="7" spans="1:34" customFormat="1" x14ac:dyDescent="0.5">
      <c r="A7" s="449">
        <v>4</v>
      </c>
      <c r="B7" s="182"/>
      <c r="C7" s="3"/>
      <c r="D7" s="3"/>
      <c r="E7" s="3"/>
      <c r="F7" s="183"/>
      <c r="G7" s="183"/>
      <c r="I7" s="558" t="str">
        <f t="shared" si="3"/>
        <v/>
      </c>
      <c r="J7" s="574" t="str">
        <f t="shared" si="4"/>
        <v/>
      </c>
      <c r="K7" s="337" t="str">
        <f t="shared" si="5"/>
        <v/>
      </c>
      <c r="M7" s="558" t="str">
        <f t="shared" si="6"/>
        <v/>
      </c>
      <c r="N7" s="575" t="str">
        <f t="shared" si="0"/>
        <v/>
      </c>
      <c r="P7" s="27"/>
      <c r="Q7" s="576" t="str">
        <f>IF($F7="",IF($D7="","",Q$3/$D7),(Q$3/($C7*617.89*$F7))*10^6)</f>
        <v/>
      </c>
      <c r="R7" s="337" t="str">
        <f t="shared" si="7"/>
        <v/>
      </c>
      <c r="S7" s="577" t="str">
        <f t="shared" si="8"/>
        <v/>
      </c>
      <c r="W7" s="578" t="str">
        <f t="shared" si="9"/>
        <v/>
      </c>
      <c r="X7" s="337" t="str">
        <f t="shared" si="10"/>
        <v/>
      </c>
      <c r="Y7" s="577" t="str">
        <f t="shared" si="11"/>
        <v/>
      </c>
      <c r="Z7" s="326"/>
      <c r="AA7" s="326"/>
      <c r="AB7" s="326"/>
      <c r="AC7" s="578" t="str">
        <f t="shared" si="2"/>
        <v/>
      </c>
      <c r="AD7" s="337" t="str">
        <f t="shared" si="12"/>
        <v/>
      </c>
      <c r="AE7" s="577" t="str">
        <f t="shared" si="13"/>
        <v/>
      </c>
      <c r="AF7" s="326"/>
      <c r="AG7" s="326"/>
      <c r="AH7" s="326"/>
    </row>
    <row r="8" spans="1:34" customFormat="1" x14ac:dyDescent="0.5">
      <c r="A8" s="449">
        <v>5</v>
      </c>
      <c r="B8" s="182"/>
      <c r="C8" s="3"/>
      <c r="D8" s="3"/>
      <c r="E8" s="3"/>
      <c r="F8" s="183"/>
      <c r="G8" s="183"/>
      <c r="I8" s="558" t="str">
        <f t="shared" si="3"/>
        <v/>
      </c>
      <c r="J8" s="574" t="str">
        <f t="shared" si="4"/>
        <v/>
      </c>
      <c r="K8" s="337" t="str">
        <f t="shared" si="5"/>
        <v/>
      </c>
      <c r="M8" s="558" t="str">
        <f t="shared" si="6"/>
        <v/>
      </c>
      <c r="N8" s="575" t="str">
        <f t="shared" si="0"/>
        <v/>
      </c>
      <c r="P8" s="27"/>
      <c r="Q8" s="576" t="str">
        <f t="shared" ref="Q8:Q53" si="14">IF($F8="",IF($D8="","",Q$3/$D8),(Q$3/($C8*617.89*$F8))*10^6)</f>
        <v/>
      </c>
      <c r="R8" s="337" t="str">
        <f t="shared" si="7"/>
        <v/>
      </c>
      <c r="S8" s="577" t="str">
        <f t="shared" si="8"/>
        <v/>
      </c>
      <c r="W8" s="578" t="str">
        <f t="shared" si="9"/>
        <v/>
      </c>
      <c r="X8" s="337" t="str">
        <f t="shared" si="10"/>
        <v/>
      </c>
      <c r="Y8" s="577" t="str">
        <f t="shared" si="11"/>
        <v/>
      </c>
      <c r="Z8" s="326"/>
      <c r="AA8" s="326"/>
      <c r="AB8" s="326"/>
      <c r="AC8" s="578" t="str">
        <f t="shared" si="2"/>
        <v/>
      </c>
      <c r="AD8" s="337" t="str">
        <f t="shared" si="12"/>
        <v/>
      </c>
      <c r="AE8" s="577" t="str">
        <f t="shared" si="13"/>
        <v/>
      </c>
      <c r="AF8" s="326"/>
      <c r="AG8" s="326"/>
      <c r="AH8" s="326"/>
    </row>
    <row r="9" spans="1:34" customFormat="1" x14ac:dyDescent="0.5">
      <c r="A9" s="449">
        <v>6</v>
      </c>
      <c r="B9" s="182"/>
      <c r="C9" s="3"/>
      <c r="D9" s="3"/>
      <c r="E9" s="3"/>
      <c r="F9" s="183"/>
      <c r="G9" s="183"/>
      <c r="I9" s="558" t="str">
        <f t="shared" si="3"/>
        <v/>
      </c>
      <c r="J9" s="574" t="str">
        <f t="shared" si="4"/>
        <v/>
      </c>
      <c r="K9" s="337" t="str">
        <f t="shared" si="5"/>
        <v/>
      </c>
      <c r="M9" s="558" t="str">
        <f t="shared" si="6"/>
        <v/>
      </c>
      <c r="N9" s="575" t="str">
        <f t="shared" si="0"/>
        <v/>
      </c>
      <c r="P9" s="27"/>
      <c r="Q9" s="576" t="str">
        <f t="shared" si="14"/>
        <v/>
      </c>
      <c r="R9" s="337" t="str">
        <f t="shared" si="7"/>
        <v/>
      </c>
      <c r="S9" s="577" t="str">
        <f t="shared" si="8"/>
        <v/>
      </c>
      <c r="W9" s="578" t="str">
        <f t="shared" si="9"/>
        <v/>
      </c>
      <c r="X9" s="337" t="str">
        <f t="shared" si="10"/>
        <v/>
      </c>
      <c r="Y9" s="577" t="str">
        <f t="shared" si="11"/>
        <v/>
      </c>
      <c r="Z9" s="326"/>
      <c r="AA9" s="326"/>
      <c r="AB9" s="326"/>
      <c r="AC9" s="578" t="str">
        <f t="shared" si="2"/>
        <v/>
      </c>
      <c r="AD9" s="337" t="str">
        <f t="shared" si="12"/>
        <v/>
      </c>
      <c r="AE9" s="577" t="str">
        <f t="shared" si="13"/>
        <v/>
      </c>
      <c r="AF9" s="326"/>
      <c r="AG9" s="326"/>
      <c r="AH9" s="326"/>
    </row>
    <row r="10" spans="1:34" customFormat="1" x14ac:dyDescent="0.5">
      <c r="A10" s="449">
        <v>7</v>
      </c>
      <c r="B10" s="182"/>
      <c r="C10" s="3"/>
      <c r="D10" s="3"/>
      <c r="E10" s="3"/>
      <c r="F10" s="183"/>
      <c r="G10" s="183"/>
      <c r="I10" s="558" t="str">
        <f t="shared" si="3"/>
        <v/>
      </c>
      <c r="J10" s="574" t="str">
        <f t="shared" si="4"/>
        <v/>
      </c>
      <c r="K10" s="337" t="str">
        <f t="shared" si="5"/>
        <v/>
      </c>
      <c r="M10" s="558" t="str">
        <f t="shared" si="6"/>
        <v/>
      </c>
      <c r="N10" s="575" t="str">
        <f t="shared" si="0"/>
        <v/>
      </c>
      <c r="P10" s="27"/>
      <c r="Q10" s="576" t="str">
        <f t="shared" si="14"/>
        <v/>
      </c>
      <c r="R10" s="337" t="str">
        <f t="shared" si="7"/>
        <v/>
      </c>
      <c r="S10" s="577" t="str">
        <f t="shared" si="8"/>
        <v/>
      </c>
      <c r="W10" s="578" t="str">
        <f t="shared" si="9"/>
        <v/>
      </c>
      <c r="X10" s="337" t="str">
        <f t="shared" si="10"/>
        <v/>
      </c>
      <c r="Y10" s="577" t="str">
        <f t="shared" si="11"/>
        <v/>
      </c>
      <c r="Z10" s="326"/>
      <c r="AA10" s="326"/>
      <c r="AB10" s="326"/>
      <c r="AC10" s="578" t="str">
        <f t="shared" si="2"/>
        <v/>
      </c>
      <c r="AD10" s="337" t="str">
        <f t="shared" si="12"/>
        <v/>
      </c>
      <c r="AE10" s="577" t="str">
        <f t="shared" si="13"/>
        <v/>
      </c>
      <c r="AF10" s="326"/>
      <c r="AG10" s="326"/>
      <c r="AH10" s="326"/>
    </row>
    <row r="11" spans="1:34" customFormat="1" x14ac:dyDescent="0.5">
      <c r="A11" s="449">
        <v>8</v>
      </c>
      <c r="B11" s="182"/>
      <c r="C11" s="3"/>
      <c r="D11" s="3"/>
      <c r="E11" s="3"/>
      <c r="F11" s="183"/>
      <c r="G11" s="183"/>
      <c r="I11" s="558" t="str">
        <f t="shared" si="3"/>
        <v/>
      </c>
      <c r="J11" s="574" t="str">
        <f t="shared" si="4"/>
        <v/>
      </c>
      <c r="K11" s="337" t="str">
        <f t="shared" si="5"/>
        <v/>
      </c>
      <c r="M11" s="558" t="str">
        <f t="shared" si="6"/>
        <v/>
      </c>
      <c r="N11" s="575" t="str">
        <f t="shared" si="0"/>
        <v/>
      </c>
      <c r="P11" s="27"/>
      <c r="Q11" s="576" t="str">
        <f t="shared" si="14"/>
        <v/>
      </c>
      <c r="R11" s="337" t="str">
        <f t="shared" si="7"/>
        <v/>
      </c>
      <c r="S11" s="577" t="str">
        <f t="shared" si="8"/>
        <v/>
      </c>
      <c r="W11" s="578" t="str">
        <f t="shared" si="9"/>
        <v/>
      </c>
      <c r="X11" s="337" t="str">
        <f t="shared" si="10"/>
        <v/>
      </c>
      <c r="Y11" s="577" t="str">
        <f t="shared" si="11"/>
        <v/>
      </c>
      <c r="Z11" s="326"/>
      <c r="AA11" s="326"/>
      <c r="AB11" s="326"/>
      <c r="AC11" s="578" t="str">
        <f t="shared" si="2"/>
        <v/>
      </c>
      <c r="AD11" s="337" t="str">
        <f t="shared" si="12"/>
        <v/>
      </c>
      <c r="AE11" s="577" t="str">
        <f t="shared" si="13"/>
        <v/>
      </c>
      <c r="AF11" s="326"/>
      <c r="AG11" s="326"/>
      <c r="AH11" s="326"/>
    </row>
    <row r="12" spans="1:34" customFormat="1" x14ac:dyDescent="0.5">
      <c r="A12" s="449">
        <v>9</v>
      </c>
      <c r="B12" s="182"/>
      <c r="C12" s="3"/>
      <c r="D12" s="3"/>
      <c r="E12" s="3"/>
      <c r="F12" s="183"/>
      <c r="G12" s="183"/>
      <c r="I12" s="558" t="str">
        <f t="shared" si="3"/>
        <v/>
      </c>
      <c r="J12" s="574" t="str">
        <f t="shared" si="4"/>
        <v/>
      </c>
      <c r="K12" s="337" t="str">
        <f t="shared" si="5"/>
        <v/>
      </c>
      <c r="M12" s="558" t="str">
        <f t="shared" si="6"/>
        <v/>
      </c>
      <c r="N12" s="575" t="str">
        <f t="shared" si="0"/>
        <v/>
      </c>
      <c r="P12" s="27"/>
      <c r="Q12" s="576" t="str">
        <f t="shared" si="14"/>
        <v/>
      </c>
      <c r="R12" s="337" t="str">
        <f t="shared" si="7"/>
        <v/>
      </c>
      <c r="S12" s="577" t="str">
        <f t="shared" si="8"/>
        <v/>
      </c>
      <c r="W12" s="578" t="str">
        <f t="shared" si="9"/>
        <v/>
      </c>
      <c r="X12" s="337" t="str">
        <f t="shared" si="10"/>
        <v/>
      </c>
      <c r="Y12" s="577" t="str">
        <f t="shared" si="11"/>
        <v/>
      </c>
      <c r="Z12" s="326"/>
      <c r="AA12" s="326"/>
      <c r="AB12" s="326"/>
      <c r="AC12" s="578" t="str">
        <f t="shared" si="2"/>
        <v/>
      </c>
      <c r="AD12" s="337" t="str">
        <f t="shared" si="12"/>
        <v/>
      </c>
      <c r="AE12" s="577" t="str">
        <f t="shared" si="13"/>
        <v/>
      </c>
      <c r="AF12" s="326"/>
      <c r="AG12" s="326"/>
      <c r="AH12" s="326"/>
    </row>
    <row r="13" spans="1:34" customFormat="1" x14ac:dyDescent="0.5">
      <c r="A13" s="449">
        <v>10</v>
      </c>
      <c r="B13" s="182"/>
      <c r="C13" s="3"/>
      <c r="D13" s="3"/>
      <c r="E13" s="3"/>
      <c r="F13" s="183"/>
      <c r="G13" s="183"/>
      <c r="I13" s="558" t="str">
        <f t="shared" si="3"/>
        <v/>
      </c>
      <c r="J13" s="574" t="str">
        <f t="shared" si="4"/>
        <v/>
      </c>
      <c r="K13" s="337" t="str">
        <f t="shared" si="5"/>
        <v/>
      </c>
      <c r="M13" s="558" t="str">
        <f t="shared" si="6"/>
        <v/>
      </c>
      <c r="N13" s="575" t="str">
        <f t="shared" si="0"/>
        <v/>
      </c>
      <c r="P13" s="27"/>
      <c r="Q13" s="576" t="str">
        <f t="shared" si="14"/>
        <v/>
      </c>
      <c r="R13" s="337" t="str">
        <f t="shared" si="7"/>
        <v/>
      </c>
      <c r="S13" s="577" t="str">
        <f t="shared" si="8"/>
        <v/>
      </c>
      <c r="W13" s="578" t="str">
        <f t="shared" si="9"/>
        <v/>
      </c>
      <c r="X13" s="337" t="str">
        <f t="shared" si="10"/>
        <v/>
      </c>
      <c r="Y13" s="577" t="str">
        <f t="shared" si="11"/>
        <v/>
      </c>
      <c r="Z13" s="326"/>
      <c r="AA13" s="326"/>
      <c r="AB13" s="326"/>
      <c r="AC13" s="578" t="str">
        <f t="shared" si="2"/>
        <v/>
      </c>
      <c r="AD13" s="337" t="str">
        <f t="shared" si="12"/>
        <v/>
      </c>
      <c r="AE13" s="577" t="str">
        <f t="shared" si="13"/>
        <v/>
      </c>
      <c r="AF13" s="326"/>
      <c r="AG13" s="326"/>
      <c r="AH13" s="326"/>
    </row>
    <row r="14" spans="1:34" customFormat="1" x14ac:dyDescent="0.5">
      <c r="A14" s="449">
        <v>11</v>
      </c>
      <c r="B14" s="182"/>
      <c r="C14" s="3"/>
      <c r="D14" s="3"/>
      <c r="E14" s="3"/>
      <c r="F14" s="183"/>
      <c r="G14" s="183"/>
      <c r="I14" s="558" t="str">
        <f t="shared" si="3"/>
        <v/>
      </c>
      <c r="J14" s="574" t="str">
        <f t="shared" si="4"/>
        <v/>
      </c>
      <c r="K14" s="337" t="str">
        <f t="shared" si="5"/>
        <v/>
      </c>
      <c r="M14" s="558" t="str">
        <f t="shared" si="6"/>
        <v/>
      </c>
      <c r="N14" s="575" t="str">
        <f t="shared" si="0"/>
        <v/>
      </c>
      <c r="P14" s="27"/>
      <c r="Q14" s="576" t="str">
        <f t="shared" si="14"/>
        <v/>
      </c>
      <c r="R14" s="337" t="str">
        <f t="shared" si="7"/>
        <v/>
      </c>
      <c r="S14" s="577" t="str">
        <f t="shared" si="8"/>
        <v/>
      </c>
      <c r="W14" s="578" t="str">
        <f t="shared" si="9"/>
        <v/>
      </c>
      <c r="X14" s="337" t="str">
        <f t="shared" si="10"/>
        <v/>
      </c>
      <c r="Y14" s="577" t="str">
        <f t="shared" si="11"/>
        <v/>
      </c>
      <c r="Z14" s="326"/>
      <c r="AA14" s="326"/>
      <c r="AB14" s="326"/>
      <c r="AC14" s="578" t="str">
        <f t="shared" si="2"/>
        <v/>
      </c>
      <c r="AD14" s="337" t="str">
        <f t="shared" si="12"/>
        <v/>
      </c>
      <c r="AE14" s="577" t="str">
        <f t="shared" si="13"/>
        <v/>
      </c>
      <c r="AF14" s="326"/>
      <c r="AG14" s="326"/>
      <c r="AH14" s="326"/>
    </row>
    <row r="15" spans="1:34" customFormat="1" x14ac:dyDescent="0.5">
      <c r="A15" s="449">
        <v>12</v>
      </c>
      <c r="B15" s="182"/>
      <c r="C15" s="3"/>
      <c r="D15" s="3"/>
      <c r="E15" s="3"/>
      <c r="F15" s="183"/>
      <c r="G15" s="183"/>
      <c r="I15" s="558" t="str">
        <f t="shared" si="3"/>
        <v/>
      </c>
      <c r="J15" s="574" t="str">
        <f t="shared" si="4"/>
        <v/>
      </c>
      <c r="K15" s="337" t="str">
        <f t="shared" si="5"/>
        <v/>
      </c>
      <c r="M15" s="558" t="str">
        <f t="shared" si="6"/>
        <v/>
      </c>
      <c r="N15" s="575" t="str">
        <f t="shared" si="0"/>
        <v/>
      </c>
      <c r="P15" s="27"/>
      <c r="Q15" s="576" t="str">
        <f t="shared" si="14"/>
        <v/>
      </c>
      <c r="R15" s="337" t="str">
        <f t="shared" si="7"/>
        <v/>
      </c>
      <c r="S15" s="577" t="str">
        <f t="shared" si="8"/>
        <v/>
      </c>
      <c r="W15" s="578" t="str">
        <f t="shared" si="9"/>
        <v/>
      </c>
      <c r="X15" s="337" t="str">
        <f t="shared" si="10"/>
        <v/>
      </c>
      <c r="Y15" s="577" t="str">
        <f t="shared" si="11"/>
        <v/>
      </c>
      <c r="Z15" s="326"/>
      <c r="AA15" s="326"/>
      <c r="AB15" s="326"/>
      <c r="AC15" s="578" t="str">
        <f t="shared" si="2"/>
        <v/>
      </c>
      <c r="AD15" s="337" t="str">
        <f t="shared" si="12"/>
        <v/>
      </c>
      <c r="AE15" s="577" t="str">
        <f t="shared" si="13"/>
        <v/>
      </c>
      <c r="AF15" s="326"/>
      <c r="AG15" s="326"/>
      <c r="AH15" s="326"/>
    </row>
    <row r="16" spans="1:34" customFormat="1" x14ac:dyDescent="0.5">
      <c r="A16" s="449">
        <v>13</v>
      </c>
      <c r="B16" s="182"/>
      <c r="C16" s="3"/>
      <c r="D16" s="3"/>
      <c r="E16" s="3"/>
      <c r="F16" s="183"/>
      <c r="G16" s="183"/>
      <c r="I16" s="558" t="str">
        <f t="shared" si="3"/>
        <v/>
      </c>
      <c r="J16" s="574" t="str">
        <f t="shared" si="4"/>
        <v/>
      </c>
      <c r="K16" s="337" t="str">
        <f t="shared" si="5"/>
        <v/>
      </c>
      <c r="M16" s="558" t="str">
        <f t="shared" si="6"/>
        <v/>
      </c>
      <c r="N16" s="575" t="str">
        <f t="shared" si="0"/>
        <v/>
      </c>
      <c r="P16" s="27"/>
      <c r="Q16" s="576" t="str">
        <f t="shared" si="14"/>
        <v/>
      </c>
      <c r="R16" s="337" t="str">
        <f t="shared" si="7"/>
        <v/>
      </c>
      <c r="S16" s="577" t="str">
        <f t="shared" si="8"/>
        <v/>
      </c>
      <c r="W16" s="578" t="str">
        <f t="shared" si="9"/>
        <v/>
      </c>
      <c r="X16" s="337" t="str">
        <f t="shared" si="10"/>
        <v/>
      </c>
      <c r="Y16" s="577" t="str">
        <f t="shared" si="11"/>
        <v/>
      </c>
      <c r="Z16" s="326"/>
      <c r="AA16" s="326"/>
      <c r="AB16" s="326"/>
      <c r="AC16" s="578" t="str">
        <f t="shared" si="2"/>
        <v/>
      </c>
      <c r="AD16" s="337" t="str">
        <f t="shared" si="12"/>
        <v/>
      </c>
      <c r="AE16" s="577" t="str">
        <f t="shared" si="13"/>
        <v/>
      </c>
      <c r="AF16" s="326"/>
      <c r="AG16" s="326"/>
      <c r="AH16" s="326"/>
    </row>
    <row r="17" spans="1:34" customFormat="1" x14ac:dyDescent="0.5">
      <c r="A17" s="449">
        <v>14</v>
      </c>
      <c r="B17" s="182"/>
      <c r="C17" s="3"/>
      <c r="D17" s="3"/>
      <c r="E17" s="3"/>
      <c r="F17" s="183"/>
      <c r="G17" s="183"/>
      <c r="I17" s="558" t="str">
        <f t="shared" si="3"/>
        <v/>
      </c>
      <c r="J17" s="574" t="str">
        <f t="shared" si="4"/>
        <v/>
      </c>
      <c r="K17" s="337" t="str">
        <f t="shared" si="5"/>
        <v/>
      </c>
      <c r="M17" s="558" t="str">
        <f t="shared" si="6"/>
        <v/>
      </c>
      <c r="N17" s="575" t="str">
        <f t="shared" si="0"/>
        <v/>
      </c>
      <c r="P17" s="27"/>
      <c r="Q17" s="576" t="str">
        <f t="shared" si="14"/>
        <v/>
      </c>
      <c r="R17" s="337" t="str">
        <f t="shared" si="7"/>
        <v/>
      </c>
      <c r="S17" s="577" t="str">
        <f t="shared" si="8"/>
        <v/>
      </c>
      <c r="W17" s="578" t="str">
        <f t="shared" si="9"/>
        <v/>
      </c>
      <c r="X17" s="337" t="str">
        <f t="shared" si="10"/>
        <v/>
      </c>
      <c r="Y17" s="577" t="str">
        <f t="shared" si="11"/>
        <v/>
      </c>
      <c r="Z17" s="326"/>
      <c r="AA17" s="326"/>
      <c r="AB17" s="326"/>
      <c r="AC17" s="578" t="str">
        <f t="shared" si="2"/>
        <v/>
      </c>
      <c r="AD17" s="337" t="str">
        <f t="shared" si="12"/>
        <v/>
      </c>
      <c r="AE17" s="577" t="str">
        <f t="shared" si="13"/>
        <v/>
      </c>
      <c r="AF17" s="326"/>
      <c r="AG17" s="326"/>
      <c r="AH17" s="326"/>
    </row>
    <row r="18" spans="1:34" customFormat="1" x14ac:dyDescent="0.5">
      <c r="A18" s="449">
        <v>15</v>
      </c>
      <c r="B18" s="182"/>
      <c r="C18" s="3"/>
      <c r="D18" s="3"/>
      <c r="E18" s="3"/>
      <c r="F18" s="183"/>
      <c r="G18" s="183"/>
      <c r="I18" s="558" t="str">
        <f t="shared" si="3"/>
        <v/>
      </c>
      <c r="J18" s="574" t="str">
        <f t="shared" si="4"/>
        <v/>
      </c>
      <c r="K18" s="337" t="str">
        <f t="shared" si="5"/>
        <v/>
      </c>
      <c r="M18" s="558" t="str">
        <f t="shared" si="6"/>
        <v/>
      </c>
      <c r="N18" s="575" t="str">
        <f t="shared" si="0"/>
        <v/>
      </c>
      <c r="P18" s="27"/>
      <c r="Q18" s="576" t="str">
        <f t="shared" si="14"/>
        <v/>
      </c>
      <c r="R18" s="337" t="str">
        <f t="shared" si="7"/>
        <v/>
      </c>
      <c r="S18" s="577" t="str">
        <f t="shared" si="8"/>
        <v/>
      </c>
      <c r="W18" s="578" t="str">
        <f t="shared" si="9"/>
        <v/>
      </c>
      <c r="X18" s="337" t="str">
        <f t="shared" si="10"/>
        <v/>
      </c>
      <c r="Y18" s="577" t="str">
        <f t="shared" si="11"/>
        <v/>
      </c>
      <c r="Z18" s="326"/>
      <c r="AA18" s="326"/>
      <c r="AB18" s="326"/>
      <c r="AC18" s="578" t="str">
        <f t="shared" si="2"/>
        <v/>
      </c>
      <c r="AD18" s="337" t="str">
        <f t="shared" si="12"/>
        <v/>
      </c>
      <c r="AE18" s="577" t="str">
        <f t="shared" si="13"/>
        <v/>
      </c>
      <c r="AF18" s="326"/>
      <c r="AG18" s="326"/>
      <c r="AH18" s="326"/>
    </row>
    <row r="19" spans="1:34" customFormat="1" x14ac:dyDescent="0.5">
      <c r="A19" s="449">
        <v>16</v>
      </c>
      <c r="B19" s="182"/>
      <c r="C19" s="3"/>
      <c r="D19" s="3"/>
      <c r="E19" s="3"/>
      <c r="F19" s="183"/>
      <c r="G19" s="183"/>
      <c r="I19" s="558" t="str">
        <f t="shared" si="3"/>
        <v/>
      </c>
      <c r="J19" s="574" t="str">
        <f t="shared" si="4"/>
        <v/>
      </c>
      <c r="K19" s="337" t="str">
        <f t="shared" si="5"/>
        <v/>
      </c>
      <c r="M19" s="558" t="str">
        <f t="shared" si="6"/>
        <v/>
      </c>
      <c r="N19" s="575" t="str">
        <f t="shared" si="0"/>
        <v/>
      </c>
      <c r="P19" s="27"/>
      <c r="Q19" s="576" t="str">
        <f t="shared" si="14"/>
        <v/>
      </c>
      <c r="R19" s="337" t="str">
        <f t="shared" si="7"/>
        <v/>
      </c>
      <c r="S19" s="577" t="str">
        <f t="shared" si="8"/>
        <v/>
      </c>
      <c r="W19" s="578" t="str">
        <f t="shared" si="9"/>
        <v/>
      </c>
      <c r="X19" s="337" t="str">
        <f t="shared" si="10"/>
        <v/>
      </c>
      <c r="Y19" s="577" t="str">
        <f t="shared" si="11"/>
        <v/>
      </c>
      <c r="Z19" s="326"/>
      <c r="AA19" s="326"/>
      <c r="AB19" s="326"/>
      <c r="AC19" s="578" t="str">
        <f t="shared" si="2"/>
        <v/>
      </c>
      <c r="AD19" s="337" t="str">
        <f t="shared" si="12"/>
        <v/>
      </c>
      <c r="AE19" s="577" t="str">
        <f t="shared" si="13"/>
        <v/>
      </c>
      <c r="AF19" s="326"/>
      <c r="AG19" s="326"/>
      <c r="AH19" s="326"/>
    </row>
    <row r="20" spans="1:34" customFormat="1" x14ac:dyDescent="0.5">
      <c r="A20" s="449">
        <v>17</v>
      </c>
      <c r="B20" s="182"/>
      <c r="C20" s="3"/>
      <c r="D20" s="3"/>
      <c r="E20" s="3"/>
      <c r="F20" s="183"/>
      <c r="G20" s="183"/>
      <c r="I20" s="558" t="str">
        <f t="shared" si="3"/>
        <v/>
      </c>
      <c r="J20" s="574" t="str">
        <f t="shared" si="4"/>
        <v/>
      </c>
      <c r="K20" s="337" t="str">
        <f t="shared" si="5"/>
        <v/>
      </c>
      <c r="M20" s="558" t="str">
        <f t="shared" si="6"/>
        <v/>
      </c>
      <c r="N20" s="575" t="str">
        <f t="shared" si="0"/>
        <v/>
      </c>
      <c r="P20" s="27"/>
      <c r="Q20" s="576" t="str">
        <f t="shared" si="14"/>
        <v/>
      </c>
      <c r="R20" s="337" t="str">
        <f t="shared" si="7"/>
        <v/>
      </c>
      <c r="S20" s="577" t="str">
        <f t="shared" si="8"/>
        <v/>
      </c>
      <c r="W20" s="578" t="str">
        <f t="shared" si="9"/>
        <v/>
      </c>
      <c r="X20" s="337" t="str">
        <f t="shared" si="10"/>
        <v/>
      </c>
      <c r="Y20" s="577" t="str">
        <f t="shared" si="11"/>
        <v/>
      </c>
      <c r="Z20" s="326"/>
      <c r="AA20" s="326"/>
      <c r="AB20" s="326"/>
      <c r="AC20" s="578" t="str">
        <f t="shared" si="2"/>
        <v/>
      </c>
      <c r="AD20" s="337" t="str">
        <f t="shared" si="12"/>
        <v/>
      </c>
      <c r="AE20" s="577" t="str">
        <f t="shared" si="13"/>
        <v/>
      </c>
      <c r="AF20" s="326"/>
      <c r="AG20" s="326"/>
      <c r="AH20" s="326"/>
    </row>
    <row r="21" spans="1:34" customFormat="1" x14ac:dyDescent="0.5">
      <c r="A21" s="449">
        <v>18</v>
      </c>
      <c r="B21" s="182"/>
      <c r="C21" s="3"/>
      <c r="D21" s="3"/>
      <c r="E21" s="3"/>
      <c r="F21" s="183"/>
      <c r="G21" s="183"/>
      <c r="I21" s="558" t="str">
        <f t="shared" si="3"/>
        <v/>
      </c>
      <c r="J21" s="574" t="str">
        <f t="shared" si="4"/>
        <v/>
      </c>
      <c r="K21" s="337" t="str">
        <f t="shared" si="5"/>
        <v/>
      </c>
      <c r="M21" s="558" t="str">
        <f t="shared" si="6"/>
        <v/>
      </c>
      <c r="N21" s="575" t="str">
        <f t="shared" si="0"/>
        <v/>
      </c>
      <c r="P21" s="27"/>
      <c r="Q21" s="576" t="str">
        <f t="shared" si="14"/>
        <v/>
      </c>
      <c r="R21" s="337" t="str">
        <f t="shared" si="7"/>
        <v/>
      </c>
      <c r="S21" s="577" t="str">
        <f t="shared" si="8"/>
        <v/>
      </c>
      <c r="W21" s="578" t="str">
        <f t="shared" si="9"/>
        <v/>
      </c>
      <c r="X21" s="337" t="str">
        <f t="shared" si="10"/>
        <v/>
      </c>
      <c r="Y21" s="577" t="str">
        <f t="shared" si="11"/>
        <v/>
      </c>
      <c r="Z21" s="326"/>
      <c r="AA21" s="326"/>
      <c r="AB21" s="326"/>
      <c r="AC21" s="578" t="str">
        <f t="shared" si="2"/>
        <v/>
      </c>
      <c r="AD21" s="337" t="str">
        <f t="shared" si="12"/>
        <v/>
      </c>
      <c r="AE21" s="577" t="str">
        <f t="shared" si="13"/>
        <v/>
      </c>
      <c r="AF21" s="326"/>
      <c r="AG21" s="326"/>
      <c r="AH21" s="326"/>
    </row>
    <row r="22" spans="1:34" customFormat="1" x14ac:dyDescent="0.5">
      <c r="A22" s="449">
        <v>19</v>
      </c>
      <c r="B22" s="182"/>
      <c r="C22" s="3"/>
      <c r="D22" s="3"/>
      <c r="E22" s="3"/>
      <c r="F22" s="183"/>
      <c r="G22" s="183"/>
      <c r="I22" s="558" t="str">
        <f t="shared" si="3"/>
        <v/>
      </c>
      <c r="J22" s="574" t="str">
        <f t="shared" si="4"/>
        <v/>
      </c>
      <c r="K22" s="337" t="str">
        <f t="shared" si="5"/>
        <v/>
      </c>
      <c r="M22" s="558" t="str">
        <f t="shared" si="6"/>
        <v/>
      </c>
      <c r="N22" s="575" t="str">
        <f t="shared" si="0"/>
        <v/>
      </c>
      <c r="P22" s="27"/>
      <c r="Q22" s="576" t="str">
        <f t="shared" si="14"/>
        <v/>
      </c>
      <c r="R22" s="337" t="str">
        <f t="shared" si="7"/>
        <v/>
      </c>
      <c r="S22" s="577" t="str">
        <f t="shared" si="8"/>
        <v/>
      </c>
      <c r="W22" s="578" t="str">
        <f t="shared" si="9"/>
        <v/>
      </c>
      <c r="X22" s="337" t="str">
        <f t="shared" si="10"/>
        <v/>
      </c>
      <c r="Y22" s="577" t="str">
        <f t="shared" si="11"/>
        <v/>
      </c>
      <c r="Z22" s="326"/>
      <c r="AA22" s="326"/>
      <c r="AB22" s="326"/>
      <c r="AC22" s="578" t="str">
        <f t="shared" si="2"/>
        <v/>
      </c>
      <c r="AD22" s="337" t="str">
        <f t="shared" si="12"/>
        <v/>
      </c>
      <c r="AE22" s="577" t="str">
        <f t="shared" si="13"/>
        <v/>
      </c>
      <c r="AF22" s="326"/>
      <c r="AG22" s="326"/>
      <c r="AH22" s="326"/>
    </row>
    <row r="23" spans="1:34" customFormat="1" x14ac:dyDescent="0.5">
      <c r="A23" s="449">
        <v>20</v>
      </c>
      <c r="B23" s="182"/>
      <c r="C23" s="3"/>
      <c r="D23" s="3"/>
      <c r="E23" s="3"/>
      <c r="F23" s="183"/>
      <c r="G23" s="183"/>
      <c r="I23" s="558" t="str">
        <f t="shared" si="3"/>
        <v/>
      </c>
      <c r="J23" s="574" t="str">
        <f t="shared" si="4"/>
        <v/>
      </c>
      <c r="K23" s="337" t="str">
        <f t="shared" si="5"/>
        <v/>
      </c>
      <c r="M23" s="558" t="str">
        <f t="shared" si="6"/>
        <v/>
      </c>
      <c r="N23" s="575" t="str">
        <f t="shared" si="0"/>
        <v/>
      </c>
      <c r="P23" s="27"/>
      <c r="Q23" s="576" t="str">
        <f t="shared" si="14"/>
        <v/>
      </c>
      <c r="R23" s="337" t="str">
        <f t="shared" si="7"/>
        <v/>
      </c>
      <c r="S23" s="577" t="str">
        <f t="shared" si="8"/>
        <v/>
      </c>
      <c r="W23" s="578" t="str">
        <f t="shared" si="9"/>
        <v/>
      </c>
      <c r="X23" s="337" t="str">
        <f t="shared" si="10"/>
        <v/>
      </c>
      <c r="Y23" s="577" t="str">
        <f t="shared" si="11"/>
        <v/>
      </c>
      <c r="Z23" s="326"/>
      <c r="AA23" s="326"/>
      <c r="AB23" s="326"/>
      <c r="AC23" s="578" t="str">
        <f t="shared" si="2"/>
        <v/>
      </c>
      <c r="AD23" s="337" t="str">
        <f t="shared" si="12"/>
        <v/>
      </c>
      <c r="AE23" s="577" t="str">
        <f t="shared" si="13"/>
        <v/>
      </c>
      <c r="AF23" s="326"/>
      <c r="AG23" s="326"/>
      <c r="AH23" s="326"/>
    </row>
    <row r="24" spans="1:34" customFormat="1" x14ac:dyDescent="0.5">
      <c r="A24" s="449">
        <v>21</v>
      </c>
      <c r="B24" s="182"/>
      <c r="C24" s="3"/>
      <c r="D24" s="3"/>
      <c r="E24" s="3"/>
      <c r="F24" s="183"/>
      <c r="G24" s="183"/>
      <c r="I24" s="558" t="str">
        <f t="shared" si="3"/>
        <v/>
      </c>
      <c r="J24" s="574" t="str">
        <f t="shared" si="4"/>
        <v/>
      </c>
      <c r="K24" s="337" t="str">
        <f t="shared" si="5"/>
        <v/>
      </c>
      <c r="M24" s="558" t="str">
        <f t="shared" si="6"/>
        <v/>
      </c>
      <c r="N24" s="575" t="str">
        <f t="shared" si="0"/>
        <v/>
      </c>
      <c r="P24" s="27"/>
      <c r="Q24" s="576" t="str">
        <f t="shared" si="14"/>
        <v/>
      </c>
      <c r="R24" s="337" t="str">
        <f t="shared" si="7"/>
        <v/>
      </c>
      <c r="S24" s="577" t="str">
        <f t="shared" si="8"/>
        <v/>
      </c>
      <c r="W24" s="578" t="str">
        <f t="shared" si="9"/>
        <v/>
      </c>
      <c r="X24" s="337" t="str">
        <f t="shared" si="10"/>
        <v/>
      </c>
      <c r="Y24" s="577" t="str">
        <f t="shared" si="11"/>
        <v/>
      </c>
      <c r="Z24" s="326"/>
      <c r="AA24" s="326"/>
      <c r="AB24" s="326"/>
      <c r="AC24" s="578" t="str">
        <f t="shared" si="2"/>
        <v/>
      </c>
      <c r="AD24" s="337" t="str">
        <f t="shared" si="12"/>
        <v/>
      </c>
      <c r="AE24" s="577" t="str">
        <f t="shared" si="13"/>
        <v/>
      </c>
      <c r="AF24" s="326"/>
      <c r="AG24" s="326"/>
      <c r="AH24" s="326"/>
    </row>
    <row r="25" spans="1:34" customFormat="1" x14ac:dyDescent="0.5">
      <c r="A25" s="449">
        <v>22</v>
      </c>
      <c r="B25" s="182"/>
      <c r="C25" s="3"/>
      <c r="D25" s="3"/>
      <c r="E25" s="3"/>
      <c r="F25" s="183"/>
      <c r="G25" s="183"/>
      <c r="I25" s="558" t="str">
        <f t="shared" si="3"/>
        <v/>
      </c>
      <c r="J25" s="574" t="str">
        <f t="shared" si="4"/>
        <v/>
      </c>
      <c r="K25" s="337" t="str">
        <f t="shared" si="5"/>
        <v/>
      </c>
      <c r="M25" s="558" t="str">
        <f t="shared" si="6"/>
        <v/>
      </c>
      <c r="N25" s="575" t="str">
        <f t="shared" si="0"/>
        <v/>
      </c>
      <c r="P25" s="27"/>
      <c r="Q25" s="576" t="str">
        <f t="shared" si="14"/>
        <v/>
      </c>
      <c r="R25" s="337" t="str">
        <f t="shared" si="7"/>
        <v/>
      </c>
      <c r="S25" s="577" t="str">
        <f t="shared" si="8"/>
        <v/>
      </c>
      <c r="W25" s="578" t="str">
        <f t="shared" si="9"/>
        <v/>
      </c>
      <c r="X25" s="337" t="str">
        <f t="shared" si="10"/>
        <v/>
      </c>
      <c r="Y25" s="577" t="str">
        <f t="shared" si="11"/>
        <v/>
      </c>
      <c r="Z25" s="326"/>
      <c r="AA25" s="326"/>
      <c r="AB25" s="326"/>
      <c r="AC25" s="578" t="str">
        <f t="shared" si="2"/>
        <v/>
      </c>
      <c r="AD25" s="337" t="str">
        <f t="shared" si="12"/>
        <v/>
      </c>
      <c r="AE25" s="577" t="str">
        <f t="shared" si="13"/>
        <v/>
      </c>
      <c r="AF25" s="326"/>
      <c r="AG25" s="326"/>
      <c r="AH25" s="326"/>
    </row>
    <row r="26" spans="1:34" customFormat="1" x14ac:dyDescent="0.5">
      <c r="A26" s="449">
        <v>23</v>
      </c>
      <c r="B26" s="182"/>
      <c r="C26" s="3"/>
      <c r="D26" s="3"/>
      <c r="E26" s="3"/>
      <c r="F26" s="183"/>
      <c r="G26" s="183"/>
      <c r="I26" s="558" t="str">
        <f t="shared" si="3"/>
        <v/>
      </c>
      <c r="J26" s="574" t="str">
        <f t="shared" si="4"/>
        <v/>
      </c>
      <c r="K26" s="337" t="str">
        <f t="shared" si="5"/>
        <v/>
      </c>
      <c r="M26" s="558" t="str">
        <f t="shared" si="6"/>
        <v/>
      </c>
      <c r="N26" s="575" t="str">
        <f t="shared" si="0"/>
        <v/>
      </c>
      <c r="P26" s="27"/>
      <c r="Q26" s="576" t="str">
        <f t="shared" si="14"/>
        <v/>
      </c>
      <c r="R26" s="337" t="str">
        <f t="shared" si="7"/>
        <v/>
      </c>
      <c r="S26" s="577" t="str">
        <f t="shared" si="8"/>
        <v/>
      </c>
      <c r="W26" s="578" t="str">
        <f t="shared" si="9"/>
        <v/>
      </c>
      <c r="X26" s="337" t="str">
        <f t="shared" si="10"/>
        <v/>
      </c>
      <c r="Y26" s="577" t="str">
        <f t="shared" si="11"/>
        <v/>
      </c>
      <c r="Z26" s="326"/>
      <c r="AA26" s="326"/>
      <c r="AB26" s="326"/>
      <c r="AC26" s="578" t="str">
        <f t="shared" si="2"/>
        <v/>
      </c>
      <c r="AD26" s="337" t="str">
        <f t="shared" si="12"/>
        <v/>
      </c>
      <c r="AE26" s="577" t="str">
        <f t="shared" si="13"/>
        <v/>
      </c>
      <c r="AF26" s="326"/>
      <c r="AG26" s="326"/>
      <c r="AH26" s="326"/>
    </row>
    <row r="27" spans="1:34" customFormat="1" x14ac:dyDescent="0.5">
      <c r="A27" s="449">
        <v>24</v>
      </c>
      <c r="B27" s="182"/>
      <c r="C27" s="3"/>
      <c r="D27" s="3"/>
      <c r="E27" s="3"/>
      <c r="F27" s="183"/>
      <c r="G27" s="183"/>
      <c r="I27" s="558" t="str">
        <f t="shared" si="3"/>
        <v/>
      </c>
      <c r="J27" s="574" t="str">
        <f t="shared" si="4"/>
        <v/>
      </c>
      <c r="K27" s="337" t="str">
        <f t="shared" si="5"/>
        <v/>
      </c>
      <c r="M27" s="558" t="str">
        <f t="shared" si="6"/>
        <v/>
      </c>
      <c r="N27" s="575" t="str">
        <f t="shared" si="0"/>
        <v/>
      </c>
      <c r="P27" s="27"/>
      <c r="Q27" s="576" t="str">
        <f t="shared" si="14"/>
        <v/>
      </c>
      <c r="R27" s="337" t="str">
        <f t="shared" si="7"/>
        <v/>
      </c>
      <c r="S27" s="577" t="str">
        <f t="shared" si="8"/>
        <v/>
      </c>
      <c r="W27" s="578" t="str">
        <f t="shared" si="9"/>
        <v/>
      </c>
      <c r="X27" s="337" t="str">
        <f t="shared" si="10"/>
        <v/>
      </c>
      <c r="Y27" s="577" t="str">
        <f t="shared" si="11"/>
        <v/>
      </c>
      <c r="Z27" s="326"/>
      <c r="AA27" s="326"/>
      <c r="AB27" s="326"/>
      <c r="AC27" s="578" t="str">
        <f t="shared" si="2"/>
        <v/>
      </c>
      <c r="AD27" s="337" t="str">
        <f t="shared" si="12"/>
        <v/>
      </c>
      <c r="AE27" s="577" t="str">
        <f t="shared" si="13"/>
        <v/>
      </c>
      <c r="AF27" s="326"/>
      <c r="AG27" s="326"/>
      <c r="AH27" s="326"/>
    </row>
    <row r="28" spans="1:34" customFormat="1" x14ac:dyDescent="0.5">
      <c r="A28" s="449">
        <v>25</v>
      </c>
      <c r="B28" s="182"/>
      <c r="C28" s="3"/>
      <c r="D28" s="3"/>
      <c r="E28" s="3"/>
      <c r="F28" s="183"/>
      <c r="G28" s="183"/>
      <c r="I28" s="558" t="str">
        <f t="shared" si="3"/>
        <v/>
      </c>
      <c r="J28" s="574" t="str">
        <f t="shared" si="4"/>
        <v/>
      </c>
      <c r="K28" s="337" t="str">
        <f t="shared" si="5"/>
        <v/>
      </c>
      <c r="M28" s="558" t="str">
        <f t="shared" si="6"/>
        <v/>
      </c>
      <c r="N28" s="575" t="str">
        <f t="shared" si="0"/>
        <v/>
      </c>
      <c r="P28" s="27"/>
      <c r="Q28" s="576" t="str">
        <f t="shared" si="14"/>
        <v/>
      </c>
      <c r="R28" s="337" t="str">
        <f t="shared" si="7"/>
        <v/>
      </c>
      <c r="S28" s="577" t="str">
        <f t="shared" si="8"/>
        <v/>
      </c>
      <c r="W28" s="578" t="str">
        <f t="shared" si="9"/>
        <v/>
      </c>
      <c r="X28" s="337" t="str">
        <f t="shared" si="10"/>
        <v/>
      </c>
      <c r="Y28" s="577" t="str">
        <f t="shared" si="11"/>
        <v/>
      </c>
      <c r="Z28" s="326"/>
      <c r="AA28" s="326"/>
      <c r="AB28" s="326"/>
      <c r="AC28" s="578" t="str">
        <f t="shared" si="2"/>
        <v/>
      </c>
      <c r="AD28" s="337" t="str">
        <f t="shared" si="12"/>
        <v/>
      </c>
      <c r="AE28" s="577" t="str">
        <f t="shared" si="13"/>
        <v/>
      </c>
      <c r="AF28" s="326"/>
      <c r="AG28" s="326"/>
      <c r="AH28" s="326"/>
    </row>
    <row r="29" spans="1:34" customFormat="1" x14ac:dyDescent="0.5">
      <c r="A29" s="449">
        <v>26</v>
      </c>
      <c r="B29" s="182"/>
      <c r="C29" s="3"/>
      <c r="D29" s="3"/>
      <c r="E29" s="3"/>
      <c r="F29" s="183"/>
      <c r="G29" s="183"/>
      <c r="I29" s="558" t="str">
        <f t="shared" si="3"/>
        <v/>
      </c>
      <c r="J29" s="574" t="str">
        <f t="shared" si="4"/>
        <v/>
      </c>
      <c r="K29" s="337" t="str">
        <f t="shared" si="5"/>
        <v/>
      </c>
      <c r="M29" s="558" t="str">
        <f t="shared" si="6"/>
        <v/>
      </c>
      <c r="N29" s="575" t="str">
        <f t="shared" si="0"/>
        <v/>
      </c>
      <c r="P29" s="27"/>
      <c r="Q29" s="576" t="str">
        <f t="shared" si="14"/>
        <v/>
      </c>
      <c r="R29" s="337" t="str">
        <f t="shared" si="7"/>
        <v/>
      </c>
      <c r="S29" s="577" t="str">
        <f t="shared" si="8"/>
        <v/>
      </c>
      <c r="W29" s="578" t="str">
        <f t="shared" si="9"/>
        <v/>
      </c>
      <c r="X29" s="337" t="str">
        <f t="shared" si="10"/>
        <v/>
      </c>
      <c r="Y29" s="577" t="str">
        <f t="shared" si="11"/>
        <v/>
      </c>
      <c r="Z29" s="326"/>
      <c r="AA29" s="326"/>
      <c r="AB29" s="326"/>
      <c r="AC29" s="578" t="str">
        <f t="shared" si="2"/>
        <v/>
      </c>
      <c r="AD29" s="337" t="str">
        <f t="shared" si="12"/>
        <v/>
      </c>
      <c r="AE29" s="577" t="str">
        <f t="shared" si="13"/>
        <v/>
      </c>
      <c r="AF29" s="326"/>
      <c r="AG29" s="326"/>
      <c r="AH29" s="326"/>
    </row>
    <row r="30" spans="1:34" customFormat="1" x14ac:dyDescent="0.5">
      <c r="A30" s="449">
        <v>27</v>
      </c>
      <c r="B30" s="182"/>
      <c r="C30" s="3"/>
      <c r="D30" s="3"/>
      <c r="E30" s="3"/>
      <c r="F30" s="183"/>
      <c r="G30" s="183"/>
      <c r="I30" s="558" t="str">
        <f t="shared" si="3"/>
        <v/>
      </c>
      <c r="J30" s="574" t="str">
        <f t="shared" si="4"/>
        <v/>
      </c>
      <c r="K30" s="337" t="str">
        <f t="shared" si="5"/>
        <v/>
      </c>
      <c r="M30" s="558" t="str">
        <f t="shared" si="6"/>
        <v/>
      </c>
      <c r="N30" s="575" t="str">
        <f t="shared" si="0"/>
        <v/>
      </c>
      <c r="P30" s="27"/>
      <c r="Q30" s="576" t="str">
        <f t="shared" si="14"/>
        <v/>
      </c>
      <c r="R30" s="337" t="str">
        <f t="shared" si="7"/>
        <v/>
      </c>
      <c r="S30" s="577" t="str">
        <f t="shared" si="8"/>
        <v/>
      </c>
      <c r="W30" s="578" t="str">
        <f t="shared" si="9"/>
        <v/>
      </c>
      <c r="X30" s="337" t="str">
        <f t="shared" si="10"/>
        <v/>
      </c>
      <c r="Y30" s="577" t="str">
        <f t="shared" si="11"/>
        <v/>
      </c>
      <c r="Z30" s="326"/>
      <c r="AA30" s="326"/>
      <c r="AB30" s="326"/>
      <c r="AC30" s="578" t="str">
        <f t="shared" si="2"/>
        <v/>
      </c>
      <c r="AD30" s="337" t="str">
        <f t="shared" si="12"/>
        <v/>
      </c>
      <c r="AE30" s="577" t="str">
        <f t="shared" si="13"/>
        <v/>
      </c>
      <c r="AF30" s="326"/>
      <c r="AG30" s="326"/>
      <c r="AH30" s="326"/>
    </row>
    <row r="31" spans="1:34" customFormat="1" x14ac:dyDescent="0.5">
      <c r="A31" s="449">
        <v>28</v>
      </c>
      <c r="B31" s="182"/>
      <c r="C31" s="3"/>
      <c r="D31" s="3"/>
      <c r="E31" s="3"/>
      <c r="F31" s="183"/>
      <c r="G31" s="183"/>
      <c r="I31" s="558" t="str">
        <f t="shared" si="3"/>
        <v/>
      </c>
      <c r="J31" s="574" t="str">
        <f t="shared" si="4"/>
        <v/>
      </c>
      <c r="K31" s="337" t="str">
        <f t="shared" si="5"/>
        <v/>
      </c>
      <c r="M31" s="558" t="str">
        <f t="shared" si="6"/>
        <v/>
      </c>
      <c r="N31" s="575" t="str">
        <f t="shared" si="0"/>
        <v/>
      </c>
      <c r="P31" s="27"/>
      <c r="Q31" s="576" t="str">
        <f t="shared" si="14"/>
        <v/>
      </c>
      <c r="R31" s="337" t="str">
        <f t="shared" si="7"/>
        <v/>
      </c>
      <c r="S31" s="577" t="str">
        <f t="shared" si="8"/>
        <v/>
      </c>
      <c r="W31" s="578" t="str">
        <f t="shared" si="9"/>
        <v/>
      </c>
      <c r="X31" s="337" t="str">
        <f t="shared" si="10"/>
        <v/>
      </c>
      <c r="Y31" s="577" t="str">
        <f t="shared" si="11"/>
        <v/>
      </c>
      <c r="Z31" s="326"/>
      <c r="AA31" s="326"/>
      <c r="AB31" s="326"/>
      <c r="AC31" s="578" t="str">
        <f t="shared" si="2"/>
        <v/>
      </c>
      <c r="AD31" s="337" t="str">
        <f t="shared" si="12"/>
        <v/>
      </c>
      <c r="AE31" s="577" t="str">
        <f t="shared" si="13"/>
        <v/>
      </c>
      <c r="AF31" s="326"/>
      <c r="AG31" s="326"/>
      <c r="AH31" s="326"/>
    </row>
    <row r="32" spans="1:34" customFormat="1" x14ac:dyDescent="0.5">
      <c r="A32" s="449">
        <v>29</v>
      </c>
      <c r="B32" s="182"/>
      <c r="C32" s="3"/>
      <c r="D32" s="3"/>
      <c r="E32" s="3"/>
      <c r="F32" s="183"/>
      <c r="G32" s="183"/>
      <c r="I32" s="558" t="str">
        <f t="shared" si="3"/>
        <v/>
      </c>
      <c r="J32" s="574" t="str">
        <f t="shared" si="4"/>
        <v/>
      </c>
      <c r="K32" s="337" t="str">
        <f t="shared" si="5"/>
        <v/>
      </c>
      <c r="M32" s="558" t="str">
        <f t="shared" si="6"/>
        <v/>
      </c>
      <c r="N32" s="575" t="str">
        <f t="shared" si="0"/>
        <v/>
      </c>
      <c r="P32" s="27"/>
      <c r="Q32" s="576" t="str">
        <f t="shared" si="14"/>
        <v/>
      </c>
      <c r="R32" s="337" t="str">
        <f t="shared" si="7"/>
        <v/>
      </c>
      <c r="S32" s="577" t="str">
        <f t="shared" si="8"/>
        <v/>
      </c>
      <c r="W32" s="578" t="str">
        <f t="shared" si="9"/>
        <v/>
      </c>
      <c r="X32" s="337" t="str">
        <f t="shared" si="10"/>
        <v/>
      </c>
      <c r="Y32" s="577" t="str">
        <f t="shared" si="11"/>
        <v/>
      </c>
      <c r="Z32" s="326"/>
      <c r="AA32" s="326"/>
      <c r="AB32" s="326"/>
      <c r="AC32" s="578" t="str">
        <f t="shared" si="2"/>
        <v/>
      </c>
      <c r="AD32" s="337" t="str">
        <f t="shared" si="12"/>
        <v/>
      </c>
      <c r="AE32" s="577" t="str">
        <f t="shared" si="13"/>
        <v/>
      </c>
      <c r="AF32" s="326"/>
      <c r="AG32" s="326"/>
      <c r="AH32" s="326"/>
    </row>
    <row r="33" spans="1:31" s="326" customFormat="1" x14ac:dyDescent="0.5">
      <c r="A33" s="449">
        <v>30</v>
      </c>
      <c r="B33" s="182"/>
      <c r="C33" s="328"/>
      <c r="D33" s="328"/>
      <c r="E33" s="328"/>
      <c r="F33" s="183"/>
      <c r="G33" s="183"/>
      <c r="I33" s="558" t="str">
        <f t="shared" si="3"/>
        <v/>
      </c>
      <c r="J33" s="574" t="str">
        <f t="shared" si="4"/>
        <v/>
      </c>
      <c r="K33" s="337" t="str">
        <f t="shared" si="5"/>
        <v/>
      </c>
      <c r="M33" s="558" t="str">
        <f t="shared" si="6"/>
        <v/>
      </c>
      <c r="N33" s="575" t="str">
        <f t="shared" si="0"/>
        <v/>
      </c>
      <c r="P33" s="336"/>
      <c r="Q33" s="576" t="str">
        <f t="shared" si="14"/>
        <v/>
      </c>
      <c r="R33" s="337"/>
      <c r="S33" s="577"/>
      <c r="W33" s="578" t="str">
        <f t="shared" si="9"/>
        <v/>
      </c>
      <c r="X33" s="337" t="str">
        <f t="shared" si="10"/>
        <v/>
      </c>
      <c r="Y33" s="577" t="str">
        <f t="shared" si="11"/>
        <v/>
      </c>
      <c r="AC33" s="578" t="str">
        <f t="shared" si="2"/>
        <v/>
      </c>
      <c r="AD33" s="337" t="str">
        <f t="shared" si="12"/>
        <v/>
      </c>
      <c r="AE33" s="577" t="str">
        <f t="shared" si="13"/>
        <v/>
      </c>
    </row>
    <row r="34" spans="1:31" s="326" customFormat="1" x14ac:dyDescent="0.5">
      <c r="A34" s="449">
        <v>31</v>
      </c>
      <c r="B34" s="182"/>
      <c r="C34" s="328"/>
      <c r="D34" s="328"/>
      <c r="E34" s="328"/>
      <c r="F34" s="183"/>
      <c r="G34" s="183"/>
      <c r="I34" s="558" t="str">
        <f t="shared" si="3"/>
        <v/>
      </c>
      <c r="J34" s="574" t="str">
        <f t="shared" si="4"/>
        <v/>
      </c>
      <c r="K34" s="337" t="str">
        <f t="shared" si="5"/>
        <v/>
      </c>
      <c r="M34" s="558" t="str">
        <f t="shared" si="6"/>
        <v/>
      </c>
      <c r="N34" s="575" t="str">
        <f t="shared" si="0"/>
        <v/>
      </c>
      <c r="P34" s="336"/>
      <c r="Q34" s="576" t="str">
        <f t="shared" si="14"/>
        <v/>
      </c>
      <c r="R34" s="337"/>
      <c r="S34" s="577"/>
      <c r="W34" s="578" t="str">
        <f t="shared" si="9"/>
        <v/>
      </c>
      <c r="X34" s="337" t="str">
        <f t="shared" si="10"/>
        <v/>
      </c>
      <c r="Y34" s="577" t="str">
        <f t="shared" si="11"/>
        <v/>
      </c>
      <c r="AC34" s="578" t="str">
        <f t="shared" si="2"/>
        <v/>
      </c>
      <c r="AD34" s="337" t="str">
        <f t="shared" si="12"/>
        <v/>
      </c>
      <c r="AE34" s="577" t="str">
        <f t="shared" si="13"/>
        <v/>
      </c>
    </row>
    <row r="35" spans="1:31" s="326" customFormat="1" x14ac:dyDescent="0.5">
      <c r="A35" s="449">
        <v>32</v>
      </c>
      <c r="B35" s="182"/>
      <c r="C35" s="328"/>
      <c r="D35" s="328"/>
      <c r="E35" s="328"/>
      <c r="F35" s="183"/>
      <c r="G35" s="183"/>
      <c r="I35" s="558" t="str">
        <f t="shared" si="3"/>
        <v/>
      </c>
      <c r="J35" s="574" t="str">
        <f t="shared" si="4"/>
        <v/>
      </c>
      <c r="K35" s="337" t="str">
        <f t="shared" si="5"/>
        <v/>
      </c>
      <c r="M35" s="558" t="str">
        <f t="shared" si="6"/>
        <v/>
      </c>
      <c r="N35" s="575" t="str">
        <f t="shared" si="0"/>
        <v/>
      </c>
      <c r="P35" s="336"/>
      <c r="Q35" s="576" t="str">
        <f t="shared" si="14"/>
        <v/>
      </c>
      <c r="R35" s="337"/>
      <c r="S35" s="577"/>
      <c r="W35" s="578" t="str">
        <f t="shared" si="9"/>
        <v/>
      </c>
      <c r="X35" s="337" t="str">
        <f t="shared" si="10"/>
        <v/>
      </c>
      <c r="Y35" s="577" t="str">
        <f t="shared" si="11"/>
        <v/>
      </c>
      <c r="AC35" s="578" t="str">
        <f t="shared" si="2"/>
        <v/>
      </c>
      <c r="AD35" s="337" t="str">
        <f t="shared" si="12"/>
        <v/>
      </c>
      <c r="AE35" s="577" t="str">
        <f t="shared" si="13"/>
        <v/>
      </c>
    </row>
    <row r="36" spans="1:31" s="326" customFormat="1" x14ac:dyDescent="0.5">
      <c r="A36" s="449">
        <v>33</v>
      </c>
      <c r="B36" s="182"/>
      <c r="C36" s="328"/>
      <c r="D36" s="328"/>
      <c r="E36" s="328"/>
      <c r="F36" s="183"/>
      <c r="G36" s="183"/>
      <c r="I36" s="558" t="str">
        <f t="shared" si="3"/>
        <v/>
      </c>
      <c r="J36" s="574" t="str">
        <f t="shared" si="4"/>
        <v/>
      </c>
      <c r="K36" s="337" t="str">
        <f t="shared" si="5"/>
        <v/>
      </c>
      <c r="M36" s="558" t="str">
        <f t="shared" si="6"/>
        <v/>
      </c>
      <c r="N36" s="575" t="str">
        <f t="shared" ref="N36:N53" si="15">IF($M36="","",IF($M36&lt;1+$L$1,IF($M36&gt;1-$L$1,"≈0","Too dilute"),IF($E36="","?",($M36*$E36)-$E36)))</f>
        <v/>
      </c>
      <c r="P36" s="336"/>
      <c r="Q36" s="576" t="str">
        <f t="shared" si="14"/>
        <v/>
      </c>
      <c r="R36" s="337"/>
      <c r="S36" s="577"/>
      <c r="W36" s="578" t="str">
        <f t="shared" si="9"/>
        <v/>
      </c>
      <c r="X36" s="337" t="str">
        <f t="shared" si="10"/>
        <v/>
      </c>
      <c r="Y36" s="577" t="str">
        <f t="shared" si="11"/>
        <v/>
      </c>
      <c r="AC36" s="578" t="str">
        <f t="shared" si="2"/>
        <v/>
      </c>
      <c r="AD36" s="337" t="str">
        <f t="shared" si="12"/>
        <v/>
      </c>
      <c r="AE36" s="577" t="str">
        <f t="shared" si="13"/>
        <v/>
      </c>
    </row>
    <row r="37" spans="1:31" s="326" customFormat="1" x14ac:dyDescent="0.5">
      <c r="A37" s="449">
        <v>34</v>
      </c>
      <c r="B37" s="182"/>
      <c r="C37" s="328"/>
      <c r="D37" s="328"/>
      <c r="E37" s="328"/>
      <c r="F37" s="183"/>
      <c r="G37" s="183"/>
      <c r="I37" s="558" t="str">
        <f t="shared" si="3"/>
        <v/>
      </c>
      <c r="J37" s="574" t="str">
        <f t="shared" si="4"/>
        <v/>
      </c>
      <c r="K37" s="337" t="str">
        <f t="shared" si="5"/>
        <v/>
      </c>
      <c r="M37" s="558" t="str">
        <f t="shared" si="6"/>
        <v/>
      </c>
      <c r="N37" s="575" t="str">
        <f t="shared" si="15"/>
        <v/>
      </c>
      <c r="P37" s="336"/>
      <c r="Q37" s="576" t="str">
        <f t="shared" si="14"/>
        <v/>
      </c>
      <c r="R37" s="337"/>
      <c r="S37" s="577"/>
      <c r="W37" s="578" t="str">
        <f t="shared" si="9"/>
        <v/>
      </c>
      <c r="X37" s="337" t="str">
        <f t="shared" si="10"/>
        <v/>
      </c>
      <c r="Y37" s="577" t="str">
        <f t="shared" si="11"/>
        <v/>
      </c>
      <c r="AC37" s="578" t="str">
        <f t="shared" si="2"/>
        <v/>
      </c>
      <c r="AD37" s="337" t="str">
        <f t="shared" si="12"/>
        <v/>
      </c>
      <c r="AE37" s="577" t="str">
        <f t="shared" si="13"/>
        <v/>
      </c>
    </row>
    <row r="38" spans="1:31" s="326" customFormat="1" x14ac:dyDescent="0.5">
      <c r="A38" s="449">
        <v>35</v>
      </c>
      <c r="B38" s="182"/>
      <c r="C38" s="328"/>
      <c r="D38" s="328"/>
      <c r="E38" s="328"/>
      <c r="F38" s="183"/>
      <c r="G38" s="183"/>
      <c r="I38" s="558" t="str">
        <f t="shared" si="3"/>
        <v/>
      </c>
      <c r="J38" s="574" t="str">
        <f t="shared" si="4"/>
        <v/>
      </c>
      <c r="K38" s="337" t="str">
        <f t="shared" si="5"/>
        <v/>
      </c>
      <c r="M38" s="558" t="str">
        <f t="shared" si="6"/>
        <v/>
      </c>
      <c r="N38" s="575" t="str">
        <f t="shared" si="15"/>
        <v/>
      </c>
      <c r="P38" s="336"/>
      <c r="Q38" s="576" t="str">
        <f t="shared" si="14"/>
        <v/>
      </c>
      <c r="R38" s="337"/>
      <c r="S38" s="577"/>
      <c r="W38" s="578" t="str">
        <f t="shared" si="9"/>
        <v/>
      </c>
      <c r="X38" s="337" t="str">
        <f t="shared" si="10"/>
        <v/>
      </c>
      <c r="Y38" s="577" t="str">
        <f t="shared" si="11"/>
        <v/>
      </c>
      <c r="AC38" s="578" t="str">
        <f t="shared" si="2"/>
        <v/>
      </c>
      <c r="AD38" s="337" t="str">
        <f t="shared" si="12"/>
        <v/>
      </c>
      <c r="AE38" s="577" t="str">
        <f t="shared" si="13"/>
        <v/>
      </c>
    </row>
    <row r="39" spans="1:31" s="326" customFormat="1" x14ac:dyDescent="0.5">
      <c r="A39" s="449">
        <v>36</v>
      </c>
      <c r="B39" s="182"/>
      <c r="C39" s="328"/>
      <c r="D39" s="328"/>
      <c r="E39" s="328"/>
      <c r="F39" s="183"/>
      <c r="G39" s="183"/>
      <c r="I39" s="558" t="str">
        <f t="shared" si="3"/>
        <v/>
      </c>
      <c r="J39" s="574" t="str">
        <f t="shared" si="4"/>
        <v/>
      </c>
      <c r="K39" s="337" t="str">
        <f t="shared" si="5"/>
        <v/>
      </c>
      <c r="M39" s="558" t="str">
        <f t="shared" si="6"/>
        <v/>
      </c>
      <c r="N39" s="575" t="str">
        <f t="shared" si="15"/>
        <v/>
      </c>
      <c r="P39" s="336"/>
      <c r="Q39" s="576" t="str">
        <f t="shared" si="14"/>
        <v/>
      </c>
      <c r="R39" s="337"/>
      <c r="S39" s="577"/>
      <c r="W39" s="578" t="str">
        <f t="shared" si="9"/>
        <v/>
      </c>
      <c r="X39" s="337" t="str">
        <f t="shared" si="10"/>
        <v/>
      </c>
      <c r="Y39" s="577" t="str">
        <f t="shared" si="11"/>
        <v/>
      </c>
      <c r="AC39" s="578" t="str">
        <f t="shared" si="2"/>
        <v/>
      </c>
      <c r="AD39" s="337" t="str">
        <f t="shared" si="12"/>
        <v/>
      </c>
      <c r="AE39" s="577" t="str">
        <f t="shared" si="13"/>
        <v/>
      </c>
    </row>
    <row r="40" spans="1:31" s="326" customFormat="1" x14ac:dyDescent="0.5">
      <c r="A40" s="449">
        <v>37</v>
      </c>
      <c r="B40" s="182"/>
      <c r="C40" s="328"/>
      <c r="D40" s="328"/>
      <c r="E40" s="328"/>
      <c r="F40" s="183"/>
      <c r="G40" s="183"/>
      <c r="I40" s="558" t="str">
        <f t="shared" si="3"/>
        <v/>
      </c>
      <c r="J40" s="574" t="str">
        <f t="shared" si="4"/>
        <v/>
      </c>
      <c r="K40" s="337" t="str">
        <f t="shared" si="5"/>
        <v/>
      </c>
      <c r="M40" s="558" t="str">
        <f t="shared" si="6"/>
        <v/>
      </c>
      <c r="N40" s="575" t="str">
        <f t="shared" si="15"/>
        <v/>
      </c>
      <c r="P40" s="336"/>
      <c r="Q40" s="576" t="str">
        <f t="shared" si="14"/>
        <v/>
      </c>
      <c r="R40" s="337"/>
      <c r="S40" s="577"/>
      <c r="W40" s="578" t="str">
        <f t="shared" si="9"/>
        <v/>
      </c>
      <c r="X40" s="337" t="str">
        <f t="shared" si="10"/>
        <v/>
      </c>
      <c r="Y40" s="577" t="str">
        <f t="shared" si="11"/>
        <v/>
      </c>
      <c r="AC40" s="578" t="str">
        <f t="shared" si="2"/>
        <v/>
      </c>
      <c r="AD40" s="337" t="str">
        <f t="shared" si="12"/>
        <v/>
      </c>
      <c r="AE40" s="577" t="str">
        <f t="shared" si="13"/>
        <v/>
      </c>
    </row>
    <row r="41" spans="1:31" s="326" customFormat="1" x14ac:dyDescent="0.5">
      <c r="A41" s="449">
        <v>38</v>
      </c>
      <c r="B41" s="182"/>
      <c r="C41" s="328"/>
      <c r="D41" s="328"/>
      <c r="E41" s="328"/>
      <c r="F41" s="183"/>
      <c r="G41" s="183"/>
      <c r="I41" s="558" t="str">
        <f t="shared" si="3"/>
        <v/>
      </c>
      <c r="J41" s="574" t="str">
        <f t="shared" si="4"/>
        <v/>
      </c>
      <c r="K41" s="337" t="str">
        <f t="shared" si="5"/>
        <v/>
      </c>
      <c r="M41" s="558" t="str">
        <f t="shared" si="6"/>
        <v/>
      </c>
      <c r="N41" s="575" t="str">
        <f t="shared" si="15"/>
        <v/>
      </c>
      <c r="P41" s="336"/>
      <c r="Q41" s="576" t="str">
        <f t="shared" si="14"/>
        <v/>
      </c>
      <c r="R41" s="337"/>
      <c r="S41" s="577"/>
      <c r="W41" s="578" t="str">
        <f t="shared" si="9"/>
        <v/>
      </c>
      <c r="X41" s="337" t="str">
        <f t="shared" si="10"/>
        <v/>
      </c>
      <c r="Y41" s="577" t="str">
        <f t="shared" si="11"/>
        <v/>
      </c>
      <c r="AC41" s="578" t="str">
        <f t="shared" si="2"/>
        <v/>
      </c>
      <c r="AD41" s="337" t="str">
        <f t="shared" si="12"/>
        <v/>
      </c>
      <c r="AE41" s="577" t="str">
        <f t="shared" si="13"/>
        <v/>
      </c>
    </row>
    <row r="42" spans="1:31" s="326" customFormat="1" x14ac:dyDescent="0.5">
      <c r="A42" s="449">
        <v>39</v>
      </c>
      <c r="B42" s="182"/>
      <c r="C42" s="328"/>
      <c r="D42" s="328"/>
      <c r="E42" s="328"/>
      <c r="F42" s="183"/>
      <c r="G42" s="183"/>
      <c r="I42" s="558" t="str">
        <f t="shared" si="3"/>
        <v/>
      </c>
      <c r="J42" s="574" t="str">
        <f t="shared" si="4"/>
        <v/>
      </c>
      <c r="K42" s="337" t="str">
        <f t="shared" si="5"/>
        <v/>
      </c>
      <c r="M42" s="558" t="str">
        <f t="shared" si="6"/>
        <v/>
      </c>
      <c r="N42" s="575" t="str">
        <f t="shared" si="15"/>
        <v/>
      </c>
      <c r="P42" s="336"/>
      <c r="Q42" s="576" t="str">
        <f t="shared" si="14"/>
        <v/>
      </c>
      <c r="R42" s="337"/>
      <c r="S42" s="577"/>
      <c r="W42" s="578" t="str">
        <f t="shared" si="9"/>
        <v/>
      </c>
      <c r="X42" s="337" t="str">
        <f t="shared" si="10"/>
        <v/>
      </c>
      <c r="Y42" s="577" t="str">
        <f t="shared" si="11"/>
        <v/>
      </c>
      <c r="AC42" s="578" t="str">
        <f t="shared" si="2"/>
        <v/>
      </c>
      <c r="AD42" s="337" t="str">
        <f t="shared" si="12"/>
        <v/>
      </c>
      <c r="AE42" s="577" t="str">
        <f t="shared" si="13"/>
        <v/>
      </c>
    </row>
    <row r="43" spans="1:31" s="326" customFormat="1" x14ac:dyDescent="0.5">
      <c r="A43" s="449">
        <v>40</v>
      </c>
      <c r="B43" s="182"/>
      <c r="C43" s="328"/>
      <c r="D43" s="328"/>
      <c r="E43" s="328"/>
      <c r="F43" s="183"/>
      <c r="G43" s="183"/>
      <c r="I43" s="558" t="str">
        <f t="shared" si="3"/>
        <v/>
      </c>
      <c r="J43" s="574" t="str">
        <f t="shared" si="4"/>
        <v/>
      </c>
      <c r="K43" s="337" t="str">
        <f t="shared" si="5"/>
        <v/>
      </c>
      <c r="M43" s="558" t="str">
        <f t="shared" si="6"/>
        <v/>
      </c>
      <c r="N43" s="575" t="str">
        <f t="shared" si="15"/>
        <v/>
      </c>
      <c r="P43" s="336"/>
      <c r="Q43" s="576" t="str">
        <f t="shared" si="14"/>
        <v/>
      </c>
      <c r="R43" s="337"/>
      <c r="S43" s="577"/>
      <c r="W43" s="578" t="str">
        <f t="shared" si="9"/>
        <v/>
      </c>
      <c r="X43" s="337" t="str">
        <f t="shared" si="10"/>
        <v/>
      </c>
      <c r="Y43" s="577" t="str">
        <f t="shared" si="11"/>
        <v/>
      </c>
      <c r="AC43" s="578" t="str">
        <f t="shared" si="2"/>
        <v/>
      </c>
      <c r="AD43" s="337" t="str">
        <f t="shared" si="12"/>
        <v/>
      </c>
      <c r="AE43" s="577" t="str">
        <f t="shared" si="13"/>
        <v/>
      </c>
    </row>
    <row r="44" spans="1:31" s="326" customFormat="1" x14ac:dyDescent="0.5">
      <c r="A44" s="449">
        <v>41</v>
      </c>
      <c r="B44" s="182"/>
      <c r="C44" s="328"/>
      <c r="D44" s="328"/>
      <c r="E44" s="328"/>
      <c r="F44" s="183"/>
      <c r="G44" s="183"/>
      <c r="I44" s="558" t="str">
        <f t="shared" si="3"/>
        <v/>
      </c>
      <c r="J44" s="574" t="str">
        <f t="shared" si="4"/>
        <v/>
      </c>
      <c r="K44" s="337" t="str">
        <f t="shared" si="5"/>
        <v/>
      </c>
      <c r="M44" s="558" t="str">
        <f t="shared" si="6"/>
        <v/>
      </c>
      <c r="N44" s="575" t="str">
        <f t="shared" si="15"/>
        <v/>
      </c>
      <c r="P44" s="336"/>
      <c r="Q44" s="576" t="str">
        <f t="shared" si="14"/>
        <v/>
      </c>
      <c r="R44" s="337"/>
      <c r="S44" s="577"/>
      <c r="W44" s="578" t="str">
        <f t="shared" si="9"/>
        <v/>
      </c>
      <c r="X44" s="337" t="str">
        <f t="shared" si="10"/>
        <v/>
      </c>
      <c r="Y44" s="577" t="str">
        <f t="shared" si="11"/>
        <v/>
      </c>
      <c r="AC44" s="578" t="str">
        <f t="shared" si="2"/>
        <v/>
      </c>
      <c r="AD44" s="337" t="str">
        <f t="shared" si="12"/>
        <v/>
      </c>
      <c r="AE44" s="577" t="str">
        <f t="shared" si="13"/>
        <v/>
      </c>
    </row>
    <row r="45" spans="1:31" s="326" customFormat="1" x14ac:dyDescent="0.5">
      <c r="A45" s="449">
        <v>42</v>
      </c>
      <c r="B45" s="182"/>
      <c r="C45" s="328"/>
      <c r="D45" s="328"/>
      <c r="E45" s="328"/>
      <c r="F45" s="183"/>
      <c r="G45" s="183"/>
      <c r="I45" s="558" t="str">
        <f t="shared" si="3"/>
        <v/>
      </c>
      <c r="J45" s="574" t="str">
        <f t="shared" si="4"/>
        <v/>
      </c>
      <c r="K45" s="337" t="str">
        <f t="shared" si="5"/>
        <v/>
      </c>
      <c r="M45" s="558" t="str">
        <f t="shared" si="6"/>
        <v/>
      </c>
      <c r="N45" s="575" t="str">
        <f t="shared" si="15"/>
        <v/>
      </c>
      <c r="P45" s="336"/>
      <c r="Q45" s="576" t="str">
        <f t="shared" si="14"/>
        <v/>
      </c>
      <c r="R45" s="337"/>
      <c r="S45" s="577"/>
      <c r="W45" s="578" t="str">
        <f t="shared" si="9"/>
        <v/>
      </c>
      <c r="X45" s="337" t="str">
        <f t="shared" si="10"/>
        <v/>
      </c>
      <c r="Y45" s="577" t="str">
        <f t="shared" si="11"/>
        <v/>
      </c>
      <c r="AC45" s="578" t="str">
        <f t="shared" si="2"/>
        <v/>
      </c>
      <c r="AD45" s="337" t="str">
        <f t="shared" si="12"/>
        <v/>
      </c>
      <c r="AE45" s="577" t="str">
        <f t="shared" si="13"/>
        <v/>
      </c>
    </row>
    <row r="46" spans="1:31" s="326" customFormat="1" x14ac:dyDescent="0.5">
      <c r="A46" s="449">
        <v>43</v>
      </c>
      <c r="B46" s="182"/>
      <c r="C46" s="328"/>
      <c r="D46" s="328"/>
      <c r="E46" s="328"/>
      <c r="F46" s="183"/>
      <c r="G46" s="183"/>
      <c r="I46" s="558" t="str">
        <f t="shared" si="3"/>
        <v/>
      </c>
      <c r="J46" s="574" t="str">
        <f t="shared" si="4"/>
        <v/>
      </c>
      <c r="K46" s="337" t="str">
        <f t="shared" si="5"/>
        <v/>
      </c>
      <c r="M46" s="558" t="str">
        <f t="shared" si="6"/>
        <v/>
      </c>
      <c r="N46" s="575" t="str">
        <f t="shared" si="15"/>
        <v/>
      </c>
      <c r="P46" s="336"/>
      <c r="Q46" s="576" t="str">
        <f t="shared" si="14"/>
        <v/>
      </c>
      <c r="R46" s="337"/>
      <c r="S46" s="577"/>
      <c r="W46" s="578" t="str">
        <f t="shared" si="9"/>
        <v/>
      </c>
      <c r="X46" s="337" t="str">
        <f t="shared" si="10"/>
        <v/>
      </c>
      <c r="Y46" s="577" t="str">
        <f t="shared" si="11"/>
        <v/>
      </c>
      <c r="AC46" s="578" t="str">
        <f t="shared" si="2"/>
        <v/>
      </c>
      <c r="AD46" s="337" t="str">
        <f t="shared" si="12"/>
        <v/>
      </c>
      <c r="AE46" s="577" t="str">
        <f t="shared" si="13"/>
        <v/>
      </c>
    </row>
    <row r="47" spans="1:31" s="326" customFormat="1" x14ac:dyDescent="0.5">
      <c r="A47" s="449">
        <v>44</v>
      </c>
      <c r="B47" s="182"/>
      <c r="C47" s="328"/>
      <c r="D47" s="328"/>
      <c r="E47" s="328"/>
      <c r="F47" s="183"/>
      <c r="G47" s="183"/>
      <c r="I47" s="558" t="str">
        <f t="shared" si="3"/>
        <v/>
      </c>
      <c r="J47" s="574" t="str">
        <f t="shared" si="4"/>
        <v/>
      </c>
      <c r="K47" s="337" t="str">
        <f t="shared" si="5"/>
        <v/>
      </c>
      <c r="M47" s="558" t="str">
        <f t="shared" si="6"/>
        <v/>
      </c>
      <c r="N47" s="575" t="str">
        <f t="shared" si="15"/>
        <v/>
      </c>
      <c r="P47" s="336"/>
      <c r="Q47" s="576" t="str">
        <f t="shared" si="14"/>
        <v/>
      </c>
      <c r="R47" s="337"/>
      <c r="S47" s="577"/>
      <c r="W47" s="578" t="str">
        <f t="shared" si="9"/>
        <v/>
      </c>
      <c r="X47" s="337" t="str">
        <f t="shared" si="10"/>
        <v/>
      </c>
      <c r="Y47" s="577" t="str">
        <f t="shared" si="11"/>
        <v/>
      </c>
      <c r="AC47" s="578" t="str">
        <f t="shared" si="2"/>
        <v/>
      </c>
      <c r="AD47" s="337" t="str">
        <f t="shared" si="12"/>
        <v/>
      </c>
      <c r="AE47" s="577" t="str">
        <f t="shared" si="13"/>
        <v/>
      </c>
    </row>
    <row r="48" spans="1:31" s="326" customFormat="1" x14ac:dyDescent="0.5">
      <c r="A48" s="449">
        <v>45</v>
      </c>
      <c r="B48" s="182"/>
      <c r="C48" s="328"/>
      <c r="D48" s="328"/>
      <c r="E48" s="328"/>
      <c r="F48" s="183"/>
      <c r="G48" s="183"/>
      <c r="I48" s="558" t="str">
        <f t="shared" si="3"/>
        <v/>
      </c>
      <c r="J48" s="574" t="str">
        <f t="shared" si="4"/>
        <v/>
      </c>
      <c r="K48" s="337" t="str">
        <f t="shared" si="5"/>
        <v/>
      </c>
      <c r="M48" s="558" t="str">
        <f t="shared" si="6"/>
        <v/>
      </c>
      <c r="N48" s="575" t="str">
        <f t="shared" si="15"/>
        <v/>
      </c>
      <c r="P48" s="336"/>
      <c r="Q48" s="576" t="str">
        <f t="shared" si="14"/>
        <v/>
      </c>
      <c r="R48" s="337"/>
      <c r="S48" s="577"/>
      <c r="W48" s="578" t="str">
        <f t="shared" si="9"/>
        <v/>
      </c>
      <c r="X48" s="337" t="str">
        <f t="shared" si="10"/>
        <v/>
      </c>
      <c r="Y48" s="577" t="str">
        <f t="shared" si="11"/>
        <v/>
      </c>
      <c r="AC48" s="578" t="str">
        <f t="shared" si="2"/>
        <v/>
      </c>
      <c r="AD48" s="337" t="str">
        <f t="shared" si="12"/>
        <v/>
      </c>
      <c r="AE48" s="577" t="str">
        <f t="shared" si="13"/>
        <v/>
      </c>
    </row>
    <row r="49" spans="1:34" s="326" customFormat="1" x14ac:dyDescent="0.5">
      <c r="A49" s="449">
        <v>46</v>
      </c>
      <c r="B49" s="182"/>
      <c r="C49" s="328"/>
      <c r="D49" s="328"/>
      <c r="E49" s="328"/>
      <c r="F49" s="183"/>
      <c r="G49" s="183"/>
      <c r="I49" s="558" t="str">
        <f t="shared" si="3"/>
        <v/>
      </c>
      <c r="J49" s="574" t="str">
        <f t="shared" si="4"/>
        <v/>
      </c>
      <c r="K49" s="337" t="str">
        <f t="shared" si="5"/>
        <v/>
      </c>
      <c r="M49" s="558" t="str">
        <f t="shared" si="6"/>
        <v/>
      </c>
      <c r="N49" s="575" t="str">
        <f t="shared" si="15"/>
        <v/>
      </c>
      <c r="P49" s="336"/>
      <c r="Q49" s="576" t="str">
        <f t="shared" si="14"/>
        <v/>
      </c>
      <c r="R49" s="337"/>
      <c r="S49" s="577"/>
      <c r="W49" s="578" t="str">
        <f t="shared" si="9"/>
        <v/>
      </c>
      <c r="X49" s="337" t="str">
        <f t="shared" si="10"/>
        <v/>
      </c>
      <c r="Y49" s="577" t="str">
        <f t="shared" si="11"/>
        <v/>
      </c>
      <c r="AC49" s="578" t="str">
        <f t="shared" si="2"/>
        <v/>
      </c>
      <c r="AD49" s="337" t="str">
        <f t="shared" si="12"/>
        <v/>
      </c>
      <c r="AE49" s="577" t="str">
        <f t="shared" si="13"/>
        <v/>
      </c>
    </row>
    <row r="50" spans="1:34" s="326" customFormat="1" x14ac:dyDescent="0.5">
      <c r="A50" s="449">
        <v>47</v>
      </c>
      <c r="B50" s="182"/>
      <c r="C50" s="328"/>
      <c r="D50" s="328"/>
      <c r="E50" s="328"/>
      <c r="F50" s="183"/>
      <c r="G50" s="183"/>
      <c r="I50" s="558" t="str">
        <f t="shared" si="3"/>
        <v/>
      </c>
      <c r="J50" s="574" t="str">
        <f t="shared" si="4"/>
        <v/>
      </c>
      <c r="K50" s="337" t="str">
        <f t="shared" si="5"/>
        <v/>
      </c>
      <c r="M50" s="558" t="str">
        <f t="shared" si="6"/>
        <v/>
      </c>
      <c r="N50" s="575" t="str">
        <f t="shared" si="15"/>
        <v/>
      </c>
      <c r="P50" s="336"/>
      <c r="Q50" s="576" t="str">
        <f t="shared" si="14"/>
        <v/>
      </c>
      <c r="R50" s="337"/>
      <c r="S50" s="577"/>
      <c r="W50" s="578" t="str">
        <f t="shared" si="9"/>
        <v/>
      </c>
      <c r="X50" s="337" t="str">
        <f t="shared" si="10"/>
        <v/>
      </c>
      <c r="Y50" s="577" t="str">
        <f t="shared" si="11"/>
        <v/>
      </c>
      <c r="AC50" s="578" t="str">
        <f t="shared" si="2"/>
        <v/>
      </c>
      <c r="AD50" s="337" t="str">
        <f t="shared" si="12"/>
        <v/>
      </c>
      <c r="AE50" s="577" t="str">
        <f t="shared" si="13"/>
        <v/>
      </c>
    </row>
    <row r="51" spans="1:34" s="326" customFormat="1" x14ac:dyDescent="0.5">
      <c r="A51" s="449">
        <v>48</v>
      </c>
      <c r="B51" s="182"/>
      <c r="C51" s="328"/>
      <c r="D51" s="328"/>
      <c r="E51" s="164"/>
      <c r="F51" s="547"/>
      <c r="G51" s="183"/>
      <c r="I51" s="558" t="str">
        <f t="shared" si="3"/>
        <v/>
      </c>
      <c r="J51" s="574" t="str">
        <f t="shared" si="4"/>
        <v/>
      </c>
      <c r="K51" s="337" t="str">
        <f t="shared" si="5"/>
        <v/>
      </c>
      <c r="M51" s="558" t="str">
        <f t="shared" si="6"/>
        <v/>
      </c>
      <c r="N51" s="575" t="str">
        <f t="shared" si="15"/>
        <v/>
      </c>
      <c r="P51" s="336"/>
      <c r="Q51" s="576" t="str">
        <f t="shared" si="14"/>
        <v/>
      </c>
      <c r="R51" s="337"/>
      <c r="S51" s="577"/>
      <c r="W51" s="578" t="str">
        <f t="shared" si="9"/>
        <v/>
      </c>
      <c r="X51" s="337" t="str">
        <f t="shared" si="10"/>
        <v/>
      </c>
      <c r="Y51" s="577" t="str">
        <f t="shared" si="11"/>
        <v/>
      </c>
      <c r="AC51" s="578" t="str">
        <f t="shared" si="2"/>
        <v/>
      </c>
      <c r="AD51" s="337" t="str">
        <f t="shared" si="12"/>
        <v/>
      </c>
      <c r="AE51" s="577" t="str">
        <f t="shared" si="13"/>
        <v/>
      </c>
    </row>
    <row r="52" spans="1:34" s="326" customFormat="1" x14ac:dyDescent="0.5">
      <c r="A52" s="449">
        <v>49</v>
      </c>
      <c r="B52" s="182"/>
      <c r="C52" s="328"/>
      <c r="D52" s="328"/>
      <c r="E52" s="328"/>
      <c r="F52" s="183"/>
      <c r="G52" s="183"/>
      <c r="I52" s="558" t="str">
        <f t="shared" si="3"/>
        <v/>
      </c>
      <c r="J52" s="574" t="str">
        <f t="shared" si="4"/>
        <v/>
      </c>
      <c r="K52" s="337" t="str">
        <f t="shared" si="5"/>
        <v/>
      </c>
      <c r="M52" s="558" t="str">
        <f t="shared" si="6"/>
        <v/>
      </c>
      <c r="N52" s="575" t="str">
        <f t="shared" si="15"/>
        <v/>
      </c>
      <c r="P52" s="336"/>
      <c r="Q52" s="576" t="str">
        <f t="shared" si="14"/>
        <v/>
      </c>
      <c r="R52" s="337"/>
      <c r="S52" s="577"/>
      <c r="W52" s="578" t="str">
        <f t="shared" si="9"/>
        <v/>
      </c>
      <c r="X52" s="337" t="str">
        <f t="shared" si="10"/>
        <v/>
      </c>
      <c r="Y52" s="577" t="str">
        <f t="shared" si="11"/>
        <v/>
      </c>
      <c r="AC52" s="578" t="str">
        <f t="shared" si="2"/>
        <v/>
      </c>
      <c r="AD52" s="337" t="str">
        <f t="shared" si="12"/>
        <v/>
      </c>
      <c r="AE52" s="577" t="str">
        <f t="shared" si="13"/>
        <v/>
      </c>
    </row>
    <row r="53" spans="1:34" customFormat="1" x14ac:dyDescent="0.5">
      <c r="A53" s="449">
        <v>50</v>
      </c>
      <c r="B53" s="182"/>
      <c r="C53" s="328"/>
      <c r="D53" s="328"/>
      <c r="E53" s="164"/>
      <c r="F53" s="547"/>
      <c r="G53" s="547"/>
      <c r="I53" s="558" t="str">
        <f t="shared" si="3"/>
        <v/>
      </c>
      <c r="J53" s="574" t="str">
        <f t="shared" si="4"/>
        <v/>
      </c>
      <c r="K53" s="337" t="str">
        <f t="shared" si="5"/>
        <v/>
      </c>
      <c r="M53" s="558" t="str">
        <f t="shared" si="6"/>
        <v/>
      </c>
      <c r="N53" s="575" t="str">
        <f t="shared" si="15"/>
        <v/>
      </c>
      <c r="P53" s="27"/>
      <c r="Q53" s="576" t="str">
        <f t="shared" si="14"/>
        <v/>
      </c>
      <c r="R53" s="560" t="str">
        <f t="shared" si="7"/>
        <v/>
      </c>
      <c r="S53" s="579" t="str">
        <f t="shared" si="8"/>
        <v/>
      </c>
      <c r="W53" s="578" t="str">
        <f t="shared" si="9"/>
        <v/>
      </c>
      <c r="X53" s="337" t="str">
        <f>IF(W53="","","µL")</f>
        <v/>
      </c>
      <c r="Y53" s="577" t="str">
        <f>IF(W53="","",AA$2-AA$3-W53)</f>
        <v/>
      </c>
      <c r="Z53" s="326"/>
      <c r="AA53" s="326"/>
      <c r="AB53" s="326"/>
      <c r="AC53" s="578" t="str">
        <f t="shared" si="2"/>
        <v/>
      </c>
      <c r="AD53" s="337" t="str">
        <f t="shared" si="12"/>
        <v/>
      </c>
      <c r="AE53" s="577" t="str">
        <f t="shared" si="13"/>
        <v/>
      </c>
      <c r="AF53" s="326"/>
      <c r="AG53" s="326"/>
      <c r="AH53" s="326"/>
    </row>
    <row r="55" spans="1:34" ht="14.45" customHeight="1" x14ac:dyDescent="0.5">
      <c r="C55" s="673" t="s">
        <v>379</v>
      </c>
      <c r="D55" s="673"/>
      <c r="E55" s="673"/>
      <c r="F55" s="673"/>
      <c r="G55" s="673"/>
      <c r="H55" s="673"/>
      <c r="I55" s="673"/>
      <c r="J55" s="673"/>
      <c r="K55" s="673"/>
      <c r="L55" s="673"/>
      <c r="M55" s="673"/>
      <c r="N55" s="673"/>
      <c r="Q55" s="339" t="s">
        <v>237</v>
      </c>
      <c r="AC55" s="339" t="s">
        <v>238</v>
      </c>
    </row>
    <row r="56" spans="1:34" x14ac:dyDescent="0.5">
      <c r="C56" s="673"/>
      <c r="D56" s="673"/>
      <c r="E56" s="673"/>
      <c r="F56" s="673"/>
      <c r="G56" s="673"/>
      <c r="H56" s="673"/>
      <c r="I56" s="673"/>
      <c r="J56" s="673"/>
      <c r="K56" s="673"/>
      <c r="L56" s="673"/>
      <c r="M56" s="673"/>
      <c r="N56" s="673"/>
    </row>
    <row r="57" spans="1:34" x14ac:dyDescent="0.5">
      <c r="C57" s="673"/>
      <c r="D57" s="673"/>
      <c r="E57" s="673"/>
      <c r="F57" s="673"/>
      <c r="G57" s="673"/>
      <c r="H57" s="673"/>
      <c r="I57" s="673"/>
      <c r="J57" s="673"/>
      <c r="K57" s="673"/>
      <c r="L57" s="673"/>
      <c r="M57" s="673"/>
      <c r="N57" s="673"/>
    </row>
    <row r="58" spans="1:34" ht="14.35" customHeight="1" x14ac:dyDescent="0.5">
      <c r="C58" s="673" t="s">
        <v>366</v>
      </c>
      <c r="D58" s="673"/>
      <c r="E58" s="673"/>
      <c r="F58" s="673"/>
      <c r="G58" s="673"/>
      <c r="H58" s="673"/>
      <c r="I58" s="673"/>
      <c r="J58" s="673"/>
      <c r="K58" s="673"/>
      <c r="L58" s="673"/>
      <c r="M58" s="673"/>
      <c r="N58" s="673"/>
    </row>
    <row r="59" spans="1:34" x14ac:dyDescent="0.5">
      <c r="C59" s="673"/>
      <c r="D59" s="673"/>
      <c r="E59" s="673"/>
      <c r="F59" s="673"/>
      <c r="G59" s="673"/>
      <c r="H59" s="673"/>
      <c r="I59" s="673"/>
      <c r="J59" s="673"/>
      <c r="K59" s="673"/>
      <c r="L59" s="673"/>
      <c r="M59" s="673"/>
      <c r="N59" s="673"/>
    </row>
    <row r="60" spans="1:34" ht="14.45" customHeight="1" x14ac:dyDescent="0.5">
      <c r="C60" s="673" t="s">
        <v>367</v>
      </c>
      <c r="D60" s="673"/>
      <c r="E60" s="673"/>
      <c r="F60" s="673"/>
      <c r="G60" s="673"/>
      <c r="H60" s="673"/>
      <c r="I60" s="673"/>
      <c r="J60" s="673"/>
      <c r="K60" s="673"/>
      <c r="L60" s="673"/>
      <c r="M60" s="673"/>
      <c r="N60" s="673"/>
    </row>
    <row r="61" spans="1:34" x14ac:dyDescent="0.5">
      <c r="C61" s="339" t="s">
        <v>376</v>
      </c>
    </row>
    <row r="62" spans="1:34" x14ac:dyDescent="0.5">
      <c r="C62" s="339" t="s">
        <v>251</v>
      </c>
    </row>
    <row r="63" spans="1:34" x14ac:dyDescent="0.5">
      <c r="C63" s="339" t="s">
        <v>252</v>
      </c>
    </row>
    <row r="66" spans="1:34" ht="247.7" customHeight="1" x14ac:dyDescent="0.5">
      <c r="A66" s="561"/>
      <c r="B66" s="561"/>
      <c r="C66" s="674" t="s">
        <v>395</v>
      </c>
      <c r="D66" s="675"/>
      <c r="E66" s="675"/>
      <c r="F66" s="675"/>
      <c r="G66" s="675"/>
      <c r="H66" s="675"/>
      <c r="I66" s="675"/>
      <c r="J66" s="675"/>
      <c r="K66" s="675"/>
      <c r="L66" s="675"/>
      <c r="M66" s="675"/>
      <c r="N66" s="675"/>
      <c r="O66" s="675"/>
      <c r="P66" s="675"/>
    </row>
    <row r="67" spans="1:34" s="550" customFormat="1" ht="34.35" customHeight="1" x14ac:dyDescent="0.55000000000000004">
      <c r="A67" s="561"/>
      <c r="B67" s="561"/>
      <c r="C67" s="555" t="s">
        <v>192</v>
      </c>
      <c r="D67" s="561"/>
      <c r="E67" s="561"/>
      <c r="F67" s="561"/>
      <c r="G67" s="561"/>
      <c r="H67" s="561"/>
      <c r="I67" s="561"/>
      <c r="J67" s="446"/>
      <c r="K67" s="450" t="s">
        <v>305</v>
      </c>
      <c r="L67" s="451">
        <v>0.05</v>
      </c>
      <c r="M67" s="198" t="s">
        <v>167</v>
      </c>
      <c r="N67" s="436" t="str">
        <f>CONCATENATE(M68*1000000000000000/1000000," nM or fmol/µL")</f>
        <v>50 nM or fmol/µL</v>
      </c>
      <c r="O67" s="431"/>
      <c r="P67" s="336"/>
      <c r="Q67" s="679" t="s">
        <v>288</v>
      </c>
      <c r="R67" s="680"/>
      <c r="S67" s="680"/>
      <c r="T67" s="680"/>
      <c r="U67" s="680"/>
      <c r="V67" s="680"/>
      <c r="W67" s="681" t="s">
        <v>289</v>
      </c>
      <c r="X67" s="680"/>
      <c r="Y67" s="680"/>
      <c r="Z67" s="680"/>
      <c r="AA67" s="680"/>
      <c r="AB67" s="680"/>
      <c r="AC67" s="681" t="s">
        <v>284</v>
      </c>
      <c r="AD67" s="680"/>
      <c r="AE67" s="680"/>
      <c r="AF67" s="680"/>
      <c r="AG67" s="680"/>
      <c r="AH67" s="680"/>
    </row>
    <row r="68" spans="1:34" s="550" customFormat="1" ht="18" thickBot="1" x14ac:dyDescent="0.75">
      <c r="B68" s="689" t="s">
        <v>298</v>
      </c>
      <c r="C68" s="689"/>
      <c r="D68" s="689"/>
      <c r="E68" s="689"/>
      <c r="F68" s="548"/>
      <c r="G68" s="548"/>
      <c r="J68" s="685" t="s">
        <v>197</v>
      </c>
      <c r="K68" s="686"/>
      <c r="L68" s="269"/>
      <c r="M68" s="557">
        <v>4.9999999999999998E-8</v>
      </c>
      <c r="N68" s="432" t="s">
        <v>17</v>
      </c>
      <c r="P68" s="336"/>
      <c r="Q68" s="687" t="s">
        <v>196</v>
      </c>
      <c r="R68" s="688"/>
      <c r="S68" s="682" t="s">
        <v>287</v>
      </c>
      <c r="T68" s="408" t="s">
        <v>390</v>
      </c>
      <c r="U68" s="409">
        <v>15</v>
      </c>
      <c r="V68" s="410" t="s">
        <v>10</v>
      </c>
      <c r="W68" s="677" t="s">
        <v>196</v>
      </c>
      <c r="X68" s="678"/>
      <c r="Y68" s="682" t="s">
        <v>287</v>
      </c>
      <c r="Z68" s="408" t="s">
        <v>390</v>
      </c>
      <c r="AA68" s="409">
        <v>15</v>
      </c>
      <c r="AB68" s="410" t="s">
        <v>10</v>
      </c>
      <c r="AC68" s="677" t="s">
        <v>196</v>
      </c>
      <c r="AD68" s="678"/>
      <c r="AE68" s="682" t="s">
        <v>287</v>
      </c>
      <c r="AF68" s="408" t="s">
        <v>390</v>
      </c>
      <c r="AG68" s="409">
        <v>15</v>
      </c>
      <c r="AH68" s="410" t="s">
        <v>10</v>
      </c>
    </row>
    <row r="69" spans="1:34" s="15" customFormat="1" ht="34.200000000000003" customHeight="1" thickTop="1" x14ac:dyDescent="0.5">
      <c r="A69" s="271"/>
      <c r="B69" s="437" t="s">
        <v>128</v>
      </c>
      <c r="C69" s="272" t="s">
        <v>299</v>
      </c>
      <c r="D69" s="272" t="s">
        <v>300</v>
      </c>
      <c r="E69" s="272" t="s">
        <v>371</v>
      </c>
      <c r="F69" s="439" t="s">
        <v>301</v>
      </c>
      <c r="G69" s="440" t="s">
        <v>377</v>
      </c>
      <c r="H69" s="271"/>
      <c r="I69" s="197" t="s">
        <v>211</v>
      </c>
      <c r="J69" s="556">
        <v>2.5000000000000001E-14</v>
      </c>
      <c r="K69" s="435" t="str">
        <f>"mol*" &amp; CHAR(10) &amp; "=" &amp; J69*1000000000000000 &amp; " fmol"</f>
        <v>mol*
=25 fmol</v>
      </c>
      <c r="L69" s="270"/>
      <c r="M69" s="318" t="s">
        <v>168</v>
      </c>
      <c r="N69" s="273" t="s">
        <v>198</v>
      </c>
      <c r="O69" s="445"/>
      <c r="P69" s="444"/>
      <c r="Q69" s="448">
        <v>500</v>
      </c>
      <c r="R69" s="447" t="s">
        <v>302</v>
      </c>
      <c r="S69" s="683"/>
      <c r="T69" s="441" t="s">
        <v>391</v>
      </c>
      <c r="U69" s="442">
        <v>2.5</v>
      </c>
      <c r="V69" s="443" t="s">
        <v>10</v>
      </c>
      <c r="W69" s="411">
        <v>100</v>
      </c>
      <c r="X69" s="181" t="s">
        <v>191</v>
      </c>
      <c r="Y69" s="683"/>
      <c r="Z69" s="441" t="s">
        <v>391</v>
      </c>
      <c r="AA69" s="442">
        <v>2.5</v>
      </c>
      <c r="AB69" s="443" t="s">
        <v>10</v>
      </c>
      <c r="AC69" s="433" t="s">
        <v>285</v>
      </c>
      <c r="AD69" s="434" t="s">
        <v>286</v>
      </c>
      <c r="AE69" s="683"/>
      <c r="AF69" s="441" t="s">
        <v>391</v>
      </c>
      <c r="AG69" s="442">
        <v>2.5</v>
      </c>
      <c r="AH69" s="443" t="s">
        <v>10</v>
      </c>
    </row>
    <row r="70" spans="1:34" s="550" customFormat="1" x14ac:dyDescent="0.5">
      <c r="A70" s="449">
        <v>1</v>
      </c>
      <c r="B70" s="182" t="s">
        <v>370</v>
      </c>
      <c r="C70" s="328">
        <v>3200</v>
      </c>
      <c r="D70" s="328">
        <v>200</v>
      </c>
      <c r="E70" s="328">
        <v>58</v>
      </c>
      <c r="F70" s="183"/>
      <c r="G70" s="183"/>
      <c r="I70" s="558">
        <f>IF($F70="",IF(OR(AND($C70="",$G70=""),$D70=""),"",IF($G70="",($D70*10^-9/10^-6)/($C70*615.88)*10^9,$D70/10^-6/$G70)),$F70)</f>
        <v>101.48080794960059</v>
      </c>
      <c r="J70" s="574">
        <f>IF($I70="","",J$3/($I70*10^-9)*10^6)</f>
        <v>0.24635199999999993</v>
      </c>
      <c r="K70" s="337" t="str">
        <f>IF(J70="","","µL")</f>
        <v>µL</v>
      </c>
      <c r="M70" s="125">
        <f>IF($I70="","",$I70*10^-9/M$2)</f>
        <v>2.0296161589920119</v>
      </c>
      <c r="N70" s="575">
        <f>IF($M70="","",IF($M70&lt;1+$L$1,IF($M70&gt;1-$L$1,"≈0","Too dilute"),IF($E70="","?",($M70*$E70)-$E70)))</f>
        <v>59.717737221536694</v>
      </c>
      <c r="P70" s="336"/>
      <c r="Q70" s="576">
        <f>IF($F70="",IF($D70="","",Q$3/$D70),(Q$3/($C70*617.89*$F70))*10^6)</f>
        <v>2.5</v>
      </c>
      <c r="R70" s="337" t="str">
        <f>IF(Q70="","","µL")</f>
        <v>µL</v>
      </c>
      <c r="S70" s="577">
        <f>IF(Q70="","",U$2-U$3-Q70)</f>
        <v>10</v>
      </c>
      <c r="W70" s="578">
        <f>IF($F70="",IF(OR($C70="",$D70=""),"",(W$3*$C70*0.001/$D70)),(W$3*$C70*0.001/($C70*617.89*$F70))*10^6)</f>
        <v>1.6</v>
      </c>
      <c r="X70" s="337" t="str">
        <f>IF(W70="","","µL")</f>
        <v>µL</v>
      </c>
      <c r="Y70" s="577">
        <f>IF(W70="","",AA$2-AA$3-W70)</f>
        <v>10.9</v>
      </c>
      <c r="AC70" s="578">
        <f t="shared" ref="AC70:AC74" si="16">IF($F70="",IF(OR($C70="",$D70=""),"",IF($C70&lt;6000,500/$D70,IF($C70&lt;=10000,800/$D70,1000/$D70))),IF($C70&lt;6000,(500/($C70*617.89*$F70))*10^6,IF($C70&lt;=10000,(800/($C70*617.89*$F70))*10^6,(1000/($C70*617.89*$F70))*10^6)))</f>
        <v>2.5</v>
      </c>
      <c r="AD70" s="337" t="str">
        <f>IF(AC70="","","µL")</f>
        <v>µL</v>
      </c>
      <c r="AE70" s="577">
        <f>IF(AC70="","",AG$2-AG$3-AC70)</f>
        <v>10</v>
      </c>
    </row>
    <row r="71" spans="1:34" s="550" customFormat="1" x14ac:dyDescent="0.5">
      <c r="A71" s="449">
        <v>2</v>
      </c>
      <c r="B71" s="182" t="s">
        <v>393</v>
      </c>
      <c r="C71" s="328">
        <v>3200</v>
      </c>
      <c r="D71" s="328">
        <v>200</v>
      </c>
      <c r="E71" s="328">
        <v>58</v>
      </c>
      <c r="F71" s="183">
        <v>50</v>
      </c>
      <c r="G71" s="183"/>
      <c r="I71" s="558">
        <f t="shared" ref="I71:I74" si="17">IF($F71="",IF(OR(AND($C71="",$G71=""),$D71=""),"",IF($G71="",($D71*10^-9/10^-6)/($C71*615.88)*10^9,$D71/10^-6/$G71)),$F71)</f>
        <v>50</v>
      </c>
      <c r="J71" s="574">
        <f>IF($I71="","",J$3/($I71*10^-9)*10^6)</f>
        <v>0.5</v>
      </c>
      <c r="K71" s="337" t="str">
        <f t="shared" ref="K71:K74" si="18">IF(J71="","","µL")</f>
        <v>µL</v>
      </c>
      <c r="M71" s="125">
        <f>IF($I71="","",$I71*10^-9/M$2)</f>
        <v>1.0000000000000002</v>
      </c>
      <c r="N71" s="575" t="str">
        <f>IF($M71="","",IF($M71&lt;1+$L$1,IF($M71&gt;1-$L$1,"≈0","Too dilute"),IF($E71="","?",($M71*$E71)-$E71)))</f>
        <v>≈0</v>
      </c>
      <c r="P71" s="336"/>
      <c r="Q71" s="576">
        <f>IF($F71="",IF($D71="","",Q$3/$D71),(Q$3/($C71*617.89*$F71))*10^6)</f>
        <v>5.057534512615514</v>
      </c>
      <c r="R71" s="337" t="str">
        <f t="shared" ref="R71:R74" si="19">IF(Q71="","","µL")</f>
        <v>µL</v>
      </c>
      <c r="S71" s="577">
        <f>IF(Q71="","",U$2-U$3-Q71)</f>
        <v>7.442465487384486</v>
      </c>
      <c r="W71" s="578">
        <f>IF($F71="",IF(OR($C71="",$D71=""),"",(W$3*$C71*0.001/$D71)),(W$3*$C71*0.001/($C71*617.89*$F71))*10^6)</f>
        <v>3.2368220880739291</v>
      </c>
      <c r="X71" s="337" t="str">
        <f t="shared" ref="X71:X74" si="20">IF(W71="","","µL")</f>
        <v>µL</v>
      </c>
      <c r="Y71" s="577">
        <f>IF(W71="","",AA$2-AA$3-W71)</f>
        <v>9.2631779119260713</v>
      </c>
      <c r="AC71" s="578">
        <f t="shared" si="16"/>
        <v>5.057534512615514</v>
      </c>
      <c r="AD71" s="337" t="str">
        <f t="shared" ref="AD71:AD74" si="21">IF(AC71="","","µL")</f>
        <v>µL</v>
      </c>
      <c r="AE71" s="577">
        <f>IF(AC71="","",AG$2-AG$3-AC71)</f>
        <v>7.442465487384486</v>
      </c>
    </row>
    <row r="72" spans="1:34" s="550" customFormat="1" x14ac:dyDescent="0.5">
      <c r="A72" s="449">
        <v>3</v>
      </c>
      <c r="B72" s="182" t="s">
        <v>373</v>
      </c>
      <c r="C72" s="328"/>
      <c r="D72" s="328">
        <v>200</v>
      </c>
      <c r="E72" s="328"/>
      <c r="F72" s="183"/>
      <c r="G72" s="559">
        <v>2000000</v>
      </c>
      <c r="I72" s="558">
        <f t="shared" si="17"/>
        <v>100</v>
      </c>
      <c r="J72" s="574">
        <f>IF($I72="","",J$3/($I72*10^-9)*10^6)</f>
        <v>0.25</v>
      </c>
      <c r="K72" s="337" t="str">
        <f t="shared" si="18"/>
        <v>µL</v>
      </c>
      <c r="M72" s="125">
        <f>IF($I72="","",$I72*10^-9/M$2)</f>
        <v>2.0000000000000004</v>
      </c>
      <c r="N72" s="575" t="str">
        <f>IF($M72="","",IF($M72&lt;1+$L$1,IF($M72&gt;1-$L$1,"≈0","Too dilute"),IF($E72="","?",($M72*$E72)-$E72)))</f>
        <v>?</v>
      </c>
      <c r="P72" s="336"/>
      <c r="Q72" s="576">
        <f>IF($F72="",IF($D72="","",Q$3/$D72),(Q$3/($C72*617.89*$F72))*10^6)</f>
        <v>2.5</v>
      </c>
      <c r="R72" s="337" t="str">
        <f t="shared" si="19"/>
        <v>µL</v>
      </c>
      <c r="S72" s="577">
        <f>IF(Q72="","",U$2-U$3-Q72)</f>
        <v>10</v>
      </c>
      <c r="W72" s="578" t="str">
        <f>IF($F72="",IF(OR($C72="",$D72=""),"",(W$3*$C72*0.001/$D72)),(W$3*$C72*0.001/($C72*617.89*$F72))*10^6)</f>
        <v/>
      </c>
      <c r="X72" s="337" t="str">
        <f t="shared" si="20"/>
        <v/>
      </c>
      <c r="Y72" s="577" t="str">
        <f>IF(W72="","",AA$2-AA$3-W72)</f>
        <v/>
      </c>
      <c r="AC72" s="578" t="str">
        <f t="shared" si="16"/>
        <v/>
      </c>
      <c r="AD72" s="337" t="str">
        <f t="shared" si="21"/>
        <v/>
      </c>
      <c r="AE72" s="577" t="str">
        <f>IF(AC72="","",AG$2-AG$3-AC72)</f>
        <v/>
      </c>
    </row>
    <row r="73" spans="1:34" s="550" customFormat="1" x14ac:dyDescent="0.5">
      <c r="A73" s="449">
        <v>4</v>
      </c>
      <c r="B73" s="182" t="s">
        <v>374</v>
      </c>
      <c r="C73" s="328"/>
      <c r="D73" s="328"/>
      <c r="E73" s="328"/>
      <c r="F73" s="183"/>
      <c r="G73" s="183"/>
      <c r="I73" s="558" t="str">
        <f t="shared" si="17"/>
        <v/>
      </c>
      <c r="J73" s="574" t="str">
        <f>IF($I73="","",J$3/($I73*10^-9)*10^6)</f>
        <v/>
      </c>
      <c r="K73" s="337" t="str">
        <f t="shared" si="18"/>
        <v/>
      </c>
      <c r="M73" s="125" t="str">
        <f>IF($I73="","",$I73*10^-9/M$2)</f>
        <v/>
      </c>
      <c r="N73" s="575" t="str">
        <f>IF($M73="","",IF($M73&lt;1+$L$1,IF($M73&gt;1-$L$1,"≈0","Too dilute"),IF($E73="","?",($M73*$E73)-$E73)))</f>
        <v/>
      </c>
      <c r="P73" s="336"/>
      <c r="Q73" s="576" t="str">
        <f>IF($F73="",IF($D73="","",Q$3/$D73),(Q$3/($C73*617.89*$F73))*10^6)</f>
        <v/>
      </c>
      <c r="R73" s="337" t="str">
        <f t="shared" si="19"/>
        <v/>
      </c>
      <c r="S73" s="577" t="str">
        <f>IF(Q73="","",U$2-U$3-Q73)</f>
        <v/>
      </c>
      <c r="W73" s="578" t="str">
        <f>IF($F73="",IF(OR($C73="",$D73=""),"",(W$3*$C73*0.001/$D73)),(W$3*$C73*0.001/($C73*617.89*$F73))*10^6)</f>
        <v/>
      </c>
      <c r="X73" s="337" t="str">
        <f t="shared" si="20"/>
        <v/>
      </c>
      <c r="Y73" s="577" t="str">
        <f>IF(W73="","",AA$2-AA$3-W73)</f>
        <v/>
      </c>
      <c r="AC73" s="578" t="str">
        <f t="shared" si="16"/>
        <v/>
      </c>
      <c r="AD73" s="337" t="str">
        <f t="shared" si="21"/>
        <v/>
      </c>
      <c r="AE73" s="577" t="str">
        <f>IF(AC73="","",AG$2-AG$3-AC73)</f>
        <v/>
      </c>
    </row>
    <row r="74" spans="1:34" s="550" customFormat="1" x14ac:dyDescent="0.5">
      <c r="A74" s="449">
        <v>5</v>
      </c>
      <c r="B74" s="182" t="s">
        <v>375</v>
      </c>
      <c r="C74" s="328"/>
      <c r="D74" s="328"/>
      <c r="E74" s="328"/>
      <c r="F74" s="183"/>
      <c r="G74" s="183"/>
      <c r="I74" s="558" t="str">
        <f t="shared" si="17"/>
        <v/>
      </c>
      <c r="J74" s="574" t="str">
        <f>IF($I74="","",J$3/($I74*10^-9)*10^6)</f>
        <v/>
      </c>
      <c r="K74" s="337" t="str">
        <f t="shared" si="18"/>
        <v/>
      </c>
      <c r="M74" s="125" t="str">
        <f>IF($I74="","",$I74*10^-9/M$2)</f>
        <v/>
      </c>
      <c r="N74" s="575" t="str">
        <f>IF($M74="","",IF($M74&lt;1+$L$1,IF($M74&gt;1-$L$1,"≈0","Too dilute"),IF($E74="","?",($M74*$E74)-$E74)))</f>
        <v/>
      </c>
      <c r="P74" s="336"/>
      <c r="Q74" s="576" t="str">
        <f>IF($F74="",IF($D74="","",Q$3/$D74),(Q$3/($C74*617.89*$F74))*10^6)</f>
        <v/>
      </c>
      <c r="R74" s="337" t="str">
        <f t="shared" si="19"/>
        <v/>
      </c>
      <c r="S74" s="577" t="str">
        <f>IF(Q74="","",U$2-U$3-Q74)</f>
        <v/>
      </c>
      <c r="W74" s="578" t="str">
        <f>IF($F74="",IF(OR($C74="",$D74=""),"",(W$3*$C74*0.001/$D74)),(W$3*$C74*0.001/($C74*617.89*$F74))*10^6)</f>
        <v/>
      </c>
      <c r="X74" s="337" t="str">
        <f t="shared" si="20"/>
        <v/>
      </c>
      <c r="Y74" s="577" t="str">
        <f>IF(W74="","",AA$2-AA$3-W74)</f>
        <v/>
      </c>
      <c r="AC74" s="578" t="str">
        <f t="shared" si="16"/>
        <v/>
      </c>
      <c r="AD74" s="337" t="str">
        <f t="shared" si="21"/>
        <v/>
      </c>
      <c r="AE74" s="577" t="str">
        <f>IF(AC74="","",AG$2-AG$3-AC74)</f>
        <v/>
      </c>
    </row>
    <row r="77" spans="1:34" x14ac:dyDescent="0.5">
      <c r="C77" s="676" t="s">
        <v>319</v>
      </c>
      <c r="D77" s="676"/>
    </row>
    <row r="78" spans="1:34" x14ac:dyDescent="0.5">
      <c r="C78" s="676"/>
      <c r="D78" s="676"/>
    </row>
  </sheetData>
  <mergeCells count="28">
    <mergeCell ref="AE68:AE69"/>
    <mergeCell ref="A1:H1"/>
    <mergeCell ref="J2:K2"/>
    <mergeCell ref="Q2:R2"/>
    <mergeCell ref="B2:E2"/>
    <mergeCell ref="Q67:V67"/>
    <mergeCell ref="Q1:V1"/>
    <mergeCell ref="W1:AB1"/>
    <mergeCell ref="AC1:AH1"/>
    <mergeCell ref="S2:S3"/>
    <mergeCell ref="Y2:Y3"/>
    <mergeCell ref="AE2:AE3"/>
    <mergeCell ref="C60:N60"/>
    <mergeCell ref="C66:P66"/>
    <mergeCell ref="C77:D78"/>
    <mergeCell ref="W2:X2"/>
    <mergeCell ref="AC2:AD2"/>
    <mergeCell ref="C55:N57"/>
    <mergeCell ref="C58:N59"/>
    <mergeCell ref="W67:AB67"/>
    <mergeCell ref="AC67:AH67"/>
    <mergeCell ref="B68:E68"/>
    <mergeCell ref="J68:K68"/>
    <mergeCell ref="Q68:R68"/>
    <mergeCell ref="S68:S69"/>
    <mergeCell ref="W68:X68"/>
    <mergeCell ref="Y68:Y69"/>
    <mergeCell ref="AC68:AD68"/>
  </mergeCells>
  <phoneticPr fontId="187" type="noConversion"/>
  <conditionalFormatting sqref="D4:D53">
    <cfRule type="expression" dxfId="4" priority="2">
      <formula>INDIRECT("RC[2]",FALSE)&gt;0</formula>
    </cfRule>
  </conditionalFormatting>
  <conditionalFormatting sqref="D70:D74">
    <cfRule type="expression" dxfId="3" priority="1">
      <formula>INDIRECT("RC[2]",FALSE)&gt;0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68"/>
  <sheetViews>
    <sheetView workbookViewId="0">
      <pane xSplit="2" topLeftCell="C1" activePane="topRight" state="frozen"/>
      <selection pane="topRight" activeCell="A6" sqref="A6"/>
    </sheetView>
  </sheetViews>
  <sheetFormatPr defaultRowHeight="14.35" x14ac:dyDescent="0.5"/>
  <cols>
    <col min="1" max="1" width="23.703125" customWidth="1"/>
    <col min="2" max="2" width="5.17578125" customWidth="1"/>
    <col min="4" max="4" width="2.87890625" customWidth="1"/>
    <col min="5" max="5" width="9.52734375" customWidth="1"/>
    <col min="6" max="6" width="5.29296875" customWidth="1"/>
    <col min="7" max="7" width="3.41015625" customWidth="1"/>
    <col min="8" max="8" width="9.52734375" customWidth="1"/>
    <col min="9" max="9" width="6" customWidth="1"/>
    <col min="10" max="10" width="12.1171875" customWidth="1"/>
    <col min="11" max="11" width="4.1171875" customWidth="1"/>
    <col min="13" max="13" width="4.1171875" customWidth="1"/>
    <col min="14" max="14" width="10.52734375" customWidth="1"/>
    <col min="15" max="15" width="7.17578125" customWidth="1"/>
    <col min="16" max="16" width="11.29296875" customWidth="1"/>
    <col min="17" max="17" width="5" customWidth="1"/>
    <col min="18" max="18" width="10.41015625" customWidth="1"/>
    <col min="19" max="19" width="3.29296875" customWidth="1"/>
    <col min="20" max="20" width="10.41015625" customWidth="1"/>
    <col min="21" max="21" width="4.703125" customWidth="1"/>
    <col min="22" max="22" width="6.1171875" customWidth="1"/>
    <col min="23" max="23" width="6.76171875" customWidth="1"/>
    <col min="24" max="24" width="12" customWidth="1"/>
    <col min="25" max="25" width="3.703125" customWidth="1"/>
    <col min="26" max="26" width="10.76171875" customWidth="1"/>
    <col min="27" max="27" width="4.52734375" customWidth="1"/>
    <col min="28" max="28" width="10" customWidth="1"/>
    <col min="29" max="29" width="3.29296875" customWidth="1"/>
    <col min="30" max="30" width="11.52734375" customWidth="1"/>
    <col min="31" max="31" width="9.17578125" customWidth="1"/>
    <col min="32" max="32" width="5.52734375" customWidth="1"/>
    <col min="33" max="33" width="9.1171875" customWidth="1"/>
    <col min="34" max="34" width="5.29296875" customWidth="1"/>
    <col min="35" max="35" width="9.87890625" customWidth="1"/>
    <col min="36" max="36" width="5.41015625" customWidth="1"/>
    <col min="37" max="37" width="12.87890625" customWidth="1"/>
    <col min="38" max="38" width="4.1171875" customWidth="1"/>
    <col min="39" max="39" width="12.1171875" customWidth="1"/>
    <col min="40" max="40" width="5.41015625" customWidth="1"/>
  </cols>
  <sheetData>
    <row r="1" spans="1:39" ht="17.350000000000001" x14ac:dyDescent="0.65">
      <c r="A1" s="697" t="s">
        <v>250</v>
      </c>
      <c r="B1" s="697"/>
      <c r="C1" s="698" t="s">
        <v>130</v>
      </c>
      <c r="D1" s="698"/>
      <c r="E1" s="698"/>
      <c r="F1" s="698"/>
      <c r="G1" s="698"/>
      <c r="H1" s="698"/>
      <c r="I1" s="301"/>
      <c r="J1" s="698" t="s">
        <v>131</v>
      </c>
      <c r="K1" s="698"/>
      <c r="L1" s="698"/>
      <c r="M1" s="698"/>
      <c r="N1" s="698"/>
      <c r="O1" s="301"/>
      <c r="P1" s="698" t="s">
        <v>132</v>
      </c>
      <c r="Q1" s="698"/>
      <c r="R1" s="698"/>
      <c r="S1" s="698"/>
      <c r="T1" s="698"/>
    </row>
    <row r="2" spans="1:39" ht="37.85" customHeight="1" x14ac:dyDescent="0.65">
      <c r="A2" s="697"/>
      <c r="B2" s="697"/>
      <c r="C2" s="691" t="s">
        <v>137</v>
      </c>
      <c r="D2" s="691"/>
      <c r="E2" s="691"/>
      <c r="F2" s="691"/>
      <c r="G2" s="691"/>
      <c r="H2" s="691"/>
      <c r="I2" s="124" t="s">
        <v>126</v>
      </c>
      <c r="J2" s="691" t="s">
        <v>194</v>
      </c>
      <c r="K2" s="691"/>
      <c r="L2" s="691"/>
      <c r="M2" s="691"/>
      <c r="N2" s="691"/>
      <c r="O2" s="124" t="s">
        <v>126</v>
      </c>
      <c r="P2" s="691" t="s">
        <v>138</v>
      </c>
      <c r="Q2" s="691"/>
      <c r="R2" s="691"/>
      <c r="S2" s="691"/>
      <c r="T2" s="691"/>
      <c r="U2" s="135"/>
      <c r="V2" s="102"/>
      <c r="W2" s="102"/>
      <c r="X2" s="102"/>
      <c r="Y2" s="102"/>
      <c r="Z2" s="102"/>
      <c r="AA2" s="102"/>
      <c r="AB2" s="102"/>
      <c r="AC2" s="102"/>
      <c r="AD2" s="102"/>
      <c r="AE2" s="691" t="s">
        <v>125</v>
      </c>
      <c r="AF2" s="691"/>
      <c r="AG2" s="694"/>
      <c r="AH2" s="694"/>
      <c r="AI2" s="694"/>
      <c r="AJ2" s="694"/>
      <c r="AK2" s="694"/>
      <c r="AL2" s="694"/>
      <c r="AM2" s="694"/>
    </row>
    <row r="3" spans="1:39" x14ac:dyDescent="0.5">
      <c r="A3" s="98"/>
      <c r="B3" s="98"/>
      <c r="C3" s="98"/>
      <c r="D3" s="98"/>
      <c r="E3" s="98"/>
      <c r="F3" s="98"/>
      <c r="G3" s="98"/>
      <c r="H3" s="98"/>
      <c r="I3" s="98"/>
      <c r="J3" s="98"/>
      <c r="K3" s="98"/>
      <c r="L3" s="98"/>
      <c r="M3" s="98"/>
      <c r="N3" s="98"/>
      <c r="O3" s="98"/>
      <c r="P3" s="99"/>
      <c r="Q3" s="99"/>
      <c r="R3" s="99"/>
      <c r="S3" s="100"/>
      <c r="T3" s="100"/>
      <c r="U3" s="100"/>
      <c r="V3" s="101"/>
      <c r="W3" s="101"/>
      <c r="X3" s="101"/>
      <c r="Y3" s="101"/>
      <c r="Z3" s="101"/>
      <c r="AA3" s="101"/>
      <c r="AB3" s="101"/>
      <c r="AC3" s="101"/>
      <c r="AD3" s="102"/>
      <c r="AE3" s="102"/>
      <c r="AF3" s="102"/>
      <c r="AG3" s="102"/>
      <c r="AH3" s="102"/>
      <c r="AI3" s="102"/>
      <c r="AJ3" s="102"/>
      <c r="AK3" s="102"/>
      <c r="AL3" s="102"/>
      <c r="AM3" s="102"/>
    </row>
    <row r="4" spans="1:39" x14ac:dyDescent="0.5">
      <c r="B4" s="27"/>
      <c r="C4" s="692" t="s">
        <v>69</v>
      </c>
      <c r="D4" s="692"/>
      <c r="E4" s="692"/>
      <c r="F4" s="692"/>
      <c r="G4" s="692"/>
      <c r="H4" s="692"/>
      <c r="I4" s="693"/>
      <c r="J4" s="695" t="s">
        <v>70</v>
      </c>
      <c r="K4" s="692"/>
      <c r="L4" s="692"/>
      <c r="M4" s="692"/>
      <c r="N4" s="97"/>
      <c r="O4" s="47"/>
      <c r="P4" s="695" t="s">
        <v>80</v>
      </c>
      <c r="Q4" s="692"/>
      <c r="R4" s="690"/>
      <c r="S4" s="690"/>
      <c r="T4" s="690"/>
      <c r="U4" s="12"/>
      <c r="V4" s="690" t="s">
        <v>81</v>
      </c>
      <c r="W4" s="690"/>
      <c r="X4" s="690"/>
      <c r="Y4" s="690"/>
      <c r="Z4" s="690"/>
      <c r="AA4" s="690"/>
      <c r="AB4" s="690"/>
      <c r="AC4" s="690"/>
      <c r="AD4" s="12"/>
      <c r="AE4" s="696"/>
      <c r="AF4" s="696"/>
      <c r="AG4" s="696"/>
      <c r="AH4" s="696"/>
      <c r="AI4" s="696"/>
      <c r="AJ4" s="696"/>
      <c r="AK4" s="696"/>
      <c r="AL4" s="696"/>
      <c r="AM4" s="696"/>
    </row>
    <row r="5" spans="1:39" s="34" customFormat="1" ht="28.7" thickBot="1" x14ac:dyDescent="0.75">
      <c r="A5" s="88" t="s">
        <v>82</v>
      </c>
      <c r="B5" s="35"/>
      <c r="C5" s="128" t="s">
        <v>71</v>
      </c>
      <c r="D5" s="132" t="s">
        <v>127</v>
      </c>
      <c r="E5" s="91" t="s">
        <v>77</v>
      </c>
      <c r="F5" s="136" t="s">
        <v>121</v>
      </c>
      <c r="G5" s="132" t="s">
        <v>127</v>
      </c>
      <c r="H5" s="138" t="s">
        <v>129</v>
      </c>
      <c r="I5" s="94" t="s">
        <v>121</v>
      </c>
      <c r="J5" s="88" t="s">
        <v>122</v>
      </c>
      <c r="K5" s="95" t="s">
        <v>72</v>
      </c>
      <c r="L5" s="88" t="s">
        <v>123</v>
      </c>
      <c r="M5" s="95" t="s">
        <v>72</v>
      </c>
      <c r="N5" s="88" t="s">
        <v>124</v>
      </c>
      <c r="O5" s="95" t="s">
        <v>72</v>
      </c>
      <c r="P5" s="274" t="s">
        <v>165</v>
      </c>
      <c r="Q5" s="95" t="s">
        <v>72</v>
      </c>
      <c r="R5" s="88" t="s">
        <v>74</v>
      </c>
      <c r="S5" s="95" t="s">
        <v>72</v>
      </c>
      <c r="T5" s="88" t="s">
        <v>135</v>
      </c>
      <c r="U5" s="95" t="s">
        <v>72</v>
      </c>
      <c r="V5" s="88"/>
      <c r="W5" s="96" t="s">
        <v>75</v>
      </c>
      <c r="X5" s="88" t="s">
        <v>73</v>
      </c>
      <c r="Y5" s="95" t="s">
        <v>72</v>
      </c>
      <c r="Z5" s="88" t="s">
        <v>74</v>
      </c>
      <c r="AA5" s="95" t="s">
        <v>72</v>
      </c>
      <c r="AB5" s="88" t="s">
        <v>135</v>
      </c>
      <c r="AC5" s="95" t="s">
        <v>72</v>
      </c>
      <c r="AD5" s="36"/>
      <c r="AE5" s="88" t="s">
        <v>133</v>
      </c>
      <c r="AF5" s="95" t="s">
        <v>72</v>
      </c>
      <c r="AG5" s="154" t="s">
        <v>166</v>
      </c>
      <c r="AH5" s="95" t="s">
        <v>72</v>
      </c>
      <c r="AI5" s="88" t="s">
        <v>134</v>
      </c>
      <c r="AJ5" s="95" t="s">
        <v>72</v>
      </c>
      <c r="AK5" s="88" t="s">
        <v>135</v>
      </c>
      <c r="AL5" s="95" t="s">
        <v>72</v>
      </c>
      <c r="AM5" s="146" t="s">
        <v>136</v>
      </c>
    </row>
    <row r="6" spans="1:39" ht="14.7" thickTop="1" x14ac:dyDescent="0.5">
      <c r="A6" s="87"/>
      <c r="B6" s="89"/>
      <c r="C6" s="90"/>
      <c r="D6" s="42" t="s">
        <v>79</v>
      </c>
      <c r="E6" s="3"/>
      <c r="F6" s="137" t="str">
        <f t="shared" ref="F6:F7" si="0">IF(K6="","",K6)</f>
        <v>g/L</v>
      </c>
      <c r="H6" s="3">
        <v>10</v>
      </c>
      <c r="I6" s="141" t="s">
        <v>240</v>
      </c>
      <c r="J6" s="92">
        <v>1</v>
      </c>
      <c r="K6" s="93" t="s">
        <v>240</v>
      </c>
      <c r="L6" s="275">
        <v>0.1</v>
      </c>
      <c r="M6" s="93" t="s">
        <v>78</v>
      </c>
      <c r="N6" s="103">
        <f>IF(J6="","",J6*L6)</f>
        <v>0.1</v>
      </c>
      <c r="O6" s="139"/>
      <c r="P6" s="104">
        <f t="shared" ref="P6:P27" si="1">IF(C6="",IF(H6="","",N6/H6),C6*N6)</f>
        <v>0.01</v>
      </c>
      <c r="Q6" s="105" t="str">
        <f t="shared" ref="Q6:Q27" si="2">IF(C6,"g",IF(H6,RIGHT(I6,LEN(I6)-FIND("/",I6)),""))</f>
        <v>L</v>
      </c>
      <c r="R6" s="104" t="str">
        <f t="shared" ref="R6:R27" si="3">IF(ISERROR(N6/E6),"",IF(N6/E6=0,"",N6/E6))</f>
        <v/>
      </c>
      <c r="S6" s="109" t="str">
        <f t="shared" ref="S6:S25" si="4">IF(R6="","",M6)</f>
        <v/>
      </c>
      <c r="T6" s="106">
        <f>IF(NOT(P6=""),L6,IF(ISERROR(L6-R6),"",IF(L6-R6&lt;0,"",L6-R6)))</f>
        <v>0.1</v>
      </c>
      <c r="U6" s="105" t="str">
        <f t="shared" ref="U6:U25" si="5">IF(T6="","",M6)</f>
        <v>L</v>
      </c>
      <c r="V6" s="37" t="s">
        <v>15</v>
      </c>
      <c r="W6" s="90"/>
      <c r="X6" s="111">
        <f>IF(ISERROR(P6*W6),"",P6*W6)</f>
        <v>0</v>
      </c>
      <c r="Y6" s="112" t="str">
        <f>Q6</f>
        <v>L</v>
      </c>
      <c r="Z6" s="10" t="str">
        <f t="shared" ref="Z6:Z27" si="6">IF(ISERROR(R6*W6),"",R6*W6)</f>
        <v/>
      </c>
      <c r="AA6" s="116" t="str">
        <f>S6</f>
        <v/>
      </c>
      <c r="AB6" s="104">
        <f t="shared" ref="AB6:AB27" si="7">IF(ISERROR(T6*W6),"",T6*W6)</f>
        <v>0</v>
      </c>
      <c r="AC6" s="105" t="str">
        <f>U6</f>
        <v>L</v>
      </c>
      <c r="AD6" s="38"/>
      <c r="AE6" s="129">
        <f>IF(J6="","",J6)</f>
        <v>1</v>
      </c>
      <c r="AF6" s="10" t="str">
        <f>IF(K6="","",K6)</f>
        <v>g/L</v>
      </c>
      <c r="AG6" s="130"/>
      <c r="AH6" s="10" t="str">
        <f>IF(Q6="","",Q6)</f>
        <v>L</v>
      </c>
      <c r="AI6" s="10">
        <f t="shared" ref="AI6:AI27" si="8">IF(C6="",IF(H6="","",AG6*H6),AG6/C6)</f>
        <v>0</v>
      </c>
      <c r="AJ6" s="131" t="str">
        <f>IF(O6="","",O6)</f>
        <v/>
      </c>
      <c r="AK6" s="126">
        <f t="shared" ref="AK6:AK27" si="9">IF(ISERROR(AI6/AE6),"",AI6/AE6)</f>
        <v>0</v>
      </c>
      <c r="AL6" s="126" t="str">
        <f>IF(A6="","",M6)</f>
        <v/>
      </c>
      <c r="AM6" s="10">
        <f t="shared" ref="AM6:AM27" si="10">IF(ISERROR(AI6*1000/AE6),"",AI6*1000/AE6)</f>
        <v>0</v>
      </c>
    </row>
    <row r="7" spans="1:39" x14ac:dyDescent="0.5">
      <c r="A7" s="48"/>
      <c r="B7" s="27"/>
      <c r="C7" s="29"/>
      <c r="D7" s="42" t="s">
        <v>79</v>
      </c>
      <c r="E7" s="3"/>
      <c r="F7" s="137" t="str">
        <f t="shared" si="0"/>
        <v/>
      </c>
      <c r="H7" s="3"/>
      <c r="I7" s="142"/>
      <c r="J7" s="40"/>
      <c r="K7" s="44"/>
      <c r="L7" s="41"/>
      <c r="M7" s="93"/>
      <c r="N7" s="103" t="str">
        <f t="shared" ref="N7:N27" si="11">IF(J7="","",J7*L7)</f>
        <v/>
      </c>
      <c r="O7" s="140"/>
      <c r="P7" s="104" t="str">
        <f t="shared" si="1"/>
        <v/>
      </c>
      <c r="Q7" s="105" t="str">
        <f t="shared" si="2"/>
        <v/>
      </c>
      <c r="R7" s="107" t="str">
        <f t="shared" si="3"/>
        <v/>
      </c>
      <c r="S7" s="109" t="str">
        <f t="shared" si="4"/>
        <v/>
      </c>
      <c r="T7" s="110" t="str">
        <f t="shared" ref="T7:T27" si="12">IF(NOT(P7=""),L7,IF(ISERROR(L7-R7),"",IF(L7-R7&lt;0,"",L7-R7)))</f>
        <v/>
      </c>
      <c r="U7" s="105" t="str">
        <f t="shared" si="5"/>
        <v/>
      </c>
      <c r="V7" s="37"/>
      <c r="W7" s="29"/>
      <c r="X7" s="110" t="str">
        <f>IF(ISERROR(P7*W7),"",P7*W7)</f>
        <v/>
      </c>
      <c r="Y7" s="113" t="str">
        <f>Q7</f>
        <v/>
      </c>
      <c r="Z7" s="10" t="str">
        <f t="shared" si="6"/>
        <v/>
      </c>
      <c r="AA7" s="115" t="str">
        <f>S7</f>
        <v/>
      </c>
      <c r="AB7" s="107" t="str">
        <f t="shared" si="7"/>
        <v/>
      </c>
      <c r="AC7" s="108" t="str">
        <f t="shared" ref="AC7:AC27" si="13">U7</f>
        <v/>
      </c>
      <c r="AD7" s="38"/>
      <c r="AE7" s="129" t="str">
        <f t="shared" ref="AE7:AE27" si="14">IF(J7="","",J7)</f>
        <v/>
      </c>
      <c r="AF7" s="10" t="str">
        <f t="shared" ref="AF7:AF27" si="15">IF(K7="","",K7)</f>
        <v/>
      </c>
      <c r="AG7" s="3"/>
      <c r="AH7" s="10" t="str">
        <f t="shared" ref="AH7:AH27" si="16">IF(Q7="","",Q7)</f>
        <v/>
      </c>
      <c r="AI7" s="10" t="str">
        <f t="shared" si="8"/>
        <v/>
      </c>
      <c r="AJ7" s="131" t="str">
        <f t="shared" ref="AJ7:AJ27" si="17">IF(O7="","",O7)</f>
        <v/>
      </c>
      <c r="AK7" s="126" t="str">
        <f t="shared" si="9"/>
        <v/>
      </c>
      <c r="AL7" s="126" t="str">
        <f t="shared" ref="AL7:AL27" si="18">IF(A7="","",M7)</f>
        <v/>
      </c>
      <c r="AM7" s="127" t="str">
        <f t="shared" si="10"/>
        <v/>
      </c>
    </row>
    <row r="8" spans="1:39" x14ac:dyDescent="0.5">
      <c r="A8" s="48"/>
      <c r="B8" s="27"/>
      <c r="C8" s="29"/>
      <c r="D8" s="42" t="s">
        <v>79</v>
      </c>
      <c r="E8" s="3"/>
      <c r="F8" s="137" t="str">
        <f>IF(K8="","",K8)</f>
        <v/>
      </c>
      <c r="H8" s="3"/>
      <c r="I8" s="142"/>
      <c r="J8" s="40"/>
      <c r="K8" s="44"/>
      <c r="L8" s="41"/>
      <c r="M8" s="93"/>
      <c r="N8" s="103" t="str">
        <f t="shared" si="11"/>
        <v/>
      </c>
      <c r="O8" s="140"/>
      <c r="P8" s="104" t="str">
        <f t="shared" si="1"/>
        <v/>
      </c>
      <c r="Q8" s="105" t="str">
        <f t="shared" si="2"/>
        <v/>
      </c>
      <c r="R8" s="107" t="str">
        <f t="shared" si="3"/>
        <v/>
      </c>
      <c r="S8" s="109" t="str">
        <f t="shared" si="4"/>
        <v/>
      </c>
      <c r="T8" s="110" t="str">
        <f t="shared" si="12"/>
        <v/>
      </c>
      <c r="U8" s="105" t="str">
        <f t="shared" si="5"/>
        <v/>
      </c>
      <c r="V8" s="37" t="s">
        <v>15</v>
      </c>
      <c r="W8" s="29"/>
      <c r="X8" s="110" t="str">
        <f t="shared" ref="X8:X27" si="19">IF(ISERROR(P8*W8),"",P8*W8)</f>
        <v/>
      </c>
      <c r="Y8" s="113" t="str">
        <f t="shared" ref="Y8:Y27" si="20">Q8</f>
        <v/>
      </c>
      <c r="Z8" s="10" t="str">
        <f t="shared" si="6"/>
        <v/>
      </c>
      <c r="AA8" s="115" t="str">
        <f t="shared" ref="AA8:AA27" si="21">S8</f>
        <v/>
      </c>
      <c r="AB8" s="107" t="str">
        <f t="shared" si="7"/>
        <v/>
      </c>
      <c r="AC8" s="108" t="str">
        <f t="shared" si="13"/>
        <v/>
      </c>
      <c r="AD8" s="38"/>
      <c r="AE8" s="129" t="str">
        <f t="shared" si="14"/>
        <v/>
      </c>
      <c r="AF8" s="10" t="str">
        <f t="shared" si="15"/>
        <v/>
      </c>
      <c r="AG8" s="3"/>
      <c r="AH8" s="10" t="str">
        <f t="shared" si="16"/>
        <v/>
      </c>
      <c r="AI8" s="10" t="str">
        <f t="shared" si="8"/>
        <v/>
      </c>
      <c r="AJ8" s="131" t="str">
        <f t="shared" si="17"/>
        <v/>
      </c>
      <c r="AK8" s="126" t="str">
        <f t="shared" si="9"/>
        <v/>
      </c>
      <c r="AL8" s="126" t="str">
        <f t="shared" si="18"/>
        <v/>
      </c>
      <c r="AM8" s="127" t="str">
        <f t="shared" si="10"/>
        <v/>
      </c>
    </row>
    <row r="9" spans="1:39" x14ac:dyDescent="0.5">
      <c r="A9" s="48"/>
      <c r="B9" s="27"/>
      <c r="C9" s="29"/>
      <c r="D9" s="42" t="s">
        <v>79</v>
      </c>
      <c r="E9" s="3"/>
      <c r="F9" s="137" t="str">
        <f t="shared" ref="F9:F27" si="22">IF(K9="","",K9)</f>
        <v/>
      </c>
      <c r="H9" s="3"/>
      <c r="I9" s="142"/>
      <c r="J9" s="40"/>
      <c r="K9" s="44"/>
      <c r="L9" s="41"/>
      <c r="M9" s="93"/>
      <c r="N9" s="103" t="str">
        <f t="shared" si="11"/>
        <v/>
      </c>
      <c r="O9" s="140"/>
      <c r="P9" s="104" t="str">
        <f t="shared" si="1"/>
        <v/>
      </c>
      <c r="Q9" s="105" t="str">
        <f t="shared" si="2"/>
        <v/>
      </c>
      <c r="R9" s="107" t="str">
        <f t="shared" si="3"/>
        <v/>
      </c>
      <c r="S9" s="109" t="str">
        <f t="shared" si="4"/>
        <v/>
      </c>
      <c r="T9" s="110" t="str">
        <f>IF(NOT(P9=""),L9,IF(ISERROR(L9-R9),"",IF(L9-R9&lt;0,"",L9-R9)))</f>
        <v/>
      </c>
      <c r="U9" s="105" t="str">
        <f t="shared" si="5"/>
        <v/>
      </c>
      <c r="V9" s="37" t="s">
        <v>15</v>
      </c>
      <c r="W9" s="29"/>
      <c r="X9" s="110" t="str">
        <f t="shared" si="19"/>
        <v/>
      </c>
      <c r="Y9" s="113" t="str">
        <f t="shared" si="20"/>
        <v/>
      </c>
      <c r="Z9" s="10" t="str">
        <f t="shared" si="6"/>
        <v/>
      </c>
      <c r="AA9" s="115" t="str">
        <f t="shared" si="21"/>
        <v/>
      </c>
      <c r="AB9" s="107" t="str">
        <f t="shared" si="7"/>
        <v/>
      </c>
      <c r="AC9" s="108" t="str">
        <f t="shared" si="13"/>
        <v/>
      </c>
      <c r="AD9" s="38"/>
      <c r="AE9" s="129" t="str">
        <f t="shared" si="14"/>
        <v/>
      </c>
      <c r="AF9" s="10" t="str">
        <f t="shared" si="15"/>
        <v/>
      </c>
      <c r="AG9" s="3"/>
      <c r="AH9" s="10" t="str">
        <f t="shared" si="16"/>
        <v/>
      </c>
      <c r="AI9" s="10" t="str">
        <f t="shared" si="8"/>
        <v/>
      </c>
      <c r="AJ9" s="131" t="str">
        <f t="shared" si="17"/>
        <v/>
      </c>
      <c r="AK9" s="126" t="str">
        <f t="shared" si="9"/>
        <v/>
      </c>
      <c r="AL9" s="126" t="str">
        <f t="shared" si="18"/>
        <v/>
      </c>
      <c r="AM9" s="127" t="str">
        <f t="shared" si="10"/>
        <v/>
      </c>
    </row>
    <row r="10" spans="1:39" x14ac:dyDescent="0.5">
      <c r="A10" s="48"/>
      <c r="B10" s="27"/>
      <c r="C10" s="29"/>
      <c r="D10" s="42" t="s">
        <v>79</v>
      </c>
      <c r="E10" s="3"/>
      <c r="F10" s="137" t="str">
        <f t="shared" si="22"/>
        <v/>
      </c>
      <c r="H10" s="3"/>
      <c r="I10" s="142"/>
      <c r="J10" s="40"/>
      <c r="K10" s="44"/>
      <c r="L10" s="41"/>
      <c r="M10" s="93"/>
      <c r="N10" s="103" t="str">
        <f t="shared" si="11"/>
        <v/>
      </c>
      <c r="O10" s="140"/>
      <c r="P10" s="104" t="str">
        <f t="shared" si="1"/>
        <v/>
      </c>
      <c r="Q10" s="105" t="str">
        <f t="shared" si="2"/>
        <v/>
      </c>
      <c r="R10" s="107" t="str">
        <f t="shared" si="3"/>
        <v/>
      </c>
      <c r="S10" s="109" t="str">
        <f t="shared" si="4"/>
        <v/>
      </c>
      <c r="T10" s="110" t="str">
        <f t="shared" si="12"/>
        <v/>
      </c>
      <c r="U10" s="105" t="str">
        <f t="shared" si="5"/>
        <v/>
      </c>
      <c r="V10" s="37" t="s">
        <v>15</v>
      </c>
      <c r="W10" s="29"/>
      <c r="X10" s="110" t="str">
        <f t="shared" si="19"/>
        <v/>
      </c>
      <c r="Y10" s="113" t="str">
        <f t="shared" si="20"/>
        <v/>
      </c>
      <c r="Z10" s="10" t="str">
        <f t="shared" si="6"/>
        <v/>
      </c>
      <c r="AA10" s="115" t="str">
        <f t="shared" si="21"/>
        <v/>
      </c>
      <c r="AB10" s="107" t="str">
        <f t="shared" si="7"/>
        <v/>
      </c>
      <c r="AC10" s="108" t="str">
        <f t="shared" si="13"/>
        <v/>
      </c>
      <c r="AD10" s="38"/>
      <c r="AE10" s="129" t="str">
        <f t="shared" si="14"/>
        <v/>
      </c>
      <c r="AF10" s="10" t="str">
        <f t="shared" si="15"/>
        <v/>
      </c>
      <c r="AG10" s="3"/>
      <c r="AH10" s="10" t="str">
        <f t="shared" si="16"/>
        <v/>
      </c>
      <c r="AI10" s="10" t="str">
        <f t="shared" si="8"/>
        <v/>
      </c>
      <c r="AJ10" s="131" t="str">
        <f t="shared" si="17"/>
        <v/>
      </c>
      <c r="AK10" s="126" t="str">
        <f t="shared" si="9"/>
        <v/>
      </c>
      <c r="AL10" s="126" t="str">
        <f t="shared" si="18"/>
        <v/>
      </c>
      <c r="AM10" s="127" t="str">
        <f t="shared" si="10"/>
        <v/>
      </c>
    </row>
    <row r="11" spans="1:39" x14ac:dyDescent="0.5">
      <c r="A11" s="48"/>
      <c r="B11" s="27"/>
      <c r="C11" s="29"/>
      <c r="D11" s="42" t="s">
        <v>79</v>
      </c>
      <c r="E11" s="3"/>
      <c r="F11" s="137" t="str">
        <f t="shared" si="22"/>
        <v/>
      </c>
      <c r="H11" s="3"/>
      <c r="I11" s="142"/>
      <c r="J11" s="40"/>
      <c r="K11" s="44"/>
      <c r="L11" s="41"/>
      <c r="M11" s="44"/>
      <c r="N11" s="103" t="str">
        <f t="shared" si="11"/>
        <v/>
      </c>
      <c r="O11" s="140"/>
      <c r="P11" s="104" t="str">
        <f t="shared" si="1"/>
        <v/>
      </c>
      <c r="Q11" s="105" t="str">
        <f t="shared" si="2"/>
        <v/>
      </c>
      <c r="R11" s="107" t="str">
        <f t="shared" si="3"/>
        <v/>
      </c>
      <c r="S11" s="109" t="str">
        <f t="shared" si="4"/>
        <v/>
      </c>
      <c r="T11" s="110" t="str">
        <f t="shared" si="12"/>
        <v/>
      </c>
      <c r="U11" s="105" t="str">
        <f t="shared" si="5"/>
        <v/>
      </c>
      <c r="V11" s="37" t="s">
        <v>15</v>
      </c>
      <c r="W11" s="29"/>
      <c r="X11" s="110" t="str">
        <f t="shared" si="19"/>
        <v/>
      </c>
      <c r="Y11" s="113" t="str">
        <f t="shared" si="20"/>
        <v/>
      </c>
      <c r="Z11" s="10" t="str">
        <f t="shared" si="6"/>
        <v/>
      </c>
      <c r="AA11" s="115" t="str">
        <f t="shared" si="21"/>
        <v/>
      </c>
      <c r="AB11" s="107" t="str">
        <f t="shared" si="7"/>
        <v/>
      </c>
      <c r="AC11" s="108" t="str">
        <f t="shared" si="13"/>
        <v/>
      </c>
      <c r="AD11" s="38"/>
      <c r="AE11" s="129" t="str">
        <f t="shared" si="14"/>
        <v/>
      </c>
      <c r="AF11" s="10" t="str">
        <f t="shared" si="15"/>
        <v/>
      </c>
      <c r="AG11" s="3"/>
      <c r="AH11" s="10" t="str">
        <f t="shared" si="16"/>
        <v/>
      </c>
      <c r="AI11" s="10" t="str">
        <f t="shared" si="8"/>
        <v/>
      </c>
      <c r="AJ11" s="131" t="str">
        <f t="shared" si="17"/>
        <v/>
      </c>
      <c r="AK11" s="126" t="str">
        <f t="shared" si="9"/>
        <v/>
      </c>
      <c r="AL11" s="126" t="str">
        <f t="shared" si="18"/>
        <v/>
      </c>
      <c r="AM11" s="127" t="str">
        <f t="shared" si="10"/>
        <v/>
      </c>
    </row>
    <row r="12" spans="1:39" x14ac:dyDescent="0.5">
      <c r="A12" s="133"/>
      <c r="B12" s="27"/>
      <c r="C12" s="29"/>
      <c r="D12" s="42" t="s">
        <v>79</v>
      </c>
      <c r="E12" s="3"/>
      <c r="F12" s="137" t="str">
        <f t="shared" si="22"/>
        <v/>
      </c>
      <c r="H12" s="3"/>
      <c r="I12" s="142"/>
      <c r="J12" s="40"/>
      <c r="K12" s="44"/>
      <c r="L12" s="41"/>
      <c r="M12" s="44"/>
      <c r="N12" s="143" t="str">
        <f t="shared" si="11"/>
        <v/>
      </c>
      <c r="O12" s="140"/>
      <c r="P12" s="104" t="str">
        <f t="shared" si="1"/>
        <v/>
      </c>
      <c r="Q12" s="105" t="str">
        <f t="shared" si="2"/>
        <v/>
      </c>
      <c r="R12" s="107" t="str">
        <f t="shared" si="3"/>
        <v/>
      </c>
      <c r="S12" s="109" t="str">
        <f t="shared" si="4"/>
        <v/>
      </c>
      <c r="T12" s="144" t="str">
        <f t="shared" si="12"/>
        <v/>
      </c>
      <c r="U12" s="105" t="str">
        <f t="shared" si="5"/>
        <v/>
      </c>
      <c r="V12" s="37" t="s">
        <v>15</v>
      </c>
      <c r="W12" s="29"/>
      <c r="X12" s="145" t="str">
        <f t="shared" si="19"/>
        <v/>
      </c>
      <c r="Y12" s="113" t="str">
        <f t="shared" si="20"/>
        <v/>
      </c>
      <c r="Z12" s="10" t="str">
        <f t="shared" si="6"/>
        <v/>
      </c>
      <c r="AA12" s="115" t="str">
        <f t="shared" si="21"/>
        <v/>
      </c>
      <c r="AB12" s="107" t="str">
        <f t="shared" si="7"/>
        <v/>
      </c>
      <c r="AC12" s="108" t="str">
        <f t="shared" si="13"/>
        <v/>
      </c>
      <c r="AD12" s="38"/>
      <c r="AE12" s="129" t="str">
        <f t="shared" si="14"/>
        <v/>
      </c>
      <c r="AF12" s="10" t="str">
        <f t="shared" si="15"/>
        <v/>
      </c>
      <c r="AG12" s="3"/>
      <c r="AH12" s="10" t="str">
        <f t="shared" si="16"/>
        <v/>
      </c>
      <c r="AI12" s="10" t="str">
        <f t="shared" si="8"/>
        <v/>
      </c>
      <c r="AJ12" s="131" t="str">
        <f t="shared" si="17"/>
        <v/>
      </c>
      <c r="AK12" s="126" t="str">
        <f t="shared" si="9"/>
        <v/>
      </c>
      <c r="AL12" s="126" t="str">
        <f t="shared" si="18"/>
        <v/>
      </c>
      <c r="AM12" s="127" t="str">
        <f t="shared" si="10"/>
        <v/>
      </c>
    </row>
    <row r="13" spans="1:39" x14ac:dyDescent="0.5">
      <c r="A13" s="133"/>
      <c r="B13" s="27"/>
      <c r="C13" s="29"/>
      <c r="D13" s="42" t="s">
        <v>79</v>
      </c>
      <c r="E13" s="3"/>
      <c r="F13" s="137" t="str">
        <f t="shared" si="22"/>
        <v/>
      </c>
      <c r="H13" s="3"/>
      <c r="I13" s="142"/>
      <c r="J13" s="40"/>
      <c r="K13" s="44"/>
      <c r="L13" s="41"/>
      <c r="M13" s="44"/>
      <c r="N13" s="103" t="str">
        <f t="shared" si="11"/>
        <v/>
      </c>
      <c r="O13" s="140"/>
      <c r="P13" s="104" t="str">
        <f t="shared" si="1"/>
        <v/>
      </c>
      <c r="Q13" s="105" t="str">
        <f t="shared" si="2"/>
        <v/>
      </c>
      <c r="R13" s="107" t="str">
        <f t="shared" si="3"/>
        <v/>
      </c>
      <c r="S13" s="109" t="str">
        <f t="shared" si="4"/>
        <v/>
      </c>
      <c r="T13" s="110" t="str">
        <f t="shared" si="12"/>
        <v/>
      </c>
      <c r="U13" s="105" t="str">
        <f t="shared" si="5"/>
        <v/>
      </c>
      <c r="V13" s="37" t="s">
        <v>15</v>
      </c>
      <c r="W13" s="29"/>
      <c r="X13" s="119" t="str">
        <f t="shared" si="19"/>
        <v/>
      </c>
      <c r="Y13" s="113" t="str">
        <f t="shared" si="20"/>
        <v/>
      </c>
      <c r="Z13" s="10" t="str">
        <f t="shared" si="6"/>
        <v/>
      </c>
      <c r="AA13" s="115" t="str">
        <f t="shared" si="21"/>
        <v/>
      </c>
      <c r="AB13" s="107" t="str">
        <f t="shared" si="7"/>
        <v/>
      </c>
      <c r="AC13" s="108" t="str">
        <f t="shared" si="13"/>
        <v/>
      </c>
      <c r="AD13" s="38"/>
      <c r="AE13" s="129" t="str">
        <f t="shared" si="14"/>
        <v/>
      </c>
      <c r="AF13" s="10" t="str">
        <f t="shared" si="15"/>
        <v/>
      </c>
      <c r="AG13" s="3"/>
      <c r="AH13" s="10" t="str">
        <f t="shared" si="16"/>
        <v/>
      </c>
      <c r="AI13" s="10" t="str">
        <f t="shared" si="8"/>
        <v/>
      </c>
      <c r="AJ13" s="131" t="str">
        <f t="shared" si="17"/>
        <v/>
      </c>
      <c r="AK13" s="126" t="str">
        <f t="shared" si="9"/>
        <v/>
      </c>
      <c r="AL13" s="126" t="str">
        <f t="shared" si="18"/>
        <v/>
      </c>
      <c r="AM13" s="127" t="str">
        <f t="shared" si="10"/>
        <v/>
      </c>
    </row>
    <row r="14" spans="1:39" x14ac:dyDescent="0.5">
      <c r="A14" s="133"/>
      <c r="B14" s="27"/>
      <c r="C14" s="29"/>
      <c r="D14" s="42" t="s">
        <v>79</v>
      </c>
      <c r="E14" s="3"/>
      <c r="F14" s="137" t="str">
        <f t="shared" si="22"/>
        <v/>
      </c>
      <c r="H14" s="3"/>
      <c r="I14" s="142"/>
      <c r="J14" s="40"/>
      <c r="K14" s="44"/>
      <c r="L14" s="41"/>
      <c r="M14" s="44"/>
      <c r="N14" s="103" t="str">
        <f t="shared" si="11"/>
        <v/>
      </c>
      <c r="O14" s="140"/>
      <c r="P14" s="104" t="str">
        <f t="shared" si="1"/>
        <v/>
      </c>
      <c r="Q14" s="105" t="str">
        <f t="shared" si="2"/>
        <v/>
      </c>
      <c r="R14" s="107" t="str">
        <f t="shared" si="3"/>
        <v/>
      </c>
      <c r="S14" s="109" t="str">
        <f t="shared" si="4"/>
        <v/>
      </c>
      <c r="T14" s="110" t="str">
        <f t="shared" si="12"/>
        <v/>
      </c>
      <c r="U14" s="105" t="str">
        <f t="shared" si="5"/>
        <v/>
      </c>
      <c r="V14" s="37" t="s">
        <v>15</v>
      </c>
      <c r="W14" s="117"/>
      <c r="X14" s="162" t="str">
        <f t="shared" si="19"/>
        <v/>
      </c>
      <c r="Y14" s="118" t="str">
        <f t="shared" si="20"/>
        <v/>
      </c>
      <c r="Z14" s="10" t="str">
        <f t="shared" si="6"/>
        <v/>
      </c>
      <c r="AA14" s="115" t="str">
        <f t="shared" si="21"/>
        <v/>
      </c>
      <c r="AB14" s="107" t="str">
        <f t="shared" si="7"/>
        <v/>
      </c>
      <c r="AC14" s="108" t="str">
        <f t="shared" si="13"/>
        <v/>
      </c>
      <c r="AD14" s="38"/>
      <c r="AE14" s="129" t="str">
        <f t="shared" si="14"/>
        <v/>
      </c>
      <c r="AF14" s="10" t="str">
        <f t="shared" si="15"/>
        <v/>
      </c>
      <c r="AG14" s="3"/>
      <c r="AH14" s="10" t="str">
        <f t="shared" si="16"/>
        <v/>
      </c>
      <c r="AI14" s="10" t="str">
        <f t="shared" si="8"/>
        <v/>
      </c>
      <c r="AJ14" s="131" t="str">
        <f t="shared" si="17"/>
        <v/>
      </c>
      <c r="AK14" s="126" t="str">
        <f t="shared" si="9"/>
        <v/>
      </c>
      <c r="AL14" s="126" t="str">
        <f t="shared" si="18"/>
        <v/>
      </c>
      <c r="AM14" s="127" t="str">
        <f t="shared" si="10"/>
        <v/>
      </c>
    </row>
    <row r="15" spans="1:39" x14ac:dyDescent="0.5">
      <c r="A15" s="133"/>
      <c r="B15" s="27"/>
      <c r="C15" s="29"/>
      <c r="D15" s="42" t="s">
        <v>79</v>
      </c>
      <c r="E15" s="3"/>
      <c r="F15" s="137" t="str">
        <f t="shared" ref="F15:F19" si="23">IF(K15="","",K15)</f>
        <v/>
      </c>
      <c r="H15" s="3"/>
      <c r="I15" s="142"/>
      <c r="J15" s="40"/>
      <c r="K15" s="44"/>
      <c r="L15" s="41"/>
      <c r="M15" s="44"/>
      <c r="N15" s="103" t="str">
        <f t="shared" ref="N15:N19" si="24">IF(J15="","",J15*L15)</f>
        <v/>
      </c>
      <c r="O15" s="140"/>
      <c r="P15" s="104" t="str">
        <f t="shared" ref="P15:P19" si="25">IF(C15="",IF(H15="","",N15/H15),C15*N15)</f>
        <v/>
      </c>
      <c r="Q15" s="105" t="str">
        <f t="shared" ref="Q15:Q19" si="26">IF(C15,"g",IF(H15,RIGHT(I15,LEN(I15)-FIND("/",I15)),""))</f>
        <v/>
      </c>
      <c r="R15" s="107" t="str">
        <f t="shared" ref="R15:R19" si="27">IF(ISERROR(N15/E15),"",IF(N15/E15=0,"",N15/E15))</f>
        <v/>
      </c>
      <c r="S15" s="109" t="str">
        <f t="shared" ref="S15:S19" si="28">IF(R15="","",M15)</f>
        <v/>
      </c>
      <c r="T15" s="110" t="str">
        <f t="shared" ref="T15:T19" si="29">IF(NOT(P15=""),L15,IF(ISERROR(L15-R15),"",IF(L15-R15&lt;0,"",L15-R15)))</f>
        <v/>
      </c>
      <c r="U15" s="105" t="str">
        <f t="shared" ref="U15:U19" si="30">IF(T15="","",M15)</f>
        <v/>
      </c>
      <c r="V15" s="37" t="s">
        <v>15</v>
      </c>
      <c r="W15" s="29"/>
      <c r="X15" s="110" t="str">
        <f t="shared" ref="X15:X19" si="31">IF(ISERROR(P15*W15),"",P15*W15)</f>
        <v/>
      </c>
      <c r="Y15" s="113" t="str">
        <f t="shared" ref="Y15:Y19" si="32">Q15</f>
        <v/>
      </c>
      <c r="Z15" s="10" t="str">
        <f t="shared" si="6"/>
        <v/>
      </c>
      <c r="AA15" s="115" t="str">
        <f t="shared" ref="AA15:AA19" si="33">S15</f>
        <v/>
      </c>
      <c r="AB15" s="107" t="str">
        <f t="shared" ref="AB15:AB19" si="34">IF(ISERROR(T15*W15),"",T15*W15)</f>
        <v/>
      </c>
      <c r="AC15" s="108" t="str">
        <f t="shared" ref="AC15:AC19" si="35">U15</f>
        <v/>
      </c>
      <c r="AD15" s="38"/>
      <c r="AE15" s="129" t="str">
        <f t="shared" ref="AE15:AE19" si="36">IF(J15="","",J15)</f>
        <v/>
      </c>
      <c r="AF15" s="10" t="str">
        <f t="shared" ref="AF15:AF19" si="37">IF(K15="","",K15)</f>
        <v/>
      </c>
      <c r="AG15" s="3"/>
      <c r="AH15" s="10" t="str">
        <f t="shared" ref="AH15:AH19" si="38">IF(Q15="","",Q15)</f>
        <v/>
      </c>
      <c r="AI15" s="10" t="str">
        <f t="shared" ref="AI15:AI19" si="39">IF(C15="",IF(H15="","",AG15*H15),AG15/C15)</f>
        <v/>
      </c>
      <c r="AJ15" s="131" t="str">
        <f t="shared" ref="AJ15:AJ19" si="40">IF(O15="","",O15)</f>
        <v/>
      </c>
      <c r="AK15" s="126" t="str">
        <f t="shared" ref="AK15:AK19" si="41">IF(ISERROR(AI15/AE15),"",AI15/AE15)</f>
        <v/>
      </c>
      <c r="AL15" s="126" t="str">
        <f t="shared" ref="AL15:AL19" si="42">IF(A15="","",M15)</f>
        <v/>
      </c>
      <c r="AM15" s="127" t="str">
        <f t="shared" ref="AM15:AM19" si="43">IF(ISERROR(AI15*1000/AE15),"",AI15*1000/AE15)</f>
        <v/>
      </c>
    </row>
    <row r="16" spans="1:39" x14ac:dyDescent="0.5">
      <c r="A16" s="133"/>
      <c r="B16" s="27"/>
      <c r="C16" s="29"/>
      <c r="D16" s="42" t="s">
        <v>79</v>
      </c>
      <c r="E16" s="3"/>
      <c r="F16" s="137" t="str">
        <f t="shared" si="23"/>
        <v/>
      </c>
      <c r="H16" s="3"/>
      <c r="I16" s="142"/>
      <c r="J16" s="40"/>
      <c r="K16" s="44"/>
      <c r="L16" s="41"/>
      <c r="M16" s="44"/>
      <c r="N16" s="103" t="str">
        <f t="shared" si="24"/>
        <v/>
      </c>
      <c r="O16" s="140"/>
      <c r="P16" s="104" t="str">
        <f t="shared" si="25"/>
        <v/>
      </c>
      <c r="Q16" s="105" t="str">
        <f t="shared" si="26"/>
        <v/>
      </c>
      <c r="R16" s="107" t="str">
        <f t="shared" si="27"/>
        <v/>
      </c>
      <c r="S16" s="109" t="str">
        <f t="shared" si="28"/>
        <v/>
      </c>
      <c r="T16" s="110" t="str">
        <f t="shared" si="29"/>
        <v/>
      </c>
      <c r="U16" s="105" t="str">
        <f t="shared" si="30"/>
        <v/>
      </c>
      <c r="V16" s="37" t="s">
        <v>15</v>
      </c>
      <c r="W16" s="29"/>
      <c r="X16" s="110" t="str">
        <f t="shared" si="31"/>
        <v/>
      </c>
      <c r="Y16" s="113" t="str">
        <f t="shared" si="32"/>
        <v/>
      </c>
      <c r="Z16" s="10" t="str">
        <f t="shared" si="6"/>
        <v/>
      </c>
      <c r="AA16" s="115" t="str">
        <f t="shared" si="33"/>
        <v/>
      </c>
      <c r="AB16" s="107" t="str">
        <f t="shared" si="34"/>
        <v/>
      </c>
      <c r="AC16" s="108" t="str">
        <f t="shared" si="35"/>
        <v/>
      </c>
      <c r="AD16" s="38"/>
      <c r="AE16" s="129" t="str">
        <f t="shared" si="36"/>
        <v/>
      </c>
      <c r="AF16" s="10" t="str">
        <f t="shared" si="37"/>
        <v/>
      </c>
      <c r="AG16" s="3"/>
      <c r="AH16" s="10" t="str">
        <f t="shared" si="38"/>
        <v/>
      </c>
      <c r="AI16" s="10" t="str">
        <f t="shared" si="39"/>
        <v/>
      </c>
      <c r="AJ16" s="131" t="str">
        <f t="shared" si="40"/>
        <v/>
      </c>
      <c r="AK16" s="126" t="str">
        <f t="shared" si="41"/>
        <v/>
      </c>
      <c r="AL16" s="126" t="str">
        <f t="shared" si="42"/>
        <v/>
      </c>
      <c r="AM16" s="127" t="str">
        <f t="shared" si="43"/>
        <v/>
      </c>
    </row>
    <row r="17" spans="1:39" x14ac:dyDescent="0.5">
      <c r="A17" s="48"/>
      <c r="B17" s="27"/>
      <c r="C17" s="29"/>
      <c r="D17" s="42" t="s">
        <v>79</v>
      </c>
      <c r="E17" s="3"/>
      <c r="F17" s="137" t="str">
        <f t="shared" si="23"/>
        <v/>
      </c>
      <c r="H17" s="3"/>
      <c r="I17" s="142"/>
      <c r="J17" s="40"/>
      <c r="K17" s="44"/>
      <c r="L17" s="41"/>
      <c r="M17" s="44"/>
      <c r="N17" s="103" t="str">
        <f t="shared" si="24"/>
        <v/>
      </c>
      <c r="O17" s="140"/>
      <c r="P17" s="104" t="str">
        <f t="shared" si="25"/>
        <v/>
      </c>
      <c r="Q17" s="105" t="str">
        <f t="shared" si="26"/>
        <v/>
      </c>
      <c r="R17" s="107" t="str">
        <f t="shared" si="27"/>
        <v/>
      </c>
      <c r="S17" s="109" t="str">
        <f t="shared" si="28"/>
        <v/>
      </c>
      <c r="T17" s="110" t="str">
        <f t="shared" si="29"/>
        <v/>
      </c>
      <c r="U17" s="105" t="str">
        <f t="shared" si="30"/>
        <v/>
      </c>
      <c r="V17" s="37" t="s">
        <v>15</v>
      </c>
      <c r="W17" s="29"/>
      <c r="X17" s="110" t="str">
        <f t="shared" si="31"/>
        <v/>
      </c>
      <c r="Y17" s="113" t="str">
        <f t="shared" si="32"/>
        <v/>
      </c>
      <c r="Z17" s="10" t="str">
        <f t="shared" si="6"/>
        <v/>
      </c>
      <c r="AA17" s="115" t="str">
        <f t="shared" si="33"/>
        <v/>
      </c>
      <c r="AB17" s="107" t="str">
        <f t="shared" si="34"/>
        <v/>
      </c>
      <c r="AC17" s="108" t="str">
        <f t="shared" si="35"/>
        <v/>
      </c>
      <c r="AD17" s="38"/>
      <c r="AE17" s="129" t="str">
        <f t="shared" si="36"/>
        <v/>
      </c>
      <c r="AF17" s="10" t="str">
        <f t="shared" si="37"/>
        <v/>
      </c>
      <c r="AG17" s="3"/>
      <c r="AH17" s="10" t="str">
        <f t="shared" si="38"/>
        <v/>
      </c>
      <c r="AI17" s="10" t="str">
        <f t="shared" si="39"/>
        <v/>
      </c>
      <c r="AJ17" s="131" t="str">
        <f t="shared" si="40"/>
        <v/>
      </c>
      <c r="AK17" s="126" t="str">
        <f t="shared" si="41"/>
        <v/>
      </c>
      <c r="AL17" s="126" t="str">
        <f t="shared" si="42"/>
        <v/>
      </c>
      <c r="AM17" s="127" t="str">
        <f t="shared" si="43"/>
        <v/>
      </c>
    </row>
    <row r="18" spans="1:39" x14ac:dyDescent="0.5">
      <c r="A18" s="48"/>
      <c r="C18" s="85"/>
      <c r="D18" s="42" t="s">
        <v>79</v>
      </c>
      <c r="E18" s="3"/>
      <c r="F18" s="137" t="str">
        <f t="shared" si="23"/>
        <v/>
      </c>
      <c r="H18" s="3"/>
      <c r="I18" s="142"/>
      <c r="J18" s="40"/>
      <c r="K18" s="44"/>
      <c r="L18" s="41"/>
      <c r="M18" s="44"/>
      <c r="N18" s="103" t="str">
        <f t="shared" si="24"/>
        <v/>
      </c>
      <c r="O18" s="140"/>
      <c r="P18" s="104" t="str">
        <f t="shared" si="25"/>
        <v/>
      </c>
      <c r="Q18" s="105" t="str">
        <f t="shared" si="26"/>
        <v/>
      </c>
      <c r="R18" s="107" t="str">
        <f t="shared" si="27"/>
        <v/>
      </c>
      <c r="S18" s="109" t="str">
        <f t="shared" si="28"/>
        <v/>
      </c>
      <c r="T18" s="110" t="str">
        <f t="shared" si="29"/>
        <v/>
      </c>
      <c r="U18" s="105" t="str">
        <f t="shared" si="30"/>
        <v/>
      </c>
      <c r="V18" s="37" t="s">
        <v>15</v>
      </c>
      <c r="W18" s="29"/>
      <c r="X18" s="110" t="str">
        <f t="shared" si="31"/>
        <v/>
      </c>
      <c r="Y18" s="113" t="str">
        <f t="shared" si="32"/>
        <v/>
      </c>
      <c r="Z18" s="10" t="str">
        <f t="shared" si="6"/>
        <v/>
      </c>
      <c r="AA18" s="115" t="str">
        <f t="shared" si="33"/>
        <v/>
      </c>
      <c r="AB18" s="107" t="str">
        <f t="shared" si="34"/>
        <v/>
      </c>
      <c r="AC18" s="108" t="str">
        <f t="shared" si="35"/>
        <v/>
      </c>
      <c r="AD18" s="38"/>
      <c r="AE18" s="129" t="str">
        <f t="shared" si="36"/>
        <v/>
      </c>
      <c r="AF18" s="10" t="str">
        <f t="shared" si="37"/>
        <v/>
      </c>
      <c r="AG18" s="3"/>
      <c r="AH18" s="10" t="str">
        <f t="shared" si="38"/>
        <v/>
      </c>
      <c r="AI18" s="10" t="str">
        <f t="shared" si="39"/>
        <v/>
      </c>
      <c r="AJ18" s="131" t="str">
        <f t="shared" si="40"/>
        <v/>
      </c>
      <c r="AK18" s="126" t="str">
        <f t="shared" si="41"/>
        <v/>
      </c>
      <c r="AL18" s="126" t="str">
        <f t="shared" si="42"/>
        <v/>
      </c>
      <c r="AM18" s="127" t="str">
        <f t="shared" si="43"/>
        <v/>
      </c>
    </row>
    <row r="19" spans="1:39" x14ac:dyDescent="0.5">
      <c r="A19" s="48"/>
      <c r="C19" s="85"/>
      <c r="D19" s="42" t="s">
        <v>79</v>
      </c>
      <c r="E19" s="3"/>
      <c r="F19" s="137" t="str">
        <f t="shared" si="23"/>
        <v/>
      </c>
      <c r="H19" s="3"/>
      <c r="I19" s="142"/>
      <c r="J19" s="40"/>
      <c r="K19" s="44"/>
      <c r="L19" s="41"/>
      <c r="M19" s="44"/>
      <c r="N19" s="103" t="str">
        <f t="shared" si="24"/>
        <v/>
      </c>
      <c r="O19" s="140"/>
      <c r="P19" s="104" t="str">
        <f t="shared" si="25"/>
        <v/>
      </c>
      <c r="Q19" s="105" t="str">
        <f t="shared" si="26"/>
        <v/>
      </c>
      <c r="R19" s="107" t="str">
        <f t="shared" si="27"/>
        <v/>
      </c>
      <c r="S19" s="109" t="str">
        <f t="shared" si="28"/>
        <v/>
      </c>
      <c r="T19" s="110" t="str">
        <f t="shared" si="29"/>
        <v/>
      </c>
      <c r="U19" s="105" t="str">
        <f t="shared" si="30"/>
        <v/>
      </c>
      <c r="V19" s="37" t="s">
        <v>15</v>
      </c>
      <c r="W19" s="29"/>
      <c r="X19" s="110" t="str">
        <f t="shared" si="31"/>
        <v/>
      </c>
      <c r="Y19" s="113" t="str">
        <f t="shared" si="32"/>
        <v/>
      </c>
      <c r="Z19" s="10" t="str">
        <f t="shared" si="6"/>
        <v/>
      </c>
      <c r="AA19" s="115" t="str">
        <f t="shared" si="33"/>
        <v/>
      </c>
      <c r="AB19" s="107" t="str">
        <f t="shared" si="34"/>
        <v/>
      </c>
      <c r="AC19" s="108" t="str">
        <f t="shared" si="35"/>
        <v/>
      </c>
      <c r="AD19" s="38"/>
      <c r="AE19" s="129" t="str">
        <f t="shared" si="36"/>
        <v/>
      </c>
      <c r="AF19" s="10" t="str">
        <f t="shared" si="37"/>
        <v/>
      </c>
      <c r="AG19" s="3"/>
      <c r="AH19" s="10" t="str">
        <f t="shared" si="38"/>
        <v/>
      </c>
      <c r="AI19" s="10" t="str">
        <f t="shared" si="39"/>
        <v/>
      </c>
      <c r="AJ19" s="131" t="str">
        <f t="shared" si="40"/>
        <v/>
      </c>
      <c r="AK19" s="126" t="str">
        <f t="shared" si="41"/>
        <v/>
      </c>
      <c r="AL19" s="126" t="str">
        <f t="shared" si="42"/>
        <v/>
      </c>
      <c r="AM19" s="127" t="str">
        <f t="shared" si="43"/>
        <v/>
      </c>
    </row>
    <row r="20" spans="1:39" x14ac:dyDescent="0.5">
      <c r="A20" s="133"/>
      <c r="B20" s="27"/>
      <c r="C20" s="29"/>
      <c r="D20" s="42" t="s">
        <v>79</v>
      </c>
      <c r="E20" s="3"/>
      <c r="F20" s="137" t="str">
        <f t="shared" si="22"/>
        <v/>
      </c>
      <c r="H20" s="3"/>
      <c r="I20" s="142"/>
      <c r="J20" s="40"/>
      <c r="K20" s="44"/>
      <c r="L20" s="41"/>
      <c r="M20" s="44"/>
      <c r="N20" s="103" t="str">
        <f t="shared" si="11"/>
        <v/>
      </c>
      <c r="O20" s="140"/>
      <c r="P20" s="104" t="str">
        <f t="shared" si="1"/>
        <v/>
      </c>
      <c r="Q20" s="105" t="str">
        <f t="shared" si="2"/>
        <v/>
      </c>
      <c r="R20" s="107" t="str">
        <f t="shared" si="3"/>
        <v/>
      </c>
      <c r="S20" s="109" t="str">
        <f t="shared" si="4"/>
        <v/>
      </c>
      <c r="T20" s="110" t="str">
        <f t="shared" si="12"/>
        <v/>
      </c>
      <c r="U20" s="105" t="str">
        <f t="shared" si="5"/>
        <v/>
      </c>
      <c r="V20" s="37" t="s">
        <v>15</v>
      </c>
      <c r="W20" s="29"/>
      <c r="X20" s="106" t="str">
        <f t="shared" si="19"/>
        <v/>
      </c>
      <c r="Y20" s="113" t="str">
        <f t="shared" si="20"/>
        <v/>
      </c>
      <c r="Z20" s="10" t="str">
        <f t="shared" si="6"/>
        <v/>
      </c>
      <c r="AA20" s="115" t="str">
        <f t="shared" si="21"/>
        <v/>
      </c>
      <c r="AB20" s="107" t="str">
        <f t="shared" si="7"/>
        <v/>
      </c>
      <c r="AC20" s="108" t="str">
        <f t="shared" si="13"/>
        <v/>
      </c>
      <c r="AD20" s="38"/>
      <c r="AE20" s="129" t="str">
        <f t="shared" si="14"/>
        <v/>
      </c>
      <c r="AF20" s="10" t="str">
        <f t="shared" si="15"/>
        <v/>
      </c>
      <c r="AG20" s="3"/>
      <c r="AH20" s="10" t="str">
        <f t="shared" si="16"/>
        <v/>
      </c>
      <c r="AI20" s="10" t="str">
        <f t="shared" si="8"/>
        <v/>
      </c>
      <c r="AJ20" s="131" t="str">
        <f t="shared" si="17"/>
        <v/>
      </c>
      <c r="AK20" s="126" t="str">
        <f t="shared" si="9"/>
        <v/>
      </c>
      <c r="AL20" s="126" t="str">
        <f t="shared" si="18"/>
        <v/>
      </c>
      <c r="AM20" s="127" t="str">
        <f t="shared" si="10"/>
        <v/>
      </c>
    </row>
    <row r="21" spans="1:39" x14ac:dyDescent="0.5">
      <c r="A21" s="133"/>
      <c r="B21" s="27"/>
      <c r="C21" s="29"/>
      <c r="D21" s="42" t="s">
        <v>79</v>
      </c>
      <c r="E21" s="3"/>
      <c r="F21" s="137" t="str">
        <f t="shared" si="22"/>
        <v/>
      </c>
      <c r="H21" s="3"/>
      <c r="I21" s="142"/>
      <c r="J21" s="40"/>
      <c r="K21" s="44"/>
      <c r="L21" s="41"/>
      <c r="M21" s="44"/>
      <c r="N21" s="103" t="str">
        <f t="shared" si="11"/>
        <v/>
      </c>
      <c r="O21" s="140"/>
      <c r="P21" s="104" t="str">
        <f t="shared" si="1"/>
        <v/>
      </c>
      <c r="Q21" s="105" t="str">
        <f t="shared" si="2"/>
        <v/>
      </c>
      <c r="R21" s="107" t="str">
        <f t="shared" si="3"/>
        <v/>
      </c>
      <c r="S21" s="109" t="str">
        <f t="shared" si="4"/>
        <v/>
      </c>
      <c r="T21" s="110" t="str">
        <f t="shared" si="12"/>
        <v/>
      </c>
      <c r="U21" s="105" t="str">
        <f t="shared" si="5"/>
        <v/>
      </c>
      <c r="V21" s="37" t="s">
        <v>15</v>
      </c>
      <c r="W21" s="29"/>
      <c r="X21" s="110" t="str">
        <f t="shared" si="19"/>
        <v/>
      </c>
      <c r="Y21" s="113" t="str">
        <f t="shared" si="20"/>
        <v/>
      </c>
      <c r="Z21" s="10" t="str">
        <f t="shared" si="6"/>
        <v/>
      </c>
      <c r="AA21" s="115" t="str">
        <f t="shared" si="21"/>
        <v/>
      </c>
      <c r="AB21" s="107" t="str">
        <f t="shared" si="7"/>
        <v/>
      </c>
      <c r="AC21" s="108" t="str">
        <f t="shared" si="13"/>
        <v/>
      </c>
      <c r="AD21" s="38"/>
      <c r="AE21" s="129" t="str">
        <f t="shared" si="14"/>
        <v/>
      </c>
      <c r="AF21" s="10" t="str">
        <f t="shared" si="15"/>
        <v/>
      </c>
      <c r="AG21" s="3"/>
      <c r="AH21" s="10" t="str">
        <f t="shared" si="16"/>
        <v/>
      </c>
      <c r="AI21" s="10" t="str">
        <f t="shared" si="8"/>
        <v/>
      </c>
      <c r="AJ21" s="131" t="str">
        <f t="shared" si="17"/>
        <v/>
      </c>
      <c r="AK21" s="126" t="str">
        <f t="shared" si="9"/>
        <v/>
      </c>
      <c r="AL21" s="126" t="str">
        <f t="shared" si="18"/>
        <v/>
      </c>
      <c r="AM21" s="127" t="str">
        <f t="shared" si="10"/>
        <v/>
      </c>
    </row>
    <row r="22" spans="1:39" x14ac:dyDescent="0.5">
      <c r="A22" s="133"/>
      <c r="B22" s="27"/>
      <c r="C22" s="29"/>
      <c r="D22" s="42" t="s">
        <v>79</v>
      </c>
      <c r="E22" s="3"/>
      <c r="F22" s="137" t="str">
        <f t="shared" si="22"/>
        <v/>
      </c>
      <c r="H22" s="3"/>
      <c r="I22" s="142"/>
      <c r="J22" s="40"/>
      <c r="K22" s="44"/>
      <c r="L22" s="41"/>
      <c r="M22" s="44"/>
      <c r="N22" s="103" t="str">
        <f t="shared" si="11"/>
        <v/>
      </c>
      <c r="O22" s="140"/>
      <c r="P22" s="104" t="str">
        <f t="shared" si="1"/>
        <v/>
      </c>
      <c r="Q22" s="105" t="str">
        <f t="shared" si="2"/>
        <v/>
      </c>
      <c r="R22" s="107" t="str">
        <f t="shared" si="3"/>
        <v/>
      </c>
      <c r="S22" s="109" t="str">
        <f t="shared" si="4"/>
        <v/>
      </c>
      <c r="T22" s="110" t="str">
        <f t="shared" si="12"/>
        <v/>
      </c>
      <c r="U22" s="105" t="str">
        <f t="shared" si="5"/>
        <v/>
      </c>
      <c r="V22" s="37" t="s">
        <v>15</v>
      </c>
      <c r="W22" s="29"/>
      <c r="X22" s="110" t="str">
        <f t="shared" si="19"/>
        <v/>
      </c>
      <c r="Y22" s="113" t="str">
        <f t="shared" si="20"/>
        <v/>
      </c>
      <c r="Z22" s="10" t="str">
        <f t="shared" si="6"/>
        <v/>
      </c>
      <c r="AA22" s="115" t="str">
        <f t="shared" si="21"/>
        <v/>
      </c>
      <c r="AB22" s="107" t="str">
        <f t="shared" si="7"/>
        <v/>
      </c>
      <c r="AC22" s="108" t="str">
        <f t="shared" si="13"/>
        <v/>
      </c>
      <c r="AD22" s="38"/>
      <c r="AE22" s="129" t="str">
        <f t="shared" si="14"/>
        <v/>
      </c>
      <c r="AF22" s="10" t="str">
        <f t="shared" si="15"/>
        <v/>
      </c>
      <c r="AG22" s="3"/>
      <c r="AH22" s="10" t="str">
        <f t="shared" si="16"/>
        <v/>
      </c>
      <c r="AI22" s="10" t="str">
        <f t="shared" si="8"/>
        <v/>
      </c>
      <c r="AJ22" s="131" t="str">
        <f t="shared" si="17"/>
        <v/>
      </c>
      <c r="AK22" s="126" t="str">
        <f t="shared" si="9"/>
        <v/>
      </c>
      <c r="AL22" s="126" t="str">
        <f t="shared" si="18"/>
        <v/>
      </c>
      <c r="AM22" s="127" t="str">
        <f t="shared" si="10"/>
        <v/>
      </c>
    </row>
    <row r="23" spans="1:39" x14ac:dyDescent="0.5">
      <c r="A23" s="48"/>
      <c r="B23" s="27"/>
      <c r="C23" s="29"/>
      <c r="D23" s="42" t="s">
        <v>79</v>
      </c>
      <c r="E23" s="3"/>
      <c r="F23" s="137" t="str">
        <f t="shared" si="22"/>
        <v/>
      </c>
      <c r="H23" s="3"/>
      <c r="I23" s="142"/>
      <c r="J23" s="40"/>
      <c r="K23" s="44"/>
      <c r="L23" s="41"/>
      <c r="M23" s="44"/>
      <c r="N23" s="103" t="str">
        <f t="shared" si="11"/>
        <v/>
      </c>
      <c r="O23" s="140"/>
      <c r="P23" s="104" t="str">
        <f t="shared" si="1"/>
        <v/>
      </c>
      <c r="Q23" s="105" t="str">
        <f t="shared" si="2"/>
        <v/>
      </c>
      <c r="R23" s="107" t="str">
        <f t="shared" si="3"/>
        <v/>
      </c>
      <c r="S23" s="109" t="str">
        <f t="shared" si="4"/>
        <v/>
      </c>
      <c r="T23" s="110" t="str">
        <f t="shared" si="12"/>
        <v/>
      </c>
      <c r="U23" s="105" t="str">
        <f t="shared" si="5"/>
        <v/>
      </c>
      <c r="V23" s="37" t="s">
        <v>15</v>
      </c>
      <c r="W23" s="29"/>
      <c r="X23" s="110" t="str">
        <f t="shared" si="19"/>
        <v/>
      </c>
      <c r="Y23" s="113" t="str">
        <f t="shared" si="20"/>
        <v/>
      </c>
      <c r="Z23" s="10" t="str">
        <f t="shared" si="6"/>
        <v/>
      </c>
      <c r="AA23" s="115" t="str">
        <f t="shared" si="21"/>
        <v/>
      </c>
      <c r="AB23" s="107" t="str">
        <f t="shared" si="7"/>
        <v/>
      </c>
      <c r="AC23" s="108" t="str">
        <f t="shared" si="13"/>
        <v/>
      </c>
      <c r="AD23" s="38"/>
      <c r="AE23" s="129" t="str">
        <f t="shared" si="14"/>
        <v/>
      </c>
      <c r="AF23" s="10" t="str">
        <f t="shared" si="15"/>
        <v/>
      </c>
      <c r="AG23" s="3"/>
      <c r="AH23" s="10" t="str">
        <f t="shared" si="16"/>
        <v/>
      </c>
      <c r="AI23" s="10" t="str">
        <f t="shared" si="8"/>
        <v/>
      </c>
      <c r="AJ23" s="131" t="str">
        <f t="shared" si="17"/>
        <v/>
      </c>
      <c r="AK23" s="126" t="str">
        <f t="shared" si="9"/>
        <v/>
      </c>
      <c r="AL23" s="126" t="str">
        <f t="shared" si="18"/>
        <v/>
      </c>
      <c r="AM23" s="127" t="str">
        <f t="shared" si="10"/>
        <v/>
      </c>
    </row>
    <row r="24" spans="1:39" x14ac:dyDescent="0.5">
      <c r="A24" s="48"/>
      <c r="C24" s="85"/>
      <c r="D24" s="42" t="s">
        <v>79</v>
      </c>
      <c r="E24" s="3"/>
      <c r="F24" s="137" t="str">
        <f t="shared" si="22"/>
        <v/>
      </c>
      <c r="H24" s="3"/>
      <c r="I24" s="142"/>
      <c r="J24" s="40"/>
      <c r="K24" s="44"/>
      <c r="L24" s="41"/>
      <c r="M24" s="44"/>
      <c r="N24" s="103" t="str">
        <f t="shared" si="11"/>
        <v/>
      </c>
      <c r="O24" s="140"/>
      <c r="P24" s="104" t="str">
        <f t="shared" si="1"/>
        <v/>
      </c>
      <c r="Q24" s="105" t="str">
        <f t="shared" si="2"/>
        <v/>
      </c>
      <c r="R24" s="107" t="str">
        <f t="shared" si="3"/>
        <v/>
      </c>
      <c r="S24" s="109" t="str">
        <f t="shared" si="4"/>
        <v/>
      </c>
      <c r="T24" s="110" t="str">
        <f t="shared" si="12"/>
        <v/>
      </c>
      <c r="U24" s="105" t="str">
        <f t="shared" si="5"/>
        <v/>
      </c>
      <c r="V24" s="37" t="s">
        <v>15</v>
      </c>
      <c r="W24" s="29"/>
      <c r="X24" s="110" t="str">
        <f t="shared" si="19"/>
        <v/>
      </c>
      <c r="Y24" s="113" t="str">
        <f t="shared" si="20"/>
        <v/>
      </c>
      <c r="Z24" s="10" t="str">
        <f t="shared" si="6"/>
        <v/>
      </c>
      <c r="AA24" s="115" t="str">
        <f t="shared" si="21"/>
        <v/>
      </c>
      <c r="AB24" s="107" t="str">
        <f t="shared" si="7"/>
        <v/>
      </c>
      <c r="AC24" s="108" t="str">
        <f t="shared" si="13"/>
        <v/>
      </c>
      <c r="AD24" s="38"/>
      <c r="AE24" s="129" t="str">
        <f t="shared" si="14"/>
        <v/>
      </c>
      <c r="AF24" s="10" t="str">
        <f t="shared" si="15"/>
        <v/>
      </c>
      <c r="AG24" s="3"/>
      <c r="AH24" s="10" t="str">
        <f t="shared" si="16"/>
        <v/>
      </c>
      <c r="AI24" s="10" t="str">
        <f t="shared" si="8"/>
        <v/>
      </c>
      <c r="AJ24" s="131" t="str">
        <f t="shared" si="17"/>
        <v/>
      </c>
      <c r="AK24" s="126" t="str">
        <f t="shared" si="9"/>
        <v/>
      </c>
      <c r="AL24" s="126" t="str">
        <f t="shared" si="18"/>
        <v/>
      </c>
      <c r="AM24" s="127" t="str">
        <f t="shared" si="10"/>
        <v/>
      </c>
    </row>
    <row r="25" spans="1:39" x14ac:dyDescent="0.5">
      <c r="A25" s="48"/>
      <c r="C25" s="85"/>
      <c r="D25" s="42" t="s">
        <v>79</v>
      </c>
      <c r="E25" s="3"/>
      <c r="F25" s="137" t="str">
        <f t="shared" si="22"/>
        <v/>
      </c>
      <c r="H25" s="3"/>
      <c r="I25" s="142"/>
      <c r="J25" s="40"/>
      <c r="K25" s="44"/>
      <c r="L25" s="41"/>
      <c r="M25" s="44"/>
      <c r="N25" s="103" t="str">
        <f t="shared" si="11"/>
        <v/>
      </c>
      <c r="O25" s="140"/>
      <c r="P25" s="104" t="str">
        <f t="shared" si="1"/>
        <v/>
      </c>
      <c r="Q25" s="105" t="str">
        <f t="shared" si="2"/>
        <v/>
      </c>
      <c r="R25" s="107" t="str">
        <f t="shared" si="3"/>
        <v/>
      </c>
      <c r="S25" s="109" t="str">
        <f t="shared" si="4"/>
        <v/>
      </c>
      <c r="T25" s="110" t="str">
        <f t="shared" si="12"/>
        <v/>
      </c>
      <c r="U25" s="105" t="str">
        <f t="shared" si="5"/>
        <v/>
      </c>
      <c r="V25" s="37" t="s">
        <v>15</v>
      </c>
      <c r="W25" s="29"/>
      <c r="X25" s="110" t="str">
        <f t="shared" si="19"/>
        <v/>
      </c>
      <c r="Y25" s="113" t="str">
        <f t="shared" si="20"/>
        <v/>
      </c>
      <c r="Z25" s="10" t="str">
        <f t="shared" si="6"/>
        <v/>
      </c>
      <c r="AA25" s="115" t="str">
        <f t="shared" si="21"/>
        <v/>
      </c>
      <c r="AB25" s="107" t="str">
        <f t="shared" si="7"/>
        <v/>
      </c>
      <c r="AC25" s="108" t="str">
        <f t="shared" si="13"/>
        <v/>
      </c>
      <c r="AD25" s="38"/>
      <c r="AE25" s="129" t="str">
        <f t="shared" si="14"/>
        <v/>
      </c>
      <c r="AF25" s="10" t="str">
        <f t="shared" si="15"/>
        <v/>
      </c>
      <c r="AG25" s="3"/>
      <c r="AH25" s="10" t="str">
        <f t="shared" si="16"/>
        <v/>
      </c>
      <c r="AI25" s="10" t="str">
        <f t="shared" si="8"/>
        <v/>
      </c>
      <c r="AJ25" s="131" t="str">
        <f t="shared" si="17"/>
        <v/>
      </c>
      <c r="AK25" s="126" t="str">
        <f t="shared" si="9"/>
        <v/>
      </c>
      <c r="AL25" s="126" t="str">
        <f t="shared" si="18"/>
        <v/>
      </c>
      <c r="AM25" s="127" t="str">
        <f t="shared" si="10"/>
        <v/>
      </c>
    </row>
    <row r="26" spans="1:39" x14ac:dyDescent="0.5">
      <c r="A26" s="134" t="s">
        <v>120</v>
      </c>
      <c r="B26" s="86"/>
      <c r="C26" s="29"/>
      <c r="D26" s="42" t="s">
        <v>79</v>
      </c>
      <c r="E26" s="3">
        <v>100</v>
      </c>
      <c r="F26" s="137" t="str">
        <f t="shared" si="22"/>
        <v>mM</v>
      </c>
      <c r="H26" s="3"/>
      <c r="I26" s="142"/>
      <c r="J26" s="40">
        <v>10</v>
      </c>
      <c r="K26" s="44" t="s">
        <v>76</v>
      </c>
      <c r="L26" s="41">
        <v>190</v>
      </c>
      <c r="M26" s="44" t="s">
        <v>10</v>
      </c>
      <c r="N26" s="103">
        <f t="shared" si="11"/>
        <v>1900</v>
      </c>
      <c r="O26" s="140" t="s">
        <v>114</v>
      </c>
      <c r="P26" s="104" t="str">
        <f t="shared" si="1"/>
        <v/>
      </c>
      <c r="Q26" s="105" t="str">
        <f t="shared" si="2"/>
        <v/>
      </c>
      <c r="R26" s="107">
        <f t="shared" si="3"/>
        <v>19</v>
      </c>
      <c r="S26" s="109" t="str">
        <f>IF(R26="","",M26)</f>
        <v>µL</v>
      </c>
      <c r="T26" s="110">
        <f t="shared" si="12"/>
        <v>171</v>
      </c>
      <c r="U26" s="105" t="str">
        <f>IF(T26="","",M26)</f>
        <v>µL</v>
      </c>
      <c r="V26" s="37" t="s">
        <v>15</v>
      </c>
      <c r="W26" s="29">
        <v>96</v>
      </c>
      <c r="X26" s="110" t="str">
        <f t="shared" si="19"/>
        <v/>
      </c>
      <c r="Y26" s="113" t="str">
        <f t="shared" si="20"/>
        <v/>
      </c>
      <c r="Z26" s="10">
        <f t="shared" si="6"/>
        <v>1824</v>
      </c>
      <c r="AA26" s="115" t="str">
        <f t="shared" si="21"/>
        <v>µL</v>
      </c>
      <c r="AB26" s="107">
        <f t="shared" si="7"/>
        <v>16416</v>
      </c>
      <c r="AC26" s="108" t="str">
        <f t="shared" si="13"/>
        <v>µL</v>
      </c>
      <c r="AD26" s="38"/>
      <c r="AE26" s="129">
        <f t="shared" si="14"/>
        <v>10</v>
      </c>
      <c r="AF26" s="10" t="str">
        <f t="shared" si="15"/>
        <v>mM</v>
      </c>
      <c r="AG26" s="3"/>
      <c r="AH26" s="10" t="str">
        <f t="shared" si="16"/>
        <v/>
      </c>
      <c r="AI26" s="10" t="str">
        <f t="shared" si="8"/>
        <v/>
      </c>
      <c r="AJ26" s="131" t="str">
        <f t="shared" si="17"/>
        <v>mmol</v>
      </c>
      <c r="AK26" s="126" t="str">
        <f t="shared" si="9"/>
        <v/>
      </c>
      <c r="AL26" s="126" t="str">
        <f t="shared" si="18"/>
        <v>µL</v>
      </c>
      <c r="AM26" s="127" t="str">
        <f t="shared" si="10"/>
        <v/>
      </c>
    </row>
    <row r="27" spans="1:39" x14ac:dyDescent="0.5">
      <c r="A27" s="134" t="s">
        <v>239</v>
      </c>
      <c r="C27" s="85">
        <v>250.5</v>
      </c>
      <c r="D27" s="42" t="s">
        <v>79</v>
      </c>
      <c r="E27" s="3"/>
      <c r="F27" s="137" t="str">
        <f t="shared" si="22"/>
        <v>M</v>
      </c>
      <c r="H27" s="3"/>
      <c r="I27" s="142"/>
      <c r="J27" s="40">
        <v>0.01</v>
      </c>
      <c r="K27" s="44" t="s">
        <v>17</v>
      </c>
      <c r="L27" s="41">
        <v>1.6416E-2</v>
      </c>
      <c r="M27" s="44" t="s">
        <v>78</v>
      </c>
      <c r="N27" s="103">
        <f t="shared" si="11"/>
        <v>1.6416E-4</v>
      </c>
      <c r="O27" s="140" t="s">
        <v>39</v>
      </c>
      <c r="P27" s="104">
        <f t="shared" si="1"/>
        <v>4.1122079999999998E-2</v>
      </c>
      <c r="Q27" s="105" t="str">
        <f t="shared" si="2"/>
        <v>g</v>
      </c>
      <c r="R27" s="107" t="str">
        <f t="shared" si="3"/>
        <v/>
      </c>
      <c r="S27" s="109" t="str">
        <f>IF(R27="","",M27)</f>
        <v/>
      </c>
      <c r="T27" s="110">
        <f t="shared" si="12"/>
        <v>1.6416E-2</v>
      </c>
      <c r="U27" s="105" t="str">
        <f>IF(T27="","",M27)</f>
        <v>L</v>
      </c>
      <c r="V27" s="37" t="s">
        <v>15</v>
      </c>
      <c r="W27" s="29">
        <v>1</v>
      </c>
      <c r="X27" s="110">
        <f t="shared" si="19"/>
        <v>4.1122079999999998E-2</v>
      </c>
      <c r="Y27" s="113" t="str">
        <f t="shared" si="20"/>
        <v>g</v>
      </c>
      <c r="Z27" s="10" t="str">
        <f t="shared" si="6"/>
        <v/>
      </c>
      <c r="AA27" s="115" t="str">
        <f t="shared" si="21"/>
        <v/>
      </c>
      <c r="AB27" s="107">
        <f t="shared" si="7"/>
        <v>1.6416E-2</v>
      </c>
      <c r="AC27" s="108" t="str">
        <f t="shared" si="13"/>
        <v>L</v>
      </c>
      <c r="AD27" s="38"/>
      <c r="AE27" s="129">
        <f t="shared" si="14"/>
        <v>0.01</v>
      </c>
      <c r="AF27" s="10" t="str">
        <f t="shared" si="15"/>
        <v>M</v>
      </c>
      <c r="AG27" s="3">
        <v>140.30000000000001</v>
      </c>
      <c r="AH27" s="10" t="str">
        <f t="shared" si="16"/>
        <v>g</v>
      </c>
      <c r="AI27" s="10">
        <f t="shared" si="8"/>
        <v>0.56007984031936131</v>
      </c>
      <c r="AJ27" s="131" t="str">
        <f t="shared" si="17"/>
        <v>mol</v>
      </c>
      <c r="AK27" s="126">
        <f t="shared" si="9"/>
        <v>56.007984031936132</v>
      </c>
      <c r="AL27" s="126" t="str">
        <f t="shared" si="18"/>
        <v>L</v>
      </c>
      <c r="AM27" s="127">
        <f t="shared" si="10"/>
        <v>56007.984031936132</v>
      </c>
    </row>
    <row r="28" spans="1:39" x14ac:dyDescent="0.5">
      <c r="B28" s="27"/>
      <c r="C28" s="39"/>
      <c r="D28" s="38"/>
      <c r="I28" s="43"/>
      <c r="K28" s="45"/>
      <c r="M28" s="45"/>
      <c r="N28" s="38"/>
      <c r="O28" s="27"/>
      <c r="P28" s="38"/>
      <c r="Q28" s="46"/>
      <c r="R28" s="38"/>
      <c r="S28" s="46"/>
      <c r="T28" s="38"/>
      <c r="U28" s="46"/>
      <c r="V28" s="38"/>
      <c r="W28" s="38"/>
      <c r="X28" s="38"/>
      <c r="Y28" s="114"/>
      <c r="Z28" s="38"/>
      <c r="AA28" s="38"/>
      <c r="AB28" s="38"/>
      <c r="AC28" s="46"/>
      <c r="AD28" s="38"/>
      <c r="AE28" s="38"/>
      <c r="AF28" s="38"/>
    </row>
    <row r="29" spans="1:39" x14ac:dyDescent="0.5">
      <c r="B29" s="27"/>
      <c r="C29" s="38"/>
      <c r="D29" s="38"/>
      <c r="I29" s="43"/>
      <c r="K29" s="45"/>
      <c r="M29" s="45"/>
      <c r="N29" s="38"/>
      <c r="O29" s="27"/>
      <c r="P29" s="38"/>
      <c r="Q29" s="46"/>
      <c r="R29" s="38"/>
      <c r="S29" s="46"/>
      <c r="T29" s="38"/>
      <c r="U29" s="46"/>
      <c r="V29" s="38"/>
      <c r="W29" s="38"/>
      <c r="X29" s="38"/>
      <c r="Y29" s="38"/>
      <c r="Z29" s="38"/>
      <c r="AA29" s="38"/>
      <c r="AB29" s="38"/>
      <c r="AC29" s="46"/>
      <c r="AD29" s="38"/>
      <c r="AE29" s="38"/>
      <c r="AF29" s="38"/>
    </row>
    <row r="30" spans="1:39" x14ac:dyDescent="0.5">
      <c r="B30" s="27"/>
      <c r="C30" s="38"/>
      <c r="D30" s="38"/>
      <c r="I30" s="43"/>
      <c r="K30" s="45"/>
      <c r="M30" s="45"/>
      <c r="N30" s="38"/>
      <c r="O30" s="27"/>
      <c r="P30" s="38"/>
      <c r="Q30" s="46"/>
      <c r="R30" s="38"/>
      <c r="S30" s="46"/>
      <c r="T30" s="38"/>
      <c r="U30" s="46"/>
      <c r="V30" s="38"/>
      <c r="W30" s="38"/>
      <c r="X30" s="38"/>
      <c r="Y30" s="38"/>
      <c r="Z30" s="38"/>
      <c r="AA30" s="38"/>
      <c r="AB30" s="38"/>
      <c r="AC30" s="46"/>
      <c r="AD30" s="38"/>
      <c r="AE30" s="38"/>
      <c r="AF30" s="38"/>
    </row>
    <row r="31" spans="1:39" x14ac:dyDescent="0.5">
      <c r="B31" s="27"/>
      <c r="C31" s="38"/>
      <c r="D31" s="38"/>
      <c r="I31" s="43"/>
      <c r="J31" s="49"/>
      <c r="K31" s="45"/>
      <c r="M31" s="45"/>
      <c r="N31" s="38"/>
      <c r="O31" s="27"/>
      <c r="P31" s="38"/>
      <c r="Q31" s="46"/>
      <c r="R31" s="38"/>
      <c r="S31" s="46"/>
      <c r="T31" s="38"/>
      <c r="U31" s="46"/>
      <c r="V31" s="38"/>
      <c r="W31" s="38"/>
      <c r="X31" s="38"/>
      <c r="Y31" s="38"/>
      <c r="Z31" s="38"/>
      <c r="AA31" s="38"/>
      <c r="AB31" s="38"/>
      <c r="AC31" s="46"/>
      <c r="AD31" s="38"/>
      <c r="AE31" s="38"/>
      <c r="AF31" s="38"/>
    </row>
    <row r="32" spans="1:39" x14ac:dyDescent="0.5">
      <c r="B32" s="27"/>
      <c r="C32" s="38"/>
      <c r="D32" s="38"/>
      <c r="I32" s="43"/>
      <c r="J32" s="49"/>
      <c r="K32" s="45"/>
      <c r="M32" s="45"/>
      <c r="N32" s="38"/>
      <c r="O32" s="27"/>
      <c r="P32" s="38"/>
      <c r="Q32" s="46"/>
      <c r="R32" s="38"/>
      <c r="S32" s="46"/>
      <c r="T32" s="38"/>
      <c r="U32" s="46"/>
      <c r="V32" s="38"/>
      <c r="W32" s="38"/>
      <c r="X32" s="38"/>
      <c r="Y32" s="38"/>
      <c r="Z32" s="38"/>
      <c r="AA32" s="38"/>
      <c r="AB32" s="38"/>
      <c r="AC32" s="46"/>
      <c r="AD32" s="38"/>
      <c r="AE32" s="38"/>
      <c r="AF32" s="38"/>
    </row>
    <row r="33" spans="1:32" x14ac:dyDescent="0.5">
      <c r="B33" s="27"/>
      <c r="C33" s="38"/>
      <c r="D33" s="38"/>
      <c r="I33" s="43"/>
      <c r="K33" s="45"/>
      <c r="N33" s="38"/>
      <c r="O33" s="27"/>
      <c r="P33" s="38"/>
      <c r="Q33" s="38"/>
      <c r="R33" s="38"/>
      <c r="S33" s="46"/>
      <c r="T33" s="38"/>
      <c r="U33" s="38"/>
      <c r="V33" s="38"/>
      <c r="W33" s="38"/>
      <c r="X33" s="38"/>
      <c r="Y33" s="38"/>
      <c r="Z33" s="38"/>
      <c r="AA33" s="38"/>
      <c r="AB33" s="38"/>
      <c r="AC33" s="38"/>
      <c r="AD33" s="38"/>
      <c r="AE33" s="38"/>
      <c r="AF33" s="38"/>
    </row>
    <row r="34" spans="1:32" x14ac:dyDescent="0.5">
      <c r="B34" s="27"/>
      <c r="C34" s="38"/>
      <c r="D34" s="38"/>
      <c r="I34" s="43"/>
      <c r="K34" s="45"/>
      <c r="N34" s="38"/>
      <c r="O34" s="27"/>
      <c r="P34" s="38"/>
      <c r="Q34" s="38"/>
      <c r="R34" s="38"/>
      <c r="S34" s="38"/>
      <c r="T34" s="38"/>
      <c r="U34" s="38"/>
      <c r="V34" s="38"/>
      <c r="W34" s="38"/>
      <c r="X34" s="38"/>
      <c r="Y34" s="38"/>
      <c r="Z34" s="38"/>
      <c r="AA34" s="38"/>
      <c r="AB34" s="38"/>
      <c r="AC34" s="38"/>
      <c r="AD34" s="38"/>
      <c r="AE34" s="38"/>
      <c r="AF34" s="38"/>
    </row>
    <row r="35" spans="1:32" x14ac:dyDescent="0.5">
      <c r="B35" s="27"/>
      <c r="C35" s="38"/>
      <c r="D35" s="38"/>
      <c r="I35" s="43"/>
      <c r="K35" s="45"/>
      <c r="N35" s="38"/>
      <c r="O35" s="27"/>
      <c r="P35" s="38"/>
      <c r="Q35" s="38"/>
      <c r="X35" s="38"/>
      <c r="Y35" s="38"/>
    </row>
    <row r="36" spans="1:32" x14ac:dyDescent="0.5">
      <c r="B36" s="27"/>
      <c r="C36" s="38"/>
      <c r="D36" s="38"/>
      <c r="I36" s="43"/>
      <c r="K36" s="45"/>
      <c r="N36" s="38"/>
      <c r="O36" s="27"/>
      <c r="P36" s="38"/>
      <c r="Q36" s="38"/>
      <c r="X36" s="38"/>
      <c r="Y36" s="38"/>
    </row>
    <row r="37" spans="1:32" x14ac:dyDescent="0.5">
      <c r="B37" s="27"/>
      <c r="C37" s="38"/>
      <c r="D37" s="38"/>
      <c r="J37" s="49"/>
      <c r="K37" s="45"/>
      <c r="N37" s="38"/>
      <c r="O37" s="27"/>
      <c r="P37" s="38"/>
      <c r="Q37" s="38"/>
      <c r="X37" s="38"/>
      <c r="Y37" s="38"/>
      <c r="Z37" s="38"/>
      <c r="AA37" s="38"/>
    </row>
    <row r="38" spans="1:32" x14ac:dyDescent="0.5">
      <c r="C38" s="38"/>
      <c r="D38" s="38"/>
      <c r="K38" s="45"/>
      <c r="P38" s="38"/>
      <c r="X38" s="38"/>
      <c r="Y38" s="38"/>
    </row>
    <row r="39" spans="1:32" x14ac:dyDescent="0.5">
      <c r="C39" s="38"/>
      <c r="D39" s="38"/>
      <c r="P39" s="38"/>
      <c r="X39" s="38"/>
      <c r="Y39" s="38"/>
    </row>
    <row r="40" spans="1:32" x14ac:dyDescent="0.5">
      <c r="P40" s="38"/>
      <c r="X40" s="38"/>
      <c r="Y40" s="38"/>
    </row>
    <row r="41" spans="1:32" x14ac:dyDescent="0.5">
      <c r="P41" s="38"/>
      <c r="X41" s="38"/>
      <c r="Y41" s="38"/>
    </row>
    <row r="42" spans="1:32" x14ac:dyDescent="0.5">
      <c r="P42" s="38"/>
      <c r="X42" s="38"/>
      <c r="Y42" s="38"/>
    </row>
    <row r="43" spans="1:32" x14ac:dyDescent="0.5">
      <c r="A43" s="155"/>
      <c r="B43" s="268"/>
      <c r="C43" s="268"/>
      <c r="P43" s="38"/>
      <c r="X43" s="38"/>
      <c r="Y43" s="38"/>
    </row>
    <row r="44" spans="1:32" x14ac:dyDescent="0.5">
      <c r="A44" s="627" t="s">
        <v>319</v>
      </c>
      <c r="B44" s="268"/>
      <c r="C44" s="268"/>
      <c r="P44" s="38"/>
      <c r="X44" s="38"/>
      <c r="Y44" s="38"/>
    </row>
    <row r="45" spans="1:32" x14ac:dyDescent="0.5">
      <c r="A45" s="628"/>
      <c r="B45" s="268"/>
      <c r="C45" s="268"/>
      <c r="P45" s="38"/>
      <c r="X45" s="38"/>
      <c r="Y45" s="38"/>
    </row>
    <row r="46" spans="1:32" x14ac:dyDescent="0.5">
      <c r="P46" s="38"/>
      <c r="X46" s="38"/>
      <c r="Y46" s="38"/>
    </row>
    <row r="47" spans="1:32" x14ac:dyDescent="0.5">
      <c r="P47" s="38"/>
      <c r="X47" s="38"/>
      <c r="Y47" s="38"/>
    </row>
    <row r="48" spans="1:32" x14ac:dyDescent="0.5">
      <c r="P48" s="38"/>
      <c r="X48" s="38"/>
      <c r="Y48" s="38"/>
    </row>
    <row r="49" spans="16:25" x14ac:dyDescent="0.5">
      <c r="P49" s="38"/>
      <c r="X49" s="38"/>
      <c r="Y49" s="38"/>
    </row>
    <row r="50" spans="16:25" x14ac:dyDescent="0.5">
      <c r="P50" s="38"/>
      <c r="X50" s="38"/>
      <c r="Y50" s="38"/>
    </row>
    <row r="51" spans="16:25" x14ac:dyDescent="0.5">
      <c r="P51" s="38"/>
      <c r="X51" s="38"/>
      <c r="Y51" s="38"/>
    </row>
    <row r="52" spans="16:25" x14ac:dyDescent="0.5">
      <c r="P52" s="38"/>
      <c r="X52" s="38"/>
      <c r="Y52" s="38"/>
    </row>
    <row r="53" spans="16:25" x14ac:dyDescent="0.5">
      <c r="P53" s="38"/>
      <c r="X53" s="38"/>
      <c r="Y53" s="38"/>
    </row>
    <row r="54" spans="16:25" x14ac:dyDescent="0.5">
      <c r="X54" s="38"/>
      <c r="Y54" s="38"/>
    </row>
    <row r="55" spans="16:25" x14ac:dyDescent="0.5">
      <c r="X55" s="38"/>
      <c r="Y55" s="38"/>
    </row>
    <row r="56" spans="16:25" x14ac:dyDescent="0.5">
      <c r="X56" s="38"/>
      <c r="Y56" s="38"/>
    </row>
    <row r="57" spans="16:25" x14ac:dyDescent="0.5">
      <c r="X57" s="38"/>
    </row>
    <row r="58" spans="16:25" x14ac:dyDescent="0.5">
      <c r="X58" s="38"/>
    </row>
    <row r="59" spans="16:25" x14ac:dyDescent="0.5">
      <c r="X59" s="38"/>
    </row>
    <row r="60" spans="16:25" x14ac:dyDescent="0.5">
      <c r="X60" s="38"/>
    </row>
    <row r="61" spans="16:25" x14ac:dyDescent="0.5">
      <c r="X61" s="38"/>
    </row>
    <row r="62" spans="16:25" x14ac:dyDescent="0.5">
      <c r="X62" s="38"/>
    </row>
    <row r="63" spans="16:25" x14ac:dyDescent="0.5">
      <c r="X63" s="38"/>
    </row>
    <row r="64" spans="16:25" x14ac:dyDescent="0.5">
      <c r="X64" s="38"/>
    </row>
    <row r="65" spans="24:24" x14ac:dyDescent="0.5">
      <c r="X65" s="38"/>
    </row>
    <row r="66" spans="24:24" x14ac:dyDescent="0.5">
      <c r="X66" s="38"/>
    </row>
    <row r="67" spans="24:24" x14ac:dyDescent="0.5">
      <c r="X67" s="38"/>
    </row>
    <row r="68" spans="24:24" x14ac:dyDescent="0.5">
      <c r="X68" s="38"/>
    </row>
  </sheetData>
  <mergeCells count="14">
    <mergeCell ref="A44:A45"/>
    <mergeCell ref="A1:B2"/>
    <mergeCell ref="C1:H1"/>
    <mergeCell ref="J1:N1"/>
    <mergeCell ref="P1:T1"/>
    <mergeCell ref="V4:AC4"/>
    <mergeCell ref="C2:H2"/>
    <mergeCell ref="C4:I4"/>
    <mergeCell ref="AE2:AM2"/>
    <mergeCell ref="J2:N2"/>
    <mergeCell ref="P2:T2"/>
    <mergeCell ref="J4:M4"/>
    <mergeCell ref="AE4:AM4"/>
    <mergeCell ref="P4:T4"/>
  </mergeCells>
  <pageMargins left="0.7" right="0.7" top="0.75" bottom="0.75" header="0.3" footer="0.3"/>
  <pageSetup orientation="portrait" r:id="rId1"/>
  <ignoredErrors>
    <ignoredError sqref="AB20:AB27 Z21:Z25 Z6:Z14 AB6:AB14 Z15:Z20 AB15:AB19 Z26:Z2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T48"/>
  <sheetViews>
    <sheetView showGridLines="0" zoomScaleNormal="100" workbookViewId="0">
      <selection activeCell="C5" sqref="C5"/>
    </sheetView>
  </sheetViews>
  <sheetFormatPr defaultRowHeight="14.35" x14ac:dyDescent="0.5"/>
  <cols>
    <col min="1" max="1" width="8.9375" customWidth="1"/>
    <col min="2" max="2" width="3.703125" customWidth="1"/>
    <col min="3" max="3" width="14.41015625" customWidth="1"/>
    <col min="4" max="4" width="5" customWidth="1"/>
    <col min="5" max="5" width="10" customWidth="1"/>
    <col min="6" max="6" width="5.05859375" customWidth="1"/>
    <col min="7" max="7" width="6.76171875" customWidth="1"/>
    <col min="8" max="8" width="10" customWidth="1"/>
    <col min="9" max="9" width="5" customWidth="1"/>
    <col min="10" max="10" width="8.1171875" customWidth="1"/>
    <col min="11" max="11" width="9.703125" customWidth="1"/>
    <col min="12" max="12" width="11" customWidth="1"/>
    <col min="13" max="13" width="8.52734375" customWidth="1"/>
    <col min="14" max="14" width="5.05859375" customWidth="1"/>
    <col min="19" max="19" width="14.41015625" customWidth="1"/>
    <col min="20" max="20" width="5.41015625" customWidth="1"/>
    <col min="22" max="22" width="6" customWidth="1"/>
    <col min="24" max="24" width="11.29296875" customWidth="1"/>
    <col min="25" max="25" width="4.76171875" customWidth="1"/>
    <col min="27" max="27" width="9" bestFit="1" customWidth="1"/>
    <col min="28" max="28" width="10.87890625" customWidth="1"/>
    <col min="29" max="29" width="8.8203125" customWidth="1"/>
    <col min="30" max="30" width="4.1171875" customWidth="1"/>
    <col min="35" max="35" width="14.41015625" customWidth="1"/>
    <col min="36" max="36" width="4.76171875" customWidth="1"/>
    <col min="38" max="38" width="5.1171875" customWidth="1"/>
    <col min="40" max="40" width="12" customWidth="1"/>
    <col min="41" max="41" width="3.76171875" customWidth="1"/>
    <col min="44" max="44" width="11.76171875" customWidth="1"/>
    <col min="46" max="46" width="3.87890625" customWidth="1"/>
  </cols>
  <sheetData>
    <row r="1" spans="1:46" ht="59" customHeight="1" x14ac:dyDescent="0.5">
      <c r="A1" s="700" t="s">
        <v>320</v>
      </c>
      <c r="B1" s="700"/>
      <c r="C1" s="700"/>
      <c r="D1" s="699" t="s">
        <v>354</v>
      </c>
      <c r="E1" s="699"/>
      <c r="F1" s="699"/>
      <c r="G1" s="699"/>
      <c r="H1" s="699"/>
      <c r="I1" s="699"/>
      <c r="J1" s="699"/>
      <c r="K1" s="699"/>
      <c r="L1" s="699"/>
      <c r="M1" s="699"/>
      <c r="N1" s="699"/>
      <c r="O1" s="284"/>
      <c r="P1" s="284"/>
      <c r="Q1" s="284"/>
      <c r="R1" s="284"/>
      <c r="S1" s="284"/>
      <c r="T1" s="284"/>
      <c r="U1" s="284"/>
      <c r="V1" s="284"/>
      <c r="W1" s="284"/>
      <c r="X1" s="284"/>
      <c r="Y1" s="284"/>
      <c r="Z1" s="284"/>
      <c r="AA1" s="284"/>
      <c r="AB1" s="284"/>
      <c r="AC1" s="284"/>
      <c r="AD1" s="284"/>
      <c r="AE1" s="284"/>
      <c r="AF1" s="284"/>
      <c r="AG1" s="284"/>
      <c r="AH1" s="284"/>
      <c r="AI1" s="284"/>
      <c r="AJ1" s="284"/>
      <c r="AK1" s="284"/>
      <c r="AL1" s="284"/>
      <c r="AM1" s="284"/>
      <c r="AN1" s="284"/>
      <c r="AO1" s="284"/>
      <c r="AP1" s="284"/>
      <c r="AQ1" s="284"/>
      <c r="AR1" s="284"/>
      <c r="AS1" s="284"/>
      <c r="AT1" s="284"/>
    </row>
    <row r="2" spans="1:46" ht="16.2" customHeight="1" x14ac:dyDescent="0.5">
      <c r="A2" s="285"/>
      <c r="B2" s="477" t="s">
        <v>343</v>
      </c>
      <c r="C2" s="704"/>
      <c r="D2" s="705"/>
      <c r="E2" s="705"/>
      <c r="F2" s="705"/>
      <c r="G2" s="705"/>
      <c r="H2" s="705"/>
      <c r="I2" s="705"/>
      <c r="J2" s="705"/>
      <c r="K2" s="705"/>
      <c r="L2" s="705"/>
      <c r="M2" s="705"/>
      <c r="N2" s="706"/>
      <c r="O2" s="289"/>
      <c r="P2" s="289"/>
      <c r="Q2" s="285"/>
      <c r="R2" s="477" t="s">
        <v>343</v>
      </c>
      <c r="S2" s="704"/>
      <c r="T2" s="705"/>
      <c r="U2" s="705"/>
      <c r="V2" s="705"/>
      <c r="W2" s="705"/>
      <c r="X2" s="705"/>
      <c r="Y2" s="705"/>
      <c r="Z2" s="705"/>
      <c r="AA2" s="705"/>
      <c r="AB2" s="705"/>
      <c r="AC2" s="705"/>
      <c r="AD2" s="706"/>
      <c r="AE2" s="284"/>
      <c r="AF2" s="284"/>
      <c r="AG2" s="285"/>
      <c r="AH2" s="477" t="s">
        <v>343</v>
      </c>
      <c r="AI2" s="704"/>
      <c r="AJ2" s="705"/>
      <c r="AK2" s="705"/>
      <c r="AL2" s="705"/>
      <c r="AM2" s="705"/>
      <c r="AN2" s="705"/>
      <c r="AO2" s="705"/>
      <c r="AP2" s="705"/>
      <c r="AQ2" s="705"/>
      <c r="AR2" s="705"/>
      <c r="AS2" s="705"/>
      <c r="AT2" s="706"/>
    </row>
    <row r="3" spans="1:46" x14ac:dyDescent="0.5">
      <c r="A3" s="285"/>
      <c r="B3" s="286" t="s">
        <v>3</v>
      </c>
      <c r="C3" s="522">
        <v>0</v>
      </c>
      <c r="D3" s="523"/>
      <c r="E3" s="284"/>
      <c r="F3" s="284"/>
      <c r="G3" s="284"/>
      <c r="H3" s="284"/>
      <c r="I3" s="284"/>
      <c r="J3" s="284"/>
      <c r="K3" s="284"/>
      <c r="L3" s="284"/>
      <c r="M3" s="284"/>
      <c r="N3" s="284"/>
      <c r="O3" s="289"/>
      <c r="P3" s="289"/>
      <c r="Q3" s="285"/>
      <c r="R3" s="477" t="s">
        <v>3</v>
      </c>
      <c r="S3" s="522">
        <v>0</v>
      </c>
      <c r="T3" s="523"/>
      <c r="U3" s="284"/>
      <c r="V3" s="284"/>
      <c r="W3" s="284"/>
      <c r="X3" s="284"/>
      <c r="Y3" s="284"/>
      <c r="Z3" s="284"/>
      <c r="AA3" s="284"/>
      <c r="AB3" s="284"/>
      <c r="AC3" s="284"/>
      <c r="AD3" s="284"/>
      <c r="AE3" s="284"/>
      <c r="AF3" s="284"/>
      <c r="AG3" s="285"/>
      <c r="AH3" s="477" t="s">
        <v>3</v>
      </c>
      <c r="AI3" s="522">
        <v>0</v>
      </c>
      <c r="AJ3" s="523"/>
      <c r="AK3" s="284"/>
      <c r="AL3" s="284"/>
      <c r="AM3" s="284"/>
      <c r="AN3" s="284"/>
      <c r="AO3" s="284"/>
      <c r="AP3" s="284"/>
      <c r="AQ3" s="284"/>
      <c r="AR3" s="284"/>
      <c r="AS3" s="284"/>
      <c r="AT3" s="284"/>
    </row>
    <row r="4" spans="1:46" s="121" customFormat="1" ht="36.6" customHeight="1" x14ac:dyDescent="0.5">
      <c r="A4" s="487" t="s">
        <v>128</v>
      </c>
      <c r="B4" s="485"/>
      <c r="C4" s="287" t="s">
        <v>349</v>
      </c>
      <c r="D4" s="287" t="s">
        <v>350</v>
      </c>
      <c r="E4" s="287" t="s">
        <v>169</v>
      </c>
      <c r="F4" s="287" t="s">
        <v>350</v>
      </c>
      <c r="G4" s="488" t="s">
        <v>347</v>
      </c>
      <c r="H4" s="287" t="s">
        <v>245</v>
      </c>
      <c r="I4" s="287"/>
      <c r="J4" s="287" t="s">
        <v>117</v>
      </c>
      <c r="K4" s="702" t="s">
        <v>356</v>
      </c>
      <c r="L4" s="702"/>
      <c r="M4" s="416" t="s">
        <v>327</v>
      </c>
      <c r="N4" s="289"/>
      <c r="O4" s="289"/>
      <c r="P4" s="289"/>
      <c r="Q4" s="505" t="s">
        <v>352</v>
      </c>
      <c r="R4" s="485"/>
      <c r="S4" s="505" t="s">
        <v>349</v>
      </c>
      <c r="T4" s="505" t="s">
        <v>350</v>
      </c>
      <c r="U4" s="505" t="s">
        <v>169</v>
      </c>
      <c r="V4" s="505" t="s">
        <v>350</v>
      </c>
      <c r="W4" s="288" t="s">
        <v>351</v>
      </c>
      <c r="X4" s="505" t="s">
        <v>245</v>
      </c>
      <c r="Y4" s="505"/>
      <c r="Z4" s="505" t="s">
        <v>117</v>
      </c>
      <c r="AA4" s="702" t="s">
        <v>356</v>
      </c>
      <c r="AB4" s="702"/>
      <c r="AC4" s="416" t="s">
        <v>327</v>
      </c>
      <c r="AD4" s="289"/>
      <c r="AE4" s="289"/>
      <c r="AF4" s="289"/>
      <c r="AG4" s="505" t="s">
        <v>352</v>
      </c>
      <c r="AH4" s="485"/>
      <c r="AI4" s="505" t="s">
        <v>349</v>
      </c>
      <c r="AJ4" s="505" t="s">
        <v>350</v>
      </c>
      <c r="AK4" s="505" t="s">
        <v>169</v>
      </c>
      <c r="AL4" s="505" t="s">
        <v>350</v>
      </c>
      <c r="AM4" s="288" t="s">
        <v>351</v>
      </c>
      <c r="AN4" s="505" t="s">
        <v>245</v>
      </c>
      <c r="AO4" s="505"/>
      <c r="AP4" s="505" t="s">
        <v>117</v>
      </c>
      <c r="AQ4" s="702" t="s">
        <v>356</v>
      </c>
      <c r="AR4" s="702"/>
      <c r="AS4" s="416" t="s">
        <v>327</v>
      </c>
      <c r="AT4" s="289"/>
    </row>
    <row r="5" spans="1:46" x14ac:dyDescent="0.5">
      <c r="A5" s="483"/>
      <c r="B5" s="484" t="s">
        <v>28</v>
      </c>
      <c r="C5" s="428"/>
      <c r="D5" s="427" t="s">
        <v>17</v>
      </c>
      <c r="E5" s="428"/>
      <c r="F5" s="427" t="s">
        <v>10</v>
      </c>
      <c r="G5" s="490"/>
      <c r="H5" s="421" t="str">
        <f>IF(C5="","",E5*IF(G5="",1,G5)*(1+C3)+IF(K6="",0,K6))</f>
        <v/>
      </c>
      <c r="I5" s="524" t="str">
        <f>IF(C5="","",F5)</f>
        <v/>
      </c>
      <c r="J5" s="526">
        <v>1</v>
      </c>
      <c r="K5" s="527">
        <v>0</v>
      </c>
      <c r="L5" s="528" t="str">
        <f>IF(F5="","",F5)</f>
        <v>µL</v>
      </c>
      <c r="M5" s="414" t="str">
        <f>IF(C5="","",H5-K5)</f>
        <v/>
      </c>
      <c r="N5" s="412" t="str">
        <f>IF(F5="","",F5)</f>
        <v>µL</v>
      </c>
      <c r="O5" s="284"/>
      <c r="P5" s="284"/>
      <c r="Q5" s="483"/>
      <c r="R5" s="484" t="s">
        <v>28</v>
      </c>
      <c r="S5" s="428"/>
      <c r="T5" s="427" t="s">
        <v>172</v>
      </c>
      <c r="U5" s="428"/>
      <c r="V5" s="427" t="s">
        <v>52</v>
      </c>
      <c r="W5" s="478"/>
      <c r="X5" s="421" t="str">
        <f>IF(S5="","",U5*IF(W5="",1,W5)*(1+S3)+IF(AA6="",0,AA6))</f>
        <v/>
      </c>
      <c r="Y5" s="524" t="str">
        <f>IF(S5="","",V5)</f>
        <v/>
      </c>
      <c r="Z5" s="526">
        <v>1</v>
      </c>
      <c r="AA5" s="527">
        <v>0</v>
      </c>
      <c r="AB5" s="528" t="str">
        <f>IF(V5="","",V5)</f>
        <v>mL</v>
      </c>
      <c r="AC5" s="414" t="str">
        <f>IF(S5="","",X5-AA5)</f>
        <v/>
      </c>
      <c r="AD5" s="412" t="str">
        <f>IF(V5="","",V5)</f>
        <v>mL</v>
      </c>
      <c r="AE5" s="284"/>
      <c r="AF5" s="284"/>
      <c r="AG5" s="483"/>
      <c r="AH5" s="484" t="s">
        <v>28</v>
      </c>
      <c r="AI5" s="428"/>
      <c r="AJ5" s="427" t="s">
        <v>16</v>
      </c>
      <c r="AK5" s="428"/>
      <c r="AL5" s="427" t="s">
        <v>353</v>
      </c>
      <c r="AM5" s="478"/>
      <c r="AN5" s="421" t="str">
        <f>IF(AI5="","",AK5*IF(AM5="",1,AM5)*(1+AI3)+IF(AQ6="",0,AQ6))</f>
        <v/>
      </c>
      <c r="AO5" s="524" t="str">
        <f>IF(AI5="","",AL5)</f>
        <v/>
      </c>
      <c r="AP5" s="526">
        <v>1</v>
      </c>
      <c r="AQ5" s="527">
        <v>0</v>
      </c>
      <c r="AR5" s="528" t="str">
        <f>IF(AL5="","",AL5)</f>
        <v>cL</v>
      </c>
      <c r="AS5" s="414" t="str">
        <f>IF(AI5="","",AN5-AQ5)</f>
        <v/>
      </c>
      <c r="AT5" s="412" t="str">
        <f>IF(AL5="","",AL5)</f>
        <v>cL</v>
      </c>
    </row>
    <row r="6" spans="1:46" x14ac:dyDescent="0.5">
      <c r="A6" s="483"/>
      <c r="B6" s="484" t="s">
        <v>29</v>
      </c>
      <c r="C6" s="428"/>
      <c r="D6" s="290" t="str">
        <f>IF(C6="","",D5)</f>
        <v/>
      </c>
      <c r="E6" s="428"/>
      <c r="F6" s="290" t="str">
        <f>IF(E6="","",F5)</f>
        <v/>
      </c>
      <c r="G6" s="490"/>
      <c r="H6" s="429" t="str">
        <f>IF(C6="","",E6*IF(G6="",1,G6)*(1+C3)+IF(K7="",0,K7))</f>
        <v/>
      </c>
      <c r="I6" s="290" t="str">
        <f t="shared" ref="I6:I19" si="0">IF(C6="","",F6)</f>
        <v/>
      </c>
      <c r="J6" s="525" t="str">
        <f>IF(C6="","",C6/C5)</f>
        <v/>
      </c>
      <c r="K6" s="430" t="str">
        <f t="shared" ref="K6:K19" si="1">IF(C6="","",H6*J6)</f>
        <v/>
      </c>
      <c r="L6" s="412" t="str">
        <f>IF(C6="","",CONCATENATE(F5," ",C5," ",D5, " in"))</f>
        <v/>
      </c>
      <c r="M6" s="414" t="str">
        <f>IF(C6="","",H6-K6)</f>
        <v/>
      </c>
      <c r="N6" s="412" t="str">
        <f>IF(F6="","",F5)</f>
        <v/>
      </c>
      <c r="O6" s="284"/>
      <c r="P6" s="284"/>
      <c r="Q6" s="483"/>
      <c r="R6" s="484" t="s">
        <v>29</v>
      </c>
      <c r="S6" s="428"/>
      <c r="T6" s="290" t="str">
        <f>IF(S6="","",T5)</f>
        <v/>
      </c>
      <c r="U6" s="428"/>
      <c r="V6" s="290" t="str">
        <f>IF(U6="","",V5)</f>
        <v/>
      </c>
      <c r="W6" s="478"/>
      <c r="X6" s="429" t="str">
        <f>IF(S6="","",U6*IF(W6="",1,W6)*(1+S3)+IF(AA7="",0,AA7))</f>
        <v/>
      </c>
      <c r="Y6" s="290" t="str">
        <f t="shared" ref="Y6:Y19" si="2">IF(S6="","",V6)</f>
        <v/>
      </c>
      <c r="Z6" s="525" t="str">
        <f>IF(S6="","",S6/S5)</f>
        <v/>
      </c>
      <c r="AA6" s="430" t="str">
        <f t="shared" ref="AA6:AA19" si="3">IF(S6="","",X6*Z6)</f>
        <v/>
      </c>
      <c r="AB6" s="412" t="str">
        <f>IF(S6="","",CONCATENATE(V5," ",S5," ",T5, " in"))</f>
        <v/>
      </c>
      <c r="AC6" s="414" t="str">
        <f>IF(S6="","",X6-AA6)</f>
        <v/>
      </c>
      <c r="AD6" s="412" t="str">
        <f>IF(V6="","",V5)</f>
        <v/>
      </c>
      <c r="AE6" s="284"/>
      <c r="AF6" s="284"/>
      <c r="AG6" s="483"/>
      <c r="AH6" s="484" t="s">
        <v>29</v>
      </c>
      <c r="AI6" s="428"/>
      <c r="AJ6" s="290" t="str">
        <f>IF(AI6="","",AJ5)</f>
        <v/>
      </c>
      <c r="AK6" s="428"/>
      <c r="AL6" s="290" t="str">
        <f>IF(AK6="","",AL5)</f>
        <v/>
      </c>
      <c r="AM6" s="478"/>
      <c r="AN6" s="429" t="str">
        <f>IF(AI6="","",AK6*IF(AM6="",1,AM6)*(1+AI3)+IF(AQ7="",0,AQ7))</f>
        <v/>
      </c>
      <c r="AO6" s="290" t="str">
        <f t="shared" ref="AO6:AO19" si="4">IF(AI6="","",AL6)</f>
        <v/>
      </c>
      <c r="AP6" s="525" t="str">
        <f>IF(AI6="","",AI6/AI5)</f>
        <v/>
      </c>
      <c r="AQ6" s="430" t="str">
        <f t="shared" ref="AQ6:AQ19" si="5">IF(AI6="","",AN6*AP6)</f>
        <v/>
      </c>
      <c r="AR6" s="412" t="str">
        <f>IF(AI6="","",CONCATENATE(AL5," ",AI5," ",AJ5, " in"))</f>
        <v/>
      </c>
      <c r="AS6" s="414" t="str">
        <f>IF(AI6="","",AN6-AQ6)</f>
        <v/>
      </c>
      <c r="AT6" s="412" t="str">
        <f>IF(AL6="","",AL5)</f>
        <v/>
      </c>
    </row>
    <row r="7" spans="1:46" x14ac:dyDescent="0.5">
      <c r="A7" s="483"/>
      <c r="B7" s="484" t="s">
        <v>30</v>
      </c>
      <c r="C7" s="428"/>
      <c r="D7" s="290" t="str">
        <f>IF(C7="","",D5)</f>
        <v/>
      </c>
      <c r="E7" s="428"/>
      <c r="F7" s="290" t="str">
        <f>IF(E7="","",F5)</f>
        <v/>
      </c>
      <c r="G7" s="490"/>
      <c r="H7" s="429" t="str">
        <f>IF(C7="","",E7*IF(G7="",1,G7)*(1+C3)+IF(K8="",0,K8))</f>
        <v/>
      </c>
      <c r="I7" s="290" t="str">
        <f t="shared" si="0"/>
        <v/>
      </c>
      <c r="J7" s="291" t="str">
        <f t="shared" ref="J7:J19" si="6">IF(C7="","",C7/C6)</f>
        <v/>
      </c>
      <c r="K7" s="430" t="str">
        <f t="shared" si="1"/>
        <v/>
      </c>
      <c r="L7" s="412" t="str">
        <f t="shared" ref="L7:L19" si="7">IF(C7="","",CONCATENATE(F6," ",C6," ",D6, " in"))</f>
        <v/>
      </c>
      <c r="M7" s="414" t="str">
        <f t="shared" ref="M7:M19" si="8">IF(C7="","",H7-K7)</f>
        <v/>
      </c>
      <c r="N7" s="412" t="str">
        <f>IF(F7="","",F5)</f>
        <v/>
      </c>
      <c r="O7" s="284"/>
      <c r="P7" s="284"/>
      <c r="Q7" s="483"/>
      <c r="R7" s="484" t="s">
        <v>30</v>
      </c>
      <c r="S7" s="428"/>
      <c r="T7" s="290" t="str">
        <f>IF(S7="","",T5)</f>
        <v/>
      </c>
      <c r="U7" s="428"/>
      <c r="V7" s="290" t="str">
        <f>IF(U7="","",V5)</f>
        <v/>
      </c>
      <c r="W7" s="478"/>
      <c r="X7" s="429" t="str">
        <f>IF(S7="","",U7*IF(W7="",1,W7)*(1+S3)+IF(AA8="",0,AA8))</f>
        <v/>
      </c>
      <c r="Y7" s="290" t="str">
        <f t="shared" si="2"/>
        <v/>
      </c>
      <c r="Z7" s="291" t="str">
        <f t="shared" ref="Z7:Z19" si="9">IF(S7="","",S7/S6)</f>
        <v/>
      </c>
      <c r="AA7" s="430" t="str">
        <f t="shared" si="3"/>
        <v/>
      </c>
      <c r="AB7" s="412" t="str">
        <f t="shared" ref="AB7:AB19" si="10">IF(S7="","",CONCATENATE(V6," ",S6," ",T6, " in"))</f>
        <v/>
      </c>
      <c r="AC7" s="414" t="str">
        <f t="shared" ref="AC7:AC19" si="11">IF(S7="","",X7-AA7)</f>
        <v/>
      </c>
      <c r="AD7" s="412" t="str">
        <f>IF(V7="","",V5)</f>
        <v/>
      </c>
      <c r="AE7" s="284"/>
      <c r="AF7" s="284"/>
      <c r="AG7" s="483"/>
      <c r="AH7" s="484" t="s">
        <v>30</v>
      </c>
      <c r="AI7" s="428"/>
      <c r="AJ7" s="290" t="str">
        <f>IF(AI7="","",AJ5)</f>
        <v/>
      </c>
      <c r="AK7" s="428"/>
      <c r="AL7" s="290" t="str">
        <f>IF(AK7="","",AL5)</f>
        <v/>
      </c>
      <c r="AM7" s="478"/>
      <c r="AN7" s="429" t="str">
        <f>IF(AI7="","",AK7*IF(AM7="",1,AM7)*(1+AI3)+IF(AQ8="",0,AQ8))</f>
        <v/>
      </c>
      <c r="AO7" s="290" t="str">
        <f t="shared" si="4"/>
        <v/>
      </c>
      <c r="AP7" s="291" t="str">
        <f t="shared" ref="AP7:AP19" si="12">IF(AI7="","",AI7/AI6)</f>
        <v/>
      </c>
      <c r="AQ7" s="430" t="str">
        <f t="shared" si="5"/>
        <v/>
      </c>
      <c r="AR7" s="412" t="str">
        <f t="shared" ref="AR7:AR19" si="13">IF(AI7="","",CONCATENATE(AL6," ",AI6," ",AJ6, " in"))</f>
        <v/>
      </c>
      <c r="AS7" s="414" t="str">
        <f t="shared" ref="AS7:AS19" si="14">IF(AI7="","",AN7-AQ7)</f>
        <v/>
      </c>
      <c r="AT7" s="412" t="str">
        <f>IF(AL7="","",AL5)</f>
        <v/>
      </c>
    </row>
    <row r="8" spans="1:46" x14ac:dyDescent="0.5">
      <c r="A8" s="483"/>
      <c r="B8" s="484" t="s">
        <v>31</v>
      </c>
      <c r="C8" s="428"/>
      <c r="D8" s="290" t="str">
        <f>IF(C8="","",D5)</f>
        <v/>
      </c>
      <c r="E8" s="428"/>
      <c r="F8" s="290" t="str">
        <f>IF(E8="","",F5)</f>
        <v/>
      </c>
      <c r="G8" s="490"/>
      <c r="H8" s="429" t="str">
        <f>IF(C8="","",E8*IF(G8="",1,G8)*(1+C3)+IF(K9="",0,K9))</f>
        <v/>
      </c>
      <c r="I8" s="290" t="str">
        <f t="shared" si="0"/>
        <v/>
      </c>
      <c r="J8" s="291" t="str">
        <f t="shared" si="6"/>
        <v/>
      </c>
      <c r="K8" s="430" t="str">
        <f t="shared" si="1"/>
        <v/>
      </c>
      <c r="L8" s="412" t="str">
        <f t="shared" si="7"/>
        <v/>
      </c>
      <c r="M8" s="414" t="str">
        <f t="shared" si="8"/>
        <v/>
      </c>
      <c r="N8" s="412" t="str">
        <f>IF(F8="","",F5)</f>
        <v/>
      </c>
      <c r="O8" s="284"/>
      <c r="P8" s="284"/>
      <c r="Q8" s="483"/>
      <c r="R8" s="484" t="s">
        <v>31</v>
      </c>
      <c r="S8" s="428"/>
      <c r="T8" s="290" t="str">
        <f>IF(S8="","",T5)</f>
        <v/>
      </c>
      <c r="U8" s="428"/>
      <c r="V8" s="290" t="str">
        <f>IF(U8="","",V5)</f>
        <v/>
      </c>
      <c r="W8" s="478"/>
      <c r="X8" s="429" t="str">
        <f>IF(S8="","",U8*IF(W8="",1,W8)*(1+S3)+IF(AA9="",0,AA9))</f>
        <v/>
      </c>
      <c r="Y8" s="290" t="str">
        <f t="shared" si="2"/>
        <v/>
      </c>
      <c r="Z8" s="291" t="str">
        <f t="shared" si="9"/>
        <v/>
      </c>
      <c r="AA8" s="430" t="str">
        <f t="shared" si="3"/>
        <v/>
      </c>
      <c r="AB8" s="412" t="str">
        <f t="shared" si="10"/>
        <v/>
      </c>
      <c r="AC8" s="414" t="str">
        <f t="shared" si="11"/>
        <v/>
      </c>
      <c r="AD8" s="412" t="str">
        <f>IF(V8="","",V5)</f>
        <v/>
      </c>
      <c r="AE8" s="284"/>
      <c r="AF8" s="284"/>
      <c r="AG8" s="483"/>
      <c r="AH8" s="484" t="s">
        <v>31</v>
      </c>
      <c r="AI8" s="428"/>
      <c r="AJ8" s="290" t="str">
        <f>IF(AI8="","",AJ5)</f>
        <v/>
      </c>
      <c r="AK8" s="428"/>
      <c r="AL8" s="290" t="str">
        <f>IF(AK8="","",AL5)</f>
        <v/>
      </c>
      <c r="AM8" s="478"/>
      <c r="AN8" s="429" t="str">
        <f>IF(AI8="","",AK8*IF(AM8="",1,AM8)*(1+AI3)+IF(AQ9="",0,AQ9))</f>
        <v/>
      </c>
      <c r="AO8" s="290" t="str">
        <f t="shared" si="4"/>
        <v/>
      </c>
      <c r="AP8" s="291" t="str">
        <f t="shared" si="12"/>
        <v/>
      </c>
      <c r="AQ8" s="430" t="str">
        <f t="shared" si="5"/>
        <v/>
      </c>
      <c r="AR8" s="412" t="str">
        <f t="shared" si="13"/>
        <v/>
      </c>
      <c r="AS8" s="414" t="str">
        <f t="shared" si="14"/>
        <v/>
      </c>
      <c r="AT8" s="412" t="str">
        <f>IF(AL8="","",AL5)</f>
        <v/>
      </c>
    </row>
    <row r="9" spans="1:46" x14ac:dyDescent="0.5">
      <c r="A9" s="483"/>
      <c r="B9" s="484" t="s">
        <v>32</v>
      </c>
      <c r="C9" s="428"/>
      <c r="D9" s="290" t="str">
        <f>IF(C9="","",D5)</f>
        <v/>
      </c>
      <c r="E9" s="428"/>
      <c r="F9" s="290" t="str">
        <f>IF(E9="","",F5)</f>
        <v/>
      </c>
      <c r="G9" s="490"/>
      <c r="H9" s="429" t="str">
        <f>IF(C9="","",E9*IF(G9="",1,G9)*(1+C3)+IF(K10="",0,K10))</f>
        <v/>
      </c>
      <c r="I9" s="290" t="str">
        <f t="shared" si="0"/>
        <v/>
      </c>
      <c r="J9" s="291" t="str">
        <f t="shared" si="6"/>
        <v/>
      </c>
      <c r="K9" s="430" t="str">
        <f t="shared" si="1"/>
        <v/>
      </c>
      <c r="L9" s="412" t="str">
        <f t="shared" si="7"/>
        <v/>
      </c>
      <c r="M9" s="414" t="str">
        <f t="shared" si="8"/>
        <v/>
      </c>
      <c r="N9" s="412" t="str">
        <f>IF(F9="","",F5)</f>
        <v/>
      </c>
      <c r="O9" s="284"/>
      <c r="P9" s="284"/>
      <c r="Q9" s="483"/>
      <c r="R9" s="484" t="s">
        <v>32</v>
      </c>
      <c r="S9" s="428"/>
      <c r="T9" s="290" t="str">
        <f>IF(S9="","",T5)</f>
        <v/>
      </c>
      <c r="U9" s="428"/>
      <c r="V9" s="290" t="str">
        <f>IF(U9="","",V5)</f>
        <v/>
      </c>
      <c r="W9" s="478"/>
      <c r="X9" s="429" t="str">
        <f>IF(S9="","",U9*IF(W9="",1,W9)*(1+S3)+IF(AA10="",0,AA10))</f>
        <v/>
      </c>
      <c r="Y9" s="290" t="str">
        <f t="shared" si="2"/>
        <v/>
      </c>
      <c r="Z9" s="291" t="str">
        <f t="shared" si="9"/>
        <v/>
      </c>
      <c r="AA9" s="430" t="str">
        <f t="shared" si="3"/>
        <v/>
      </c>
      <c r="AB9" s="412" t="str">
        <f t="shared" si="10"/>
        <v/>
      </c>
      <c r="AC9" s="414" t="str">
        <f t="shared" si="11"/>
        <v/>
      </c>
      <c r="AD9" s="412" t="str">
        <f>IF(V9="","",V5)</f>
        <v/>
      </c>
      <c r="AE9" s="284"/>
      <c r="AF9" s="284"/>
      <c r="AG9" s="483"/>
      <c r="AH9" s="484" t="s">
        <v>32</v>
      </c>
      <c r="AI9" s="428"/>
      <c r="AJ9" s="290" t="str">
        <f>IF(AI9="","",AJ5)</f>
        <v/>
      </c>
      <c r="AK9" s="428"/>
      <c r="AL9" s="290" t="str">
        <f>IF(AK9="","",AL5)</f>
        <v/>
      </c>
      <c r="AM9" s="478"/>
      <c r="AN9" s="429" t="str">
        <f>IF(AI9="","",AK9*IF(AM9="",1,AM9)*(1+AI3)+IF(AQ10="",0,AQ10))</f>
        <v/>
      </c>
      <c r="AO9" s="290" t="str">
        <f t="shared" si="4"/>
        <v/>
      </c>
      <c r="AP9" s="291" t="str">
        <f t="shared" si="12"/>
        <v/>
      </c>
      <c r="AQ9" s="430" t="str">
        <f t="shared" si="5"/>
        <v/>
      </c>
      <c r="AR9" s="412" t="str">
        <f t="shared" si="13"/>
        <v/>
      </c>
      <c r="AS9" s="414" t="str">
        <f t="shared" si="14"/>
        <v/>
      </c>
      <c r="AT9" s="412" t="str">
        <f>IF(AL9="","",AL5)</f>
        <v/>
      </c>
    </row>
    <row r="10" spans="1:46" x14ac:dyDescent="0.5">
      <c r="A10" s="483"/>
      <c r="B10" s="484" t="s">
        <v>33</v>
      </c>
      <c r="C10" s="428"/>
      <c r="D10" s="290" t="str">
        <f>IF(C10="","",D5)</f>
        <v/>
      </c>
      <c r="E10" s="428"/>
      <c r="F10" s="290" t="str">
        <f>IF(E10="","",F5)</f>
        <v/>
      </c>
      <c r="G10" s="490"/>
      <c r="H10" s="429" t="str">
        <f>IF(C10="","",E10*IF(G10="",1,G10)*(1+C3)+IF(K11="",0,K11))</f>
        <v/>
      </c>
      <c r="I10" s="290" t="str">
        <f t="shared" si="0"/>
        <v/>
      </c>
      <c r="J10" s="291" t="str">
        <f t="shared" si="6"/>
        <v/>
      </c>
      <c r="K10" s="430" t="str">
        <f t="shared" si="1"/>
        <v/>
      </c>
      <c r="L10" s="412" t="str">
        <f t="shared" si="7"/>
        <v/>
      </c>
      <c r="M10" s="414" t="str">
        <f t="shared" si="8"/>
        <v/>
      </c>
      <c r="N10" s="412" t="str">
        <f>IF(F10="","",F5)</f>
        <v/>
      </c>
      <c r="O10" s="284"/>
      <c r="P10" s="284"/>
      <c r="Q10" s="483"/>
      <c r="R10" s="484" t="s">
        <v>33</v>
      </c>
      <c r="S10" s="428"/>
      <c r="T10" s="290" t="str">
        <f>IF(S10="","",T5)</f>
        <v/>
      </c>
      <c r="U10" s="428"/>
      <c r="V10" s="290" t="str">
        <f>IF(U10="","",V5)</f>
        <v/>
      </c>
      <c r="W10" s="478"/>
      <c r="X10" s="429" t="str">
        <f>IF(S10="","",U10*IF(W10="",1,W10)*(1+S3)+IF(AA11="",0,AA11))</f>
        <v/>
      </c>
      <c r="Y10" s="290" t="str">
        <f t="shared" si="2"/>
        <v/>
      </c>
      <c r="Z10" s="291" t="str">
        <f t="shared" si="9"/>
        <v/>
      </c>
      <c r="AA10" s="430" t="str">
        <f t="shared" si="3"/>
        <v/>
      </c>
      <c r="AB10" s="412" t="str">
        <f t="shared" si="10"/>
        <v/>
      </c>
      <c r="AC10" s="414" t="str">
        <f t="shared" si="11"/>
        <v/>
      </c>
      <c r="AD10" s="412" t="str">
        <f>IF(V10="","",V5)</f>
        <v/>
      </c>
      <c r="AE10" s="284"/>
      <c r="AF10" s="284"/>
      <c r="AG10" s="483"/>
      <c r="AH10" s="484" t="s">
        <v>33</v>
      </c>
      <c r="AI10" s="428"/>
      <c r="AJ10" s="290" t="str">
        <f>IF(AI10="","",AJ5)</f>
        <v/>
      </c>
      <c r="AK10" s="428"/>
      <c r="AL10" s="290" t="str">
        <f>IF(AK10="","",AL5)</f>
        <v/>
      </c>
      <c r="AM10" s="478"/>
      <c r="AN10" s="429" t="str">
        <f>IF(AI10="","",AK10*IF(AM10="",1,AM10)*(1+AI3)+IF(AQ11="",0,AQ11))</f>
        <v/>
      </c>
      <c r="AO10" s="290" t="str">
        <f t="shared" si="4"/>
        <v/>
      </c>
      <c r="AP10" s="291" t="str">
        <f t="shared" si="12"/>
        <v/>
      </c>
      <c r="AQ10" s="430" t="str">
        <f t="shared" si="5"/>
        <v/>
      </c>
      <c r="AR10" s="412" t="str">
        <f t="shared" si="13"/>
        <v/>
      </c>
      <c r="AS10" s="414" t="str">
        <f t="shared" si="14"/>
        <v/>
      </c>
      <c r="AT10" s="412" t="str">
        <f>IF(AL10="","",AL5)</f>
        <v/>
      </c>
    </row>
    <row r="11" spans="1:46" x14ac:dyDescent="0.5">
      <c r="A11" s="483"/>
      <c r="B11" s="484" t="s">
        <v>34</v>
      </c>
      <c r="C11" s="428"/>
      <c r="D11" s="290" t="str">
        <f>IF(C11="","",D5)</f>
        <v/>
      </c>
      <c r="E11" s="428"/>
      <c r="F11" s="290" t="str">
        <f>IF(E11="","",F5)</f>
        <v/>
      </c>
      <c r="G11" s="490"/>
      <c r="H11" s="429" t="str">
        <f>IF(C11="","",E11*IF(G11="",1,G11)*(1+C3)+IF(K12="",0,K12))</f>
        <v/>
      </c>
      <c r="I11" s="290" t="str">
        <f t="shared" si="0"/>
        <v/>
      </c>
      <c r="J11" s="291" t="str">
        <f t="shared" si="6"/>
        <v/>
      </c>
      <c r="K11" s="430" t="str">
        <f t="shared" si="1"/>
        <v/>
      </c>
      <c r="L11" s="412" t="str">
        <f t="shared" si="7"/>
        <v/>
      </c>
      <c r="M11" s="414" t="str">
        <f t="shared" si="8"/>
        <v/>
      </c>
      <c r="N11" s="412" t="str">
        <f>IF(F11="","",F5)</f>
        <v/>
      </c>
      <c r="O11" s="284"/>
      <c r="P11" s="284"/>
      <c r="Q11" s="483"/>
      <c r="R11" s="484" t="s">
        <v>34</v>
      </c>
      <c r="S11" s="428"/>
      <c r="T11" s="290" t="str">
        <f>IF(S11="","",T5)</f>
        <v/>
      </c>
      <c r="U11" s="428"/>
      <c r="V11" s="290" t="str">
        <f>IF(U11="","",V5)</f>
        <v/>
      </c>
      <c r="W11" s="478"/>
      <c r="X11" s="429" t="str">
        <f>IF(S11="","",U11*IF(W11="",1,W11)*(1+S3)+IF(AA12="",0,AA12))</f>
        <v/>
      </c>
      <c r="Y11" s="290" t="str">
        <f t="shared" si="2"/>
        <v/>
      </c>
      <c r="Z11" s="291" t="str">
        <f t="shared" si="9"/>
        <v/>
      </c>
      <c r="AA11" s="430" t="str">
        <f t="shared" si="3"/>
        <v/>
      </c>
      <c r="AB11" s="412" t="str">
        <f t="shared" si="10"/>
        <v/>
      </c>
      <c r="AC11" s="414" t="str">
        <f t="shared" si="11"/>
        <v/>
      </c>
      <c r="AD11" s="412" t="str">
        <f>IF(V11="","",V5)</f>
        <v/>
      </c>
      <c r="AE11" s="284"/>
      <c r="AF11" s="284"/>
      <c r="AG11" s="483"/>
      <c r="AH11" s="484" t="s">
        <v>34</v>
      </c>
      <c r="AI11" s="428"/>
      <c r="AJ11" s="290" t="str">
        <f>IF(AI11="","",AJ5)</f>
        <v/>
      </c>
      <c r="AK11" s="428"/>
      <c r="AL11" s="290" t="str">
        <f>IF(AK11="","",AL5)</f>
        <v/>
      </c>
      <c r="AM11" s="478"/>
      <c r="AN11" s="429" t="str">
        <f>IF(AI11="","",AK11*IF(AM11="",1,AM11)*(1+AI3)+IF(AQ12="",0,AQ12))</f>
        <v/>
      </c>
      <c r="AO11" s="290" t="str">
        <f t="shared" si="4"/>
        <v/>
      </c>
      <c r="AP11" s="291" t="str">
        <f t="shared" si="12"/>
        <v/>
      </c>
      <c r="AQ11" s="430" t="str">
        <f t="shared" si="5"/>
        <v/>
      </c>
      <c r="AR11" s="412" t="str">
        <f t="shared" si="13"/>
        <v/>
      </c>
      <c r="AS11" s="414" t="str">
        <f t="shared" si="14"/>
        <v/>
      </c>
      <c r="AT11" s="412" t="str">
        <f>IF(AL11="","",AL5)</f>
        <v/>
      </c>
    </row>
    <row r="12" spans="1:46" x14ac:dyDescent="0.5">
      <c r="A12" s="483"/>
      <c r="B12" s="484" t="s">
        <v>35</v>
      </c>
      <c r="C12" s="428"/>
      <c r="D12" s="290" t="str">
        <f>IF(C12="","",D5)</f>
        <v/>
      </c>
      <c r="E12" s="428"/>
      <c r="F12" s="290" t="str">
        <f>IF(E12="","",F5)</f>
        <v/>
      </c>
      <c r="G12" s="490"/>
      <c r="H12" s="429" t="str">
        <f>IF(C12="","",E12*IF(G12="",1,G12)*(1+C3)+IF(K13="",0,K13))</f>
        <v/>
      </c>
      <c r="I12" s="290" t="str">
        <f t="shared" si="0"/>
        <v/>
      </c>
      <c r="J12" s="291" t="str">
        <f t="shared" si="6"/>
        <v/>
      </c>
      <c r="K12" s="430" t="str">
        <f t="shared" si="1"/>
        <v/>
      </c>
      <c r="L12" s="412" t="str">
        <f t="shared" si="7"/>
        <v/>
      </c>
      <c r="M12" s="414" t="str">
        <f t="shared" si="8"/>
        <v/>
      </c>
      <c r="N12" s="412" t="str">
        <f>IF(F12="","",F5)</f>
        <v/>
      </c>
      <c r="O12" s="284"/>
      <c r="P12" s="284"/>
      <c r="Q12" s="483"/>
      <c r="R12" s="484" t="s">
        <v>35</v>
      </c>
      <c r="S12" s="428"/>
      <c r="T12" s="290" t="str">
        <f>IF(S12="","",T5)</f>
        <v/>
      </c>
      <c r="U12" s="428"/>
      <c r="V12" s="290" t="str">
        <f>IF(U12="","",V5)</f>
        <v/>
      </c>
      <c r="W12" s="478"/>
      <c r="X12" s="429" t="str">
        <f>IF(S12="","",U12*IF(W12="",1,W12)*(1+S3)+IF(AA13="",0,AA13))</f>
        <v/>
      </c>
      <c r="Y12" s="290" t="str">
        <f t="shared" si="2"/>
        <v/>
      </c>
      <c r="Z12" s="291" t="str">
        <f t="shared" si="9"/>
        <v/>
      </c>
      <c r="AA12" s="430" t="str">
        <f t="shared" si="3"/>
        <v/>
      </c>
      <c r="AB12" s="412" t="str">
        <f t="shared" si="10"/>
        <v/>
      </c>
      <c r="AC12" s="414" t="str">
        <f t="shared" si="11"/>
        <v/>
      </c>
      <c r="AD12" s="412" t="str">
        <f>IF(V12="","",V5)</f>
        <v/>
      </c>
      <c r="AE12" s="284"/>
      <c r="AF12" s="284"/>
      <c r="AG12" s="483"/>
      <c r="AH12" s="484" t="s">
        <v>35</v>
      </c>
      <c r="AI12" s="428"/>
      <c r="AJ12" s="290" t="str">
        <f>IF(AI12="","",AJ5)</f>
        <v/>
      </c>
      <c r="AK12" s="428"/>
      <c r="AL12" s="290" t="str">
        <f>IF(AK12="","",AL5)</f>
        <v/>
      </c>
      <c r="AM12" s="478"/>
      <c r="AN12" s="429" t="str">
        <f>IF(AI12="","",AK12*IF(AM12="",1,AM12)*(1+AI3)+IF(AQ13="",0,AQ13))</f>
        <v/>
      </c>
      <c r="AO12" s="290" t="str">
        <f t="shared" si="4"/>
        <v/>
      </c>
      <c r="AP12" s="291" t="str">
        <f t="shared" si="12"/>
        <v/>
      </c>
      <c r="AQ12" s="430" t="str">
        <f t="shared" si="5"/>
        <v/>
      </c>
      <c r="AR12" s="412" t="str">
        <f t="shared" si="13"/>
        <v/>
      </c>
      <c r="AS12" s="414" t="str">
        <f t="shared" si="14"/>
        <v/>
      </c>
      <c r="AT12" s="412" t="str">
        <f>IF(AL12="","",AL5)</f>
        <v/>
      </c>
    </row>
    <row r="13" spans="1:46" x14ac:dyDescent="0.5">
      <c r="A13" s="483"/>
      <c r="B13" s="484" t="s">
        <v>36</v>
      </c>
      <c r="C13" s="428"/>
      <c r="D13" s="290" t="str">
        <f>IF(C13="","",D5)</f>
        <v/>
      </c>
      <c r="E13" s="428"/>
      <c r="F13" s="290" t="str">
        <f>IF(E13="","",F5)</f>
        <v/>
      </c>
      <c r="G13" s="490"/>
      <c r="H13" s="429" t="str">
        <f>IF(C13="","",E13*IF(G13="",1,G13)*(1+C3)+IF(K14="",0,K14))</f>
        <v/>
      </c>
      <c r="I13" s="290" t="str">
        <f t="shared" si="0"/>
        <v/>
      </c>
      <c r="J13" s="291" t="str">
        <f t="shared" si="6"/>
        <v/>
      </c>
      <c r="K13" s="430" t="str">
        <f t="shared" si="1"/>
        <v/>
      </c>
      <c r="L13" s="412" t="str">
        <f t="shared" si="7"/>
        <v/>
      </c>
      <c r="M13" s="414" t="str">
        <f t="shared" si="8"/>
        <v/>
      </c>
      <c r="N13" s="412" t="str">
        <f>IF(F13="","",F5)</f>
        <v/>
      </c>
      <c r="O13" s="284"/>
      <c r="P13" s="284"/>
      <c r="Q13" s="483"/>
      <c r="R13" s="484" t="s">
        <v>36</v>
      </c>
      <c r="S13" s="428"/>
      <c r="T13" s="290" t="str">
        <f>IF(S13="","",T5)</f>
        <v/>
      </c>
      <c r="U13" s="428"/>
      <c r="V13" s="290" t="str">
        <f>IF(U13="","",V5)</f>
        <v/>
      </c>
      <c r="W13" s="478"/>
      <c r="X13" s="429" t="str">
        <f>IF(S13="","",U13*IF(W13="",1,W13)*(1+S3)+IF(AA14="",0,AA14))</f>
        <v/>
      </c>
      <c r="Y13" s="290" t="str">
        <f t="shared" si="2"/>
        <v/>
      </c>
      <c r="Z13" s="291" t="str">
        <f t="shared" si="9"/>
        <v/>
      </c>
      <c r="AA13" s="430" t="str">
        <f t="shared" si="3"/>
        <v/>
      </c>
      <c r="AB13" s="412" t="str">
        <f t="shared" si="10"/>
        <v/>
      </c>
      <c r="AC13" s="414" t="str">
        <f t="shared" si="11"/>
        <v/>
      </c>
      <c r="AD13" s="412" t="str">
        <f>IF(V13="","",V5)</f>
        <v/>
      </c>
      <c r="AE13" s="284"/>
      <c r="AF13" s="284"/>
      <c r="AG13" s="483"/>
      <c r="AH13" s="484" t="s">
        <v>36</v>
      </c>
      <c r="AI13" s="428"/>
      <c r="AJ13" s="290" t="str">
        <f>IF(AI13="","",AJ5)</f>
        <v/>
      </c>
      <c r="AK13" s="428"/>
      <c r="AL13" s="290" t="str">
        <f>IF(AK13="","",AL5)</f>
        <v/>
      </c>
      <c r="AM13" s="478"/>
      <c r="AN13" s="429" t="str">
        <f>IF(AI13="","",AK13*IF(AM13="",1,AM13)*(1+AI3)+IF(AQ14="",0,AQ14))</f>
        <v/>
      </c>
      <c r="AO13" s="290" t="str">
        <f t="shared" si="4"/>
        <v/>
      </c>
      <c r="AP13" s="291" t="str">
        <f t="shared" si="12"/>
        <v/>
      </c>
      <c r="AQ13" s="430" t="str">
        <f t="shared" si="5"/>
        <v/>
      </c>
      <c r="AR13" s="412" t="str">
        <f t="shared" si="13"/>
        <v/>
      </c>
      <c r="AS13" s="414" t="str">
        <f t="shared" si="14"/>
        <v/>
      </c>
      <c r="AT13" s="412" t="str">
        <f>IF(AL13="","",AL5)</f>
        <v/>
      </c>
    </row>
    <row r="14" spans="1:46" x14ac:dyDescent="0.5">
      <c r="A14" s="483"/>
      <c r="B14" s="484" t="s">
        <v>37</v>
      </c>
      <c r="C14" s="428"/>
      <c r="D14" s="290" t="str">
        <f>IF(C14="","",D5)</f>
        <v/>
      </c>
      <c r="E14" s="428"/>
      <c r="F14" s="290" t="str">
        <f>IF(E14="","",F5)</f>
        <v/>
      </c>
      <c r="G14" s="490"/>
      <c r="H14" s="429" t="str">
        <f>IF(C14="","",E14*IF(G14="",1,G14)*(1+C3)+IF(K15="",0,K15))</f>
        <v/>
      </c>
      <c r="I14" s="290" t="str">
        <f t="shared" si="0"/>
        <v/>
      </c>
      <c r="J14" s="291" t="str">
        <f t="shared" si="6"/>
        <v/>
      </c>
      <c r="K14" s="430" t="str">
        <f t="shared" si="1"/>
        <v/>
      </c>
      <c r="L14" s="412" t="str">
        <f t="shared" si="7"/>
        <v/>
      </c>
      <c r="M14" s="414" t="str">
        <f t="shared" si="8"/>
        <v/>
      </c>
      <c r="N14" s="412" t="str">
        <f>IF(F14="","",F5)</f>
        <v/>
      </c>
      <c r="O14" s="284"/>
      <c r="P14" s="284"/>
      <c r="Q14" s="483"/>
      <c r="R14" s="484" t="s">
        <v>37</v>
      </c>
      <c r="S14" s="428"/>
      <c r="T14" s="290" t="str">
        <f>IF(S14="","",T5)</f>
        <v/>
      </c>
      <c r="U14" s="428"/>
      <c r="V14" s="290" t="str">
        <f>IF(U14="","",V5)</f>
        <v/>
      </c>
      <c r="W14" s="478"/>
      <c r="X14" s="429" t="str">
        <f>IF(S14="","",U14*IF(W14="",1,W14)*(1+S3)+IF(AA15="",0,AA15))</f>
        <v/>
      </c>
      <c r="Y14" s="290" t="str">
        <f t="shared" si="2"/>
        <v/>
      </c>
      <c r="Z14" s="291" t="str">
        <f t="shared" si="9"/>
        <v/>
      </c>
      <c r="AA14" s="430" t="str">
        <f t="shared" si="3"/>
        <v/>
      </c>
      <c r="AB14" s="412" t="str">
        <f t="shared" si="10"/>
        <v/>
      </c>
      <c r="AC14" s="414" t="str">
        <f t="shared" si="11"/>
        <v/>
      </c>
      <c r="AD14" s="412" t="str">
        <f>IF(V14="","",V5)</f>
        <v/>
      </c>
      <c r="AE14" s="284"/>
      <c r="AF14" s="284"/>
      <c r="AG14" s="483"/>
      <c r="AH14" s="484" t="s">
        <v>37</v>
      </c>
      <c r="AI14" s="428"/>
      <c r="AJ14" s="290" t="str">
        <f>IF(AI14="","",AJ5)</f>
        <v/>
      </c>
      <c r="AK14" s="428"/>
      <c r="AL14" s="290" t="str">
        <f>IF(AK14="","",AL5)</f>
        <v/>
      </c>
      <c r="AM14" s="478"/>
      <c r="AN14" s="429" t="str">
        <f>IF(AI14="","",AK14*IF(AM14="",1,AM14)*(1+AI3)+IF(AQ15="",0,AQ15))</f>
        <v/>
      </c>
      <c r="AO14" s="290" t="str">
        <f t="shared" si="4"/>
        <v/>
      </c>
      <c r="AP14" s="291" t="str">
        <f t="shared" si="12"/>
        <v/>
      </c>
      <c r="AQ14" s="430" t="str">
        <f t="shared" si="5"/>
        <v/>
      </c>
      <c r="AR14" s="412" t="str">
        <f t="shared" si="13"/>
        <v/>
      </c>
      <c r="AS14" s="414" t="str">
        <f t="shared" si="14"/>
        <v/>
      </c>
      <c r="AT14" s="412" t="str">
        <f>IF(AL14="","",AL5)</f>
        <v/>
      </c>
    </row>
    <row r="15" spans="1:46" x14ac:dyDescent="0.5">
      <c r="A15" s="483"/>
      <c r="B15" s="484" t="s">
        <v>41</v>
      </c>
      <c r="C15" s="428"/>
      <c r="D15" s="290" t="str">
        <f>IF(C15="","",D5)</f>
        <v/>
      </c>
      <c r="E15" s="428"/>
      <c r="F15" s="290" t="str">
        <f>IF(E15="","",F5)</f>
        <v/>
      </c>
      <c r="G15" s="490"/>
      <c r="H15" s="429" t="str">
        <f>IF(C15="","",E15*IF(G15="",1,G15)*(1+C3)+IF(K16="",0,K16))</f>
        <v/>
      </c>
      <c r="I15" s="290" t="str">
        <f t="shared" si="0"/>
        <v/>
      </c>
      <c r="J15" s="291" t="str">
        <f t="shared" si="6"/>
        <v/>
      </c>
      <c r="K15" s="430" t="str">
        <f t="shared" si="1"/>
        <v/>
      </c>
      <c r="L15" s="412" t="str">
        <f t="shared" si="7"/>
        <v/>
      </c>
      <c r="M15" s="414" t="str">
        <f t="shared" si="8"/>
        <v/>
      </c>
      <c r="N15" s="412" t="str">
        <f>IF(F15="","",F5)</f>
        <v/>
      </c>
      <c r="O15" s="284"/>
      <c r="P15" s="284"/>
      <c r="Q15" s="483"/>
      <c r="R15" s="484" t="s">
        <v>41</v>
      </c>
      <c r="S15" s="428"/>
      <c r="T15" s="290" t="str">
        <f>IF(S15="","",T5)</f>
        <v/>
      </c>
      <c r="U15" s="428"/>
      <c r="V15" s="290" t="str">
        <f>IF(U15="","",V5)</f>
        <v/>
      </c>
      <c r="W15" s="478"/>
      <c r="X15" s="429" t="str">
        <f>IF(S15="","",U15*IF(W15="",1,W15)*(1+S3)+IF(AA16="",0,AA16))</f>
        <v/>
      </c>
      <c r="Y15" s="290" t="str">
        <f t="shared" si="2"/>
        <v/>
      </c>
      <c r="Z15" s="291" t="str">
        <f t="shared" si="9"/>
        <v/>
      </c>
      <c r="AA15" s="430" t="str">
        <f t="shared" si="3"/>
        <v/>
      </c>
      <c r="AB15" s="412" t="str">
        <f t="shared" si="10"/>
        <v/>
      </c>
      <c r="AC15" s="414" t="str">
        <f t="shared" si="11"/>
        <v/>
      </c>
      <c r="AD15" s="412" t="str">
        <f>IF(V15="","",V5)</f>
        <v/>
      </c>
      <c r="AE15" s="284"/>
      <c r="AF15" s="284"/>
      <c r="AG15" s="483"/>
      <c r="AH15" s="484" t="s">
        <v>41</v>
      </c>
      <c r="AI15" s="428"/>
      <c r="AJ15" s="290" t="str">
        <f>IF(AI15="","",AJ5)</f>
        <v/>
      </c>
      <c r="AK15" s="428"/>
      <c r="AL15" s="290" t="str">
        <f>IF(AK15="","",AL5)</f>
        <v/>
      </c>
      <c r="AM15" s="478"/>
      <c r="AN15" s="429" t="str">
        <f>IF(AI15="","",AK15*IF(AM15="",1,AM15)*(1+AI3)+IF(AQ16="",0,AQ16))</f>
        <v/>
      </c>
      <c r="AO15" s="290" t="str">
        <f t="shared" si="4"/>
        <v/>
      </c>
      <c r="AP15" s="291" t="str">
        <f t="shared" si="12"/>
        <v/>
      </c>
      <c r="AQ15" s="430" t="str">
        <f t="shared" si="5"/>
        <v/>
      </c>
      <c r="AR15" s="412" t="str">
        <f t="shared" si="13"/>
        <v/>
      </c>
      <c r="AS15" s="414" t="str">
        <f t="shared" si="14"/>
        <v/>
      </c>
      <c r="AT15" s="412" t="str">
        <f>IF(AL15="","",AL5)</f>
        <v/>
      </c>
    </row>
    <row r="16" spans="1:46" x14ac:dyDescent="0.5">
      <c r="A16" s="483"/>
      <c r="B16" s="484" t="s">
        <v>42</v>
      </c>
      <c r="C16" s="428"/>
      <c r="D16" s="290" t="str">
        <f>IF(C16="","",D5)</f>
        <v/>
      </c>
      <c r="E16" s="428"/>
      <c r="F16" s="290" t="str">
        <f>IF(E16="","",F5)</f>
        <v/>
      </c>
      <c r="G16" s="490"/>
      <c r="H16" s="429" t="str">
        <f>IF(C16="","",E16*IF(G16="",1,G16)*(1+C3)+IF(K17="",0,K17))</f>
        <v/>
      </c>
      <c r="I16" s="290" t="str">
        <f t="shared" si="0"/>
        <v/>
      </c>
      <c r="J16" s="291" t="str">
        <f t="shared" si="6"/>
        <v/>
      </c>
      <c r="K16" s="430" t="str">
        <f t="shared" si="1"/>
        <v/>
      </c>
      <c r="L16" s="412" t="str">
        <f t="shared" si="7"/>
        <v/>
      </c>
      <c r="M16" s="414" t="str">
        <f t="shared" si="8"/>
        <v/>
      </c>
      <c r="N16" s="412" t="str">
        <f>IF(F16="","",F5)</f>
        <v/>
      </c>
      <c r="O16" s="284"/>
      <c r="P16" s="284"/>
      <c r="Q16" s="483"/>
      <c r="R16" s="484" t="s">
        <v>42</v>
      </c>
      <c r="S16" s="428"/>
      <c r="T16" s="290" t="str">
        <f>IF(S16="","",T5)</f>
        <v/>
      </c>
      <c r="U16" s="428"/>
      <c r="V16" s="290" t="str">
        <f>IF(U16="","",V5)</f>
        <v/>
      </c>
      <c r="W16" s="479"/>
      <c r="X16" s="429" t="str">
        <f>IF(S16="","",U16*IF(W16="",1,W16)*(1+S3)+IF(AA17="",0,AA17))</f>
        <v/>
      </c>
      <c r="Y16" s="290" t="str">
        <f t="shared" si="2"/>
        <v/>
      </c>
      <c r="Z16" s="291" t="str">
        <f t="shared" si="9"/>
        <v/>
      </c>
      <c r="AA16" s="430" t="str">
        <f t="shared" si="3"/>
        <v/>
      </c>
      <c r="AB16" s="412" t="str">
        <f t="shared" si="10"/>
        <v/>
      </c>
      <c r="AC16" s="414" t="str">
        <f t="shared" si="11"/>
        <v/>
      </c>
      <c r="AD16" s="412" t="str">
        <f>IF(V16="","",V5)</f>
        <v/>
      </c>
      <c r="AE16" s="284"/>
      <c r="AF16" s="284"/>
      <c r="AG16" s="483"/>
      <c r="AH16" s="484" t="s">
        <v>42</v>
      </c>
      <c r="AI16" s="428"/>
      <c r="AJ16" s="290" t="str">
        <f>IF(AI16="","",AJ5)</f>
        <v/>
      </c>
      <c r="AK16" s="428"/>
      <c r="AL16" s="290" t="str">
        <f>IF(AK16="","",AL5)</f>
        <v/>
      </c>
      <c r="AM16" s="479"/>
      <c r="AN16" s="429" t="str">
        <f>IF(AI16="","",AK16*IF(AM16="",1,AM16)*(1+AI3)+IF(AQ17="",0,AQ17))</f>
        <v/>
      </c>
      <c r="AO16" s="290" t="str">
        <f t="shared" si="4"/>
        <v/>
      </c>
      <c r="AP16" s="291" t="str">
        <f t="shared" si="12"/>
        <v/>
      </c>
      <c r="AQ16" s="430" t="str">
        <f t="shared" si="5"/>
        <v/>
      </c>
      <c r="AR16" s="412" t="str">
        <f t="shared" si="13"/>
        <v/>
      </c>
      <c r="AS16" s="414" t="str">
        <f t="shared" si="14"/>
        <v/>
      </c>
      <c r="AT16" s="412" t="str">
        <f>IF(AL16="","",AL5)</f>
        <v/>
      </c>
    </row>
    <row r="17" spans="1:46" x14ac:dyDescent="0.5">
      <c r="A17" s="483"/>
      <c r="B17" s="484" t="s">
        <v>43</v>
      </c>
      <c r="C17" s="428"/>
      <c r="D17" s="290" t="str">
        <f>IF(C17="","",D5)</f>
        <v/>
      </c>
      <c r="E17" s="428"/>
      <c r="F17" s="290" t="str">
        <f>IF(E17="","",F5)</f>
        <v/>
      </c>
      <c r="G17" s="490"/>
      <c r="H17" s="429" t="str">
        <f>IF(C17="","",E17*IF(G17="",1,G17)*(1+C3)+IF(K18="",0,K18))</f>
        <v/>
      </c>
      <c r="I17" s="290" t="str">
        <f t="shared" si="0"/>
        <v/>
      </c>
      <c r="J17" s="291" t="str">
        <f t="shared" si="6"/>
        <v/>
      </c>
      <c r="K17" s="430" t="str">
        <f t="shared" si="1"/>
        <v/>
      </c>
      <c r="L17" s="412" t="str">
        <f t="shared" si="7"/>
        <v/>
      </c>
      <c r="M17" s="414" t="str">
        <f t="shared" si="8"/>
        <v/>
      </c>
      <c r="N17" s="412" t="str">
        <f>IF(F17="","",F5)</f>
        <v/>
      </c>
      <c r="O17" s="284"/>
      <c r="P17" s="284"/>
      <c r="Q17" s="483"/>
      <c r="R17" s="484" t="s">
        <v>43</v>
      </c>
      <c r="S17" s="428"/>
      <c r="T17" s="290" t="str">
        <f>IF(S17="","",T5)</f>
        <v/>
      </c>
      <c r="U17" s="428"/>
      <c r="V17" s="290" t="str">
        <f>IF(U17="","",V5)</f>
        <v/>
      </c>
      <c r="W17" s="479"/>
      <c r="X17" s="429" t="str">
        <f>IF(S17="","",U17*IF(W17="",1,W17)*(1+S3)+IF(AA18="",0,AA18))</f>
        <v/>
      </c>
      <c r="Y17" s="290" t="str">
        <f t="shared" si="2"/>
        <v/>
      </c>
      <c r="Z17" s="291" t="str">
        <f t="shared" si="9"/>
        <v/>
      </c>
      <c r="AA17" s="430" t="str">
        <f t="shared" si="3"/>
        <v/>
      </c>
      <c r="AB17" s="412" t="str">
        <f t="shared" si="10"/>
        <v/>
      </c>
      <c r="AC17" s="414" t="str">
        <f t="shared" si="11"/>
        <v/>
      </c>
      <c r="AD17" s="412" t="str">
        <f>IF(V17="","",V5)</f>
        <v/>
      </c>
      <c r="AE17" s="284"/>
      <c r="AF17" s="284"/>
      <c r="AG17" s="483"/>
      <c r="AH17" s="484" t="s">
        <v>43</v>
      </c>
      <c r="AI17" s="428"/>
      <c r="AJ17" s="290" t="str">
        <f>IF(AI17="","",AJ5)</f>
        <v/>
      </c>
      <c r="AK17" s="428"/>
      <c r="AL17" s="290" t="str">
        <f>IF(AK17="","",AL5)</f>
        <v/>
      </c>
      <c r="AM17" s="479"/>
      <c r="AN17" s="429" t="str">
        <f>IF(AI17="","",AK17*IF(AM17="",1,AM17)*(1+AI3)+IF(AQ18="",0,AQ18))</f>
        <v/>
      </c>
      <c r="AO17" s="290" t="str">
        <f t="shared" si="4"/>
        <v/>
      </c>
      <c r="AP17" s="291" t="str">
        <f t="shared" si="12"/>
        <v/>
      </c>
      <c r="AQ17" s="430" t="str">
        <f t="shared" si="5"/>
        <v/>
      </c>
      <c r="AR17" s="412" t="str">
        <f t="shared" si="13"/>
        <v/>
      </c>
      <c r="AS17" s="414" t="str">
        <f t="shared" si="14"/>
        <v/>
      </c>
      <c r="AT17" s="412" t="str">
        <f>IF(AL17="","",AL5)</f>
        <v/>
      </c>
    </row>
    <row r="18" spans="1:46" x14ac:dyDescent="0.5">
      <c r="A18" s="483"/>
      <c r="B18" s="484" t="s">
        <v>44</v>
      </c>
      <c r="C18" s="428"/>
      <c r="D18" s="290" t="str">
        <f>IF(C18="","",D5)</f>
        <v/>
      </c>
      <c r="E18" s="428"/>
      <c r="F18" s="290" t="str">
        <f>IF(E18="","",F5)</f>
        <v/>
      </c>
      <c r="G18" s="490"/>
      <c r="H18" s="429" t="str">
        <f>IF(C18="","",E18*IF(G18="",1,G18)*(1+C3)+IF(K19="",0,K19))</f>
        <v/>
      </c>
      <c r="I18" s="290" t="str">
        <f t="shared" si="0"/>
        <v/>
      </c>
      <c r="J18" s="291" t="str">
        <f t="shared" si="6"/>
        <v/>
      </c>
      <c r="K18" s="430" t="str">
        <f t="shared" si="1"/>
        <v/>
      </c>
      <c r="L18" s="412" t="str">
        <f t="shared" si="7"/>
        <v/>
      </c>
      <c r="M18" s="414" t="str">
        <f t="shared" si="8"/>
        <v/>
      </c>
      <c r="N18" s="412" t="str">
        <f>IF(F18="","",F5)</f>
        <v/>
      </c>
      <c r="O18" s="284"/>
      <c r="P18" s="284"/>
      <c r="Q18" s="483"/>
      <c r="R18" s="484" t="s">
        <v>44</v>
      </c>
      <c r="S18" s="428"/>
      <c r="T18" s="290" t="str">
        <f>IF(S18="","",T5)</f>
        <v/>
      </c>
      <c r="U18" s="428"/>
      <c r="V18" s="290" t="str">
        <f>IF(U18="","",V5)</f>
        <v/>
      </c>
      <c r="W18" s="479"/>
      <c r="X18" s="429" t="str">
        <f>IF(S18="","",U18*IF(W18="",1,W18)*(1+S3)+IF(AA19="",0,AA19))</f>
        <v/>
      </c>
      <c r="Y18" s="290" t="str">
        <f t="shared" si="2"/>
        <v/>
      </c>
      <c r="Z18" s="291" t="str">
        <f t="shared" si="9"/>
        <v/>
      </c>
      <c r="AA18" s="430" t="str">
        <f t="shared" si="3"/>
        <v/>
      </c>
      <c r="AB18" s="412" t="str">
        <f t="shared" si="10"/>
        <v/>
      </c>
      <c r="AC18" s="414" t="str">
        <f t="shared" si="11"/>
        <v/>
      </c>
      <c r="AD18" s="412" t="str">
        <f>IF(V18="","",V5)</f>
        <v/>
      </c>
      <c r="AE18" s="284"/>
      <c r="AF18" s="284"/>
      <c r="AG18" s="483"/>
      <c r="AH18" s="484" t="s">
        <v>44</v>
      </c>
      <c r="AI18" s="428"/>
      <c r="AJ18" s="290" t="str">
        <f>IF(AI18="","",AJ5)</f>
        <v/>
      </c>
      <c r="AK18" s="428"/>
      <c r="AL18" s="290" t="str">
        <f>IF(AK18="","",AL5)</f>
        <v/>
      </c>
      <c r="AM18" s="479"/>
      <c r="AN18" s="429" t="str">
        <f>IF(AI18="","",AK18*IF(AM18="",1,AM18)*(1+AI3)+IF(AQ19="",0,AQ19))</f>
        <v/>
      </c>
      <c r="AO18" s="290" t="str">
        <f t="shared" si="4"/>
        <v/>
      </c>
      <c r="AP18" s="291" t="str">
        <f t="shared" si="12"/>
        <v/>
      </c>
      <c r="AQ18" s="430" t="str">
        <f t="shared" si="5"/>
        <v/>
      </c>
      <c r="AR18" s="412" t="str">
        <f t="shared" si="13"/>
        <v/>
      </c>
      <c r="AS18" s="414" t="str">
        <f t="shared" si="14"/>
        <v/>
      </c>
      <c r="AT18" s="412" t="str">
        <f>IF(AL18="","",AL5)</f>
        <v/>
      </c>
    </row>
    <row r="19" spans="1:46" x14ac:dyDescent="0.5">
      <c r="A19" s="483"/>
      <c r="B19" s="484" t="s">
        <v>45</v>
      </c>
      <c r="C19" s="428"/>
      <c r="D19" s="290" t="str">
        <f>IF(C19="","",D5)</f>
        <v/>
      </c>
      <c r="E19" s="428"/>
      <c r="F19" s="290" t="str">
        <f>IF(E19="","",F5)</f>
        <v/>
      </c>
      <c r="G19" s="490"/>
      <c r="H19" s="429" t="str">
        <f>IF(C19="","",E19*IF(G19="",1,G19)*(1+C3)+IF(K20="",0,K20))</f>
        <v/>
      </c>
      <c r="I19" s="290" t="str">
        <f t="shared" si="0"/>
        <v/>
      </c>
      <c r="J19" s="291" t="str">
        <f t="shared" si="6"/>
        <v/>
      </c>
      <c r="K19" s="430" t="str">
        <f t="shared" si="1"/>
        <v/>
      </c>
      <c r="L19" s="412" t="str">
        <f t="shared" si="7"/>
        <v/>
      </c>
      <c r="M19" s="414" t="str">
        <f t="shared" si="8"/>
        <v/>
      </c>
      <c r="N19" s="412" t="str">
        <f>IF(F19="","",F5)</f>
        <v/>
      </c>
      <c r="O19" s="284"/>
      <c r="P19" s="284"/>
      <c r="Q19" s="483"/>
      <c r="R19" s="484" t="s">
        <v>45</v>
      </c>
      <c r="S19" s="428"/>
      <c r="T19" s="290" t="str">
        <f>IF(S19="","",T5)</f>
        <v/>
      </c>
      <c r="U19" s="428"/>
      <c r="V19" s="290" t="str">
        <f>IF(U19="","",V5)</f>
        <v/>
      </c>
      <c r="W19" s="479"/>
      <c r="X19" s="429" t="str">
        <f>IF(S19="","",U19*IF(W19="",1,W19)*(1+S3)+IF(AA20="",0,AA20))</f>
        <v/>
      </c>
      <c r="Y19" s="290" t="str">
        <f t="shared" si="2"/>
        <v/>
      </c>
      <c r="Z19" s="291" t="str">
        <f t="shared" si="9"/>
        <v/>
      </c>
      <c r="AA19" s="430" t="str">
        <f t="shared" si="3"/>
        <v/>
      </c>
      <c r="AB19" s="412" t="str">
        <f t="shared" si="10"/>
        <v/>
      </c>
      <c r="AC19" s="414" t="str">
        <f t="shared" si="11"/>
        <v/>
      </c>
      <c r="AD19" s="412" t="str">
        <f>IF(V19="","",V5)</f>
        <v/>
      </c>
      <c r="AE19" s="284"/>
      <c r="AF19" s="284"/>
      <c r="AG19" s="483"/>
      <c r="AH19" s="484" t="s">
        <v>45</v>
      </c>
      <c r="AI19" s="428"/>
      <c r="AJ19" s="290" t="str">
        <f>IF(AI19="","",AJ5)</f>
        <v/>
      </c>
      <c r="AK19" s="428"/>
      <c r="AL19" s="290" t="str">
        <f>IF(AK19="","",AL5)</f>
        <v/>
      </c>
      <c r="AM19" s="479"/>
      <c r="AN19" s="429" t="str">
        <f>IF(AI19="","",AK19*IF(AM19="",1,AM19)*(1+AI3)+IF(AQ20="",0,AQ20))</f>
        <v/>
      </c>
      <c r="AO19" s="290" t="str">
        <f t="shared" si="4"/>
        <v/>
      </c>
      <c r="AP19" s="291" t="str">
        <f t="shared" si="12"/>
        <v/>
      </c>
      <c r="AQ19" s="430" t="str">
        <f t="shared" si="5"/>
        <v/>
      </c>
      <c r="AR19" s="412" t="str">
        <f t="shared" si="13"/>
        <v/>
      </c>
      <c r="AS19" s="414" t="str">
        <f t="shared" si="14"/>
        <v/>
      </c>
      <c r="AT19" s="412" t="str">
        <f>IF(AL19="","",AL5)</f>
        <v/>
      </c>
    </row>
    <row r="20" spans="1:46" x14ac:dyDescent="0.5">
      <c r="A20" s="703"/>
      <c r="B20" s="703"/>
      <c r="C20" s="703"/>
      <c r="D20" s="703"/>
      <c r="E20" s="703"/>
      <c r="F20" s="703"/>
      <c r="G20" s="703"/>
      <c r="H20" s="703"/>
      <c r="I20" s="703"/>
      <c r="J20" s="703"/>
      <c r="K20" s="284"/>
      <c r="L20" s="292" t="s">
        <v>355</v>
      </c>
      <c r="M20" s="415">
        <f>SUM(M5:M19)</f>
        <v>0</v>
      </c>
      <c r="N20" s="413" t="str">
        <f>F5</f>
        <v>µL</v>
      </c>
      <c r="O20" s="284"/>
      <c r="P20" s="284"/>
      <c r="Q20" s="703"/>
      <c r="R20" s="703"/>
      <c r="S20" s="703"/>
      <c r="T20" s="703"/>
      <c r="U20" s="703"/>
      <c r="V20" s="703"/>
      <c r="W20" s="703"/>
      <c r="X20" s="703"/>
      <c r="Y20" s="703"/>
      <c r="Z20" s="703"/>
      <c r="AA20" s="284"/>
      <c r="AB20" s="292" t="s">
        <v>355</v>
      </c>
      <c r="AC20" s="415">
        <f>SUM(AC5:AC19)</f>
        <v>0</v>
      </c>
      <c r="AD20" s="413" t="str">
        <f>V5</f>
        <v>mL</v>
      </c>
      <c r="AE20" s="284"/>
      <c r="AF20" s="284"/>
      <c r="AG20" s="703"/>
      <c r="AH20" s="703"/>
      <c r="AI20" s="703"/>
      <c r="AJ20" s="703"/>
      <c r="AK20" s="703"/>
      <c r="AL20" s="703"/>
      <c r="AM20" s="703"/>
      <c r="AN20" s="703"/>
      <c r="AO20" s="703"/>
      <c r="AP20" s="703"/>
      <c r="AQ20" s="284"/>
      <c r="AR20" s="292" t="s">
        <v>355</v>
      </c>
      <c r="AS20" s="415">
        <f>SUM(AS5:AS19)</f>
        <v>0</v>
      </c>
      <c r="AT20" s="413" t="str">
        <f>AL5</f>
        <v>cL</v>
      </c>
    </row>
    <row r="21" spans="1:46" x14ac:dyDescent="0.5">
      <c r="A21" s="284"/>
      <c r="B21" s="284"/>
      <c r="C21" s="284"/>
      <c r="D21" s="284"/>
      <c r="E21" s="284"/>
      <c r="F21" s="284"/>
      <c r="G21" s="284"/>
      <c r="H21" s="284"/>
      <c r="I21" s="284"/>
      <c r="J21" s="284"/>
      <c r="K21" s="284"/>
      <c r="L21" s="284"/>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row>
    <row r="22" spans="1:46" x14ac:dyDescent="0.5">
      <c r="A22" s="284"/>
      <c r="B22" s="284"/>
      <c r="C22" s="284"/>
      <c r="D22" s="284"/>
      <c r="E22" s="284"/>
      <c r="F22" s="284"/>
      <c r="G22" s="284"/>
      <c r="H22" s="284"/>
      <c r="I22" s="284"/>
      <c r="J22" s="284"/>
      <c r="K22" s="284"/>
      <c r="L22" s="284"/>
      <c r="M22" s="284"/>
      <c r="N22" s="284"/>
      <c r="O22" s="284"/>
      <c r="P22" s="284"/>
      <c r="Q22" s="284"/>
      <c r="R22" s="284"/>
      <c r="S22" s="284"/>
      <c r="T22" s="284"/>
      <c r="U22" s="284"/>
      <c r="V22" s="284"/>
      <c r="W22" s="284"/>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row>
    <row r="23" spans="1:46" x14ac:dyDescent="0.5">
      <c r="A23" s="284"/>
      <c r="B23" s="284"/>
      <c r="C23" s="284"/>
      <c r="D23" s="284"/>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row>
    <row r="24" spans="1:46" x14ac:dyDescent="0.5">
      <c r="A24" s="284"/>
      <c r="B24" s="284"/>
      <c r="C24" s="284"/>
      <c r="D24" s="284"/>
      <c r="E24" s="284"/>
      <c r="F24" s="284"/>
      <c r="G24" s="284"/>
      <c r="H24" s="284"/>
      <c r="I24" s="284"/>
      <c r="J24" s="284"/>
      <c r="K24" s="284"/>
      <c r="L24" s="284"/>
      <c r="M24" s="284"/>
      <c r="N24" s="284"/>
      <c r="O24" s="284"/>
      <c r="P24" s="284"/>
      <c r="Q24" s="284"/>
      <c r="R24" s="284"/>
      <c r="S24" s="284"/>
      <c r="T24" s="284"/>
      <c r="U24" s="284"/>
      <c r="V24" s="284"/>
      <c r="W24" s="284"/>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row>
    <row r="25" spans="1:46" x14ac:dyDescent="0.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row>
    <row r="26" spans="1:46" ht="70.2" customHeight="1" x14ac:dyDescent="0.5">
      <c r="A26" s="701" t="s">
        <v>369</v>
      </c>
      <c r="B26" s="701"/>
      <c r="C26" s="701"/>
      <c r="D26" s="701"/>
      <c r="E26" s="701"/>
      <c r="F26" s="701"/>
      <c r="G26" s="701"/>
      <c r="H26" s="701"/>
      <c r="I26" s="701"/>
      <c r="J26" s="701"/>
      <c r="K26" s="701"/>
      <c r="L26" s="701"/>
      <c r="M26" s="701"/>
      <c r="N26" s="701"/>
    </row>
    <row r="27" spans="1:46" x14ac:dyDescent="0.5">
      <c r="A27" s="101"/>
      <c r="B27" s="319" t="s">
        <v>115</v>
      </c>
      <c r="C27" s="466">
        <v>0.05</v>
      </c>
      <c r="D27" s="123"/>
      <c r="E27" s="101"/>
      <c r="F27" s="101"/>
      <c r="G27" s="101"/>
      <c r="H27" s="101"/>
      <c r="I27" s="101"/>
      <c r="J27" s="101"/>
      <c r="K27" s="101"/>
      <c r="L27" s="101"/>
      <c r="M27" s="101"/>
      <c r="N27" s="101"/>
    </row>
    <row r="28" spans="1:46" ht="36.700000000000003" x14ac:dyDescent="0.5">
      <c r="B28" s="122" t="s">
        <v>119</v>
      </c>
      <c r="C28" s="282" t="s">
        <v>244</v>
      </c>
      <c r="D28" s="282" t="s">
        <v>243</v>
      </c>
      <c r="E28" s="281" t="s">
        <v>116</v>
      </c>
      <c r="F28" s="281" t="s">
        <v>242</v>
      </c>
      <c r="G28" s="283" t="s">
        <v>321</v>
      </c>
      <c r="H28" s="461" t="s">
        <v>245</v>
      </c>
      <c r="I28" s="122"/>
      <c r="J28" s="122" t="s">
        <v>117</v>
      </c>
      <c r="K28" s="707" t="s">
        <v>118</v>
      </c>
      <c r="L28" s="707"/>
      <c r="M28" s="294" t="s">
        <v>253</v>
      </c>
      <c r="N28" s="121"/>
    </row>
    <row r="29" spans="1:46" x14ac:dyDescent="0.5">
      <c r="A29" s="9" t="s">
        <v>28</v>
      </c>
      <c r="C29" s="426">
        <v>2</v>
      </c>
      <c r="D29" s="425" t="s">
        <v>17</v>
      </c>
      <c r="E29" s="423">
        <v>150</v>
      </c>
      <c r="F29" s="422" t="s">
        <v>10</v>
      </c>
      <c r="G29" s="480">
        <v>2</v>
      </c>
      <c r="H29" s="419">
        <f>IF(C29="","",E29*IF(G29="",1,G29)*(1+C27)+IF(K30="",0,K30))</f>
        <v>623.70000000000005</v>
      </c>
      <c r="I29" s="296" t="str">
        <f>IF(C29="","",F29)</f>
        <v>µL</v>
      </c>
      <c r="J29" s="293">
        <v>1</v>
      </c>
      <c r="K29" s="417">
        <v>0</v>
      </c>
      <c r="L29" s="51"/>
      <c r="M29" s="463">
        <f>IF(C29="","",H29-K29)</f>
        <v>623.70000000000005</v>
      </c>
      <c r="N29" s="467" t="str">
        <f>IF(F29="","",F29)</f>
        <v>µL</v>
      </c>
      <c r="O29" s="51"/>
      <c r="P29" s="51"/>
    </row>
    <row r="30" spans="1:46" x14ac:dyDescent="0.5">
      <c r="A30" s="9" t="s">
        <v>29</v>
      </c>
      <c r="C30" s="426">
        <v>1</v>
      </c>
      <c r="D30" s="295" t="str">
        <f>IF(C30="","",D29)</f>
        <v>M</v>
      </c>
      <c r="E30" s="423">
        <v>150</v>
      </c>
      <c r="F30" s="280" t="str">
        <f>IF(E30="","",F29)</f>
        <v>µL</v>
      </c>
      <c r="G30" s="480">
        <v>2</v>
      </c>
      <c r="H30" s="420">
        <f>IF(C30="","",E30*IF(G30="",1,G30)*(1+C27)+IF(K31="",0,K31))</f>
        <v>617.4</v>
      </c>
      <c r="I30" s="468" t="str">
        <f t="shared" ref="I30:I43" si="15">IF(C30="","",F30)</f>
        <v>µL</v>
      </c>
      <c r="J30" s="464">
        <f>IF(C30="","",C30/C29)</f>
        <v>0.5</v>
      </c>
      <c r="K30" s="465">
        <f t="shared" ref="K30:K43" si="16">IF(C30="","",H30*J30)</f>
        <v>308.7</v>
      </c>
      <c r="L30" s="469" t="str">
        <f>IF(C30="","",CONCATENATE(F29," ",C29," ",D29," in"))</f>
        <v>µL 2 M in</v>
      </c>
      <c r="M30" s="474">
        <f>IF(C30="","",H30-K30)</f>
        <v>308.7</v>
      </c>
      <c r="N30" s="467" t="str">
        <f t="shared" ref="N30:N43" si="17">IF(F30="","",F30)</f>
        <v>µL</v>
      </c>
      <c r="O30" s="51"/>
      <c r="P30" s="51"/>
    </row>
    <row r="31" spans="1:46" x14ac:dyDescent="0.5">
      <c r="A31" s="9" t="s">
        <v>30</v>
      </c>
      <c r="C31" s="426">
        <v>0.5</v>
      </c>
      <c r="D31" s="295" t="str">
        <f t="shared" ref="D31:D43" si="18">IF(C31="","",D30)</f>
        <v>M</v>
      </c>
      <c r="E31" s="423">
        <v>150</v>
      </c>
      <c r="F31" s="280" t="str">
        <f t="shared" ref="F31:F43" si="19">IF(E31="","",F30)</f>
        <v>µL</v>
      </c>
      <c r="G31" s="480">
        <v>3</v>
      </c>
      <c r="H31" s="421">
        <f>IF(C31="","",E31*IF(G31="",1,G31)*(1+C27)+IF(K32="",0,K32))</f>
        <v>604.79999999999995</v>
      </c>
      <c r="I31" s="470" t="str">
        <f t="shared" si="15"/>
        <v>µL</v>
      </c>
      <c r="J31" s="120">
        <f t="shared" ref="J31:J43" si="20">IF(C31="","",C31/C30)</f>
        <v>0.5</v>
      </c>
      <c r="K31" s="418">
        <f t="shared" si="16"/>
        <v>302.39999999999998</v>
      </c>
      <c r="L31" s="467" t="str">
        <f t="shared" ref="L31:L43" si="21">IF(C31="","",CONCATENATE(F30," ",C30," ",D30," in"))</f>
        <v>µL 1 M in</v>
      </c>
      <c r="M31" s="475">
        <f t="shared" ref="M31:M43" si="22">IF(C31="","",H31-K31)</f>
        <v>302.39999999999998</v>
      </c>
      <c r="N31" s="467" t="str">
        <f t="shared" si="17"/>
        <v>µL</v>
      </c>
      <c r="O31" s="51"/>
      <c r="P31" s="51"/>
    </row>
    <row r="32" spans="1:46" x14ac:dyDescent="0.5">
      <c r="A32" s="9" t="s">
        <v>31</v>
      </c>
      <c r="C32" s="426">
        <v>0.1</v>
      </c>
      <c r="D32" s="295" t="str">
        <f t="shared" si="18"/>
        <v>M</v>
      </c>
      <c r="E32" s="423">
        <v>150</v>
      </c>
      <c r="F32" s="280" t="str">
        <f t="shared" si="19"/>
        <v>µL</v>
      </c>
      <c r="G32" s="480">
        <v>3</v>
      </c>
      <c r="H32" s="421">
        <f>IF(C32="","",E32*IF(G32="",1,G32)*(1+C27)+IF(K33="",0,K33))</f>
        <v>661.5</v>
      </c>
      <c r="I32" s="470" t="str">
        <f t="shared" si="15"/>
        <v>µL</v>
      </c>
      <c r="J32" s="120">
        <f t="shared" si="20"/>
        <v>0.2</v>
      </c>
      <c r="K32" s="418">
        <f t="shared" si="16"/>
        <v>132.30000000000001</v>
      </c>
      <c r="L32" s="467" t="str">
        <f t="shared" si="21"/>
        <v>µL 0.5 M in</v>
      </c>
      <c r="M32" s="475">
        <f t="shared" si="22"/>
        <v>529.20000000000005</v>
      </c>
      <c r="N32" s="467" t="str">
        <f t="shared" si="17"/>
        <v>µL</v>
      </c>
      <c r="O32" s="471"/>
      <c r="P32" s="471"/>
    </row>
    <row r="33" spans="1:16" x14ac:dyDescent="0.5">
      <c r="A33" s="9" t="s">
        <v>32</v>
      </c>
      <c r="C33" s="426">
        <v>0.05</v>
      </c>
      <c r="D33" s="295" t="str">
        <f t="shared" si="18"/>
        <v>M</v>
      </c>
      <c r="E33" s="423">
        <v>150</v>
      </c>
      <c r="F33" s="280" t="str">
        <f t="shared" si="19"/>
        <v>µL</v>
      </c>
      <c r="G33" s="480">
        <v>2</v>
      </c>
      <c r="H33" s="421">
        <f>IF(C33="","",E33*IF(G33="",1,G33)*(1+C27)+IF(K34="",0,K34))</f>
        <v>378</v>
      </c>
      <c r="I33" s="470" t="str">
        <f t="shared" si="15"/>
        <v>µL</v>
      </c>
      <c r="J33" s="120">
        <f t="shared" si="20"/>
        <v>0.5</v>
      </c>
      <c r="K33" s="418">
        <f>IF(C33="","",H33*J33)</f>
        <v>189</v>
      </c>
      <c r="L33" s="467" t="str">
        <f t="shared" si="21"/>
        <v>µL 0.1 M in</v>
      </c>
      <c r="M33" s="475">
        <f t="shared" si="22"/>
        <v>189</v>
      </c>
      <c r="N33" s="467" t="str">
        <f t="shared" si="17"/>
        <v>µL</v>
      </c>
      <c r="O33" s="51"/>
      <c r="P33" s="51"/>
    </row>
    <row r="34" spans="1:16" x14ac:dyDescent="0.5">
      <c r="A34" s="9" t="s">
        <v>33</v>
      </c>
      <c r="C34" s="426">
        <v>0.01</v>
      </c>
      <c r="D34" s="295" t="str">
        <f t="shared" si="18"/>
        <v>M</v>
      </c>
      <c r="E34" s="423">
        <v>150</v>
      </c>
      <c r="F34" s="280" t="str">
        <f t="shared" si="19"/>
        <v>µL</v>
      </c>
      <c r="G34" s="480">
        <v>2</v>
      </c>
      <c r="H34" s="421">
        <f>IF(C34="","",E34*IF(G34="",1,G34)*(1+C27)+IF(K35="",0,K35))</f>
        <v>315</v>
      </c>
      <c r="I34" s="470" t="str">
        <f t="shared" si="15"/>
        <v>µL</v>
      </c>
      <c r="J34" s="120">
        <f t="shared" si="20"/>
        <v>0.19999999999999998</v>
      </c>
      <c r="K34" s="418">
        <f t="shared" si="16"/>
        <v>62.999999999999993</v>
      </c>
      <c r="L34" s="467" t="str">
        <f t="shared" si="21"/>
        <v>µL 0.05 M in</v>
      </c>
      <c r="M34" s="475">
        <f t="shared" si="22"/>
        <v>252</v>
      </c>
      <c r="N34" s="467" t="str">
        <f t="shared" si="17"/>
        <v>µL</v>
      </c>
      <c r="O34" s="51"/>
      <c r="P34" s="51"/>
    </row>
    <row r="35" spans="1:16" x14ac:dyDescent="0.5">
      <c r="A35" s="9" t="s">
        <v>34</v>
      </c>
      <c r="C35" s="426">
        <v>0</v>
      </c>
      <c r="D35" s="295" t="str">
        <f t="shared" si="18"/>
        <v>M</v>
      </c>
      <c r="E35" s="423">
        <v>150</v>
      </c>
      <c r="F35" s="280" t="str">
        <f t="shared" si="19"/>
        <v>µL</v>
      </c>
      <c r="G35" s="480">
        <v>2</v>
      </c>
      <c r="H35" s="421">
        <f>IF(C35="","",E35*IF(G35="",1,G35)*(1+C27)+IF(K36="",0,K36))</f>
        <v>315</v>
      </c>
      <c r="I35" s="470" t="str">
        <f t="shared" si="15"/>
        <v>µL</v>
      </c>
      <c r="J35" s="120">
        <f t="shared" si="20"/>
        <v>0</v>
      </c>
      <c r="K35" s="418">
        <f t="shared" si="16"/>
        <v>0</v>
      </c>
      <c r="L35" s="467" t="str">
        <f t="shared" si="21"/>
        <v>µL 0.01 M in</v>
      </c>
      <c r="M35" s="475">
        <f t="shared" si="22"/>
        <v>315</v>
      </c>
      <c r="N35" s="467" t="str">
        <f t="shared" si="17"/>
        <v>µL</v>
      </c>
      <c r="O35" s="51"/>
      <c r="P35" s="51"/>
    </row>
    <row r="36" spans="1:16" x14ac:dyDescent="0.5">
      <c r="A36" s="9" t="s">
        <v>35</v>
      </c>
      <c r="C36" s="426"/>
      <c r="D36" s="295" t="str">
        <f t="shared" si="18"/>
        <v/>
      </c>
      <c r="E36" s="424"/>
      <c r="F36" t="str">
        <f t="shared" si="19"/>
        <v/>
      </c>
      <c r="G36" s="481"/>
      <c r="H36" s="421" t="str">
        <f>IF(C36="","",E36*IF(G36="",1,G36)*(1+C27)+IF(K37="",0,K37))</f>
        <v/>
      </c>
      <c r="I36" s="470" t="str">
        <f t="shared" si="15"/>
        <v/>
      </c>
      <c r="J36" s="120" t="str">
        <f t="shared" si="20"/>
        <v/>
      </c>
      <c r="K36" s="418" t="str">
        <f t="shared" si="16"/>
        <v/>
      </c>
      <c r="L36" s="467" t="str">
        <f t="shared" si="21"/>
        <v/>
      </c>
      <c r="M36" s="475" t="str">
        <f t="shared" si="22"/>
        <v/>
      </c>
      <c r="N36" s="467" t="str">
        <f t="shared" si="17"/>
        <v/>
      </c>
      <c r="O36" s="51"/>
      <c r="P36" s="51"/>
    </row>
    <row r="37" spans="1:16" x14ac:dyDescent="0.5">
      <c r="A37" s="9" t="s">
        <v>36</v>
      </c>
      <c r="C37" s="426"/>
      <c r="D37" s="295" t="str">
        <f t="shared" si="18"/>
        <v/>
      </c>
      <c r="E37" s="424"/>
      <c r="F37" t="str">
        <f t="shared" si="19"/>
        <v/>
      </c>
      <c r="G37" s="481"/>
      <c r="H37" s="421" t="str">
        <f>IF(C37="","",E37*IF(G37="",1,G37)*(1+C27)+IF(K38="",0,K38))</f>
        <v/>
      </c>
      <c r="I37" s="470" t="str">
        <f t="shared" si="15"/>
        <v/>
      </c>
      <c r="J37" s="120" t="str">
        <f t="shared" si="20"/>
        <v/>
      </c>
      <c r="K37" s="418" t="str">
        <f t="shared" si="16"/>
        <v/>
      </c>
      <c r="L37" s="467" t="str">
        <f t="shared" si="21"/>
        <v/>
      </c>
      <c r="M37" s="475" t="str">
        <f t="shared" si="22"/>
        <v/>
      </c>
      <c r="N37" s="467" t="str">
        <f t="shared" si="17"/>
        <v/>
      </c>
      <c r="O37" s="51"/>
      <c r="P37" s="51"/>
    </row>
    <row r="38" spans="1:16" x14ac:dyDescent="0.5">
      <c r="A38" s="9" t="s">
        <v>37</v>
      </c>
      <c r="C38" s="426"/>
      <c r="D38" s="295" t="str">
        <f t="shared" si="18"/>
        <v/>
      </c>
      <c r="E38" s="424"/>
      <c r="F38" t="str">
        <f t="shared" si="19"/>
        <v/>
      </c>
      <c r="G38" s="481"/>
      <c r="H38" s="421" t="str">
        <f>IF(C38="","",E38*IF(G38="",1,G38)*(1+C27)+IF(K39="",0,K39))</f>
        <v/>
      </c>
      <c r="I38" s="470" t="str">
        <f t="shared" si="15"/>
        <v/>
      </c>
      <c r="J38" s="120" t="str">
        <f t="shared" si="20"/>
        <v/>
      </c>
      <c r="K38" s="418" t="str">
        <f t="shared" si="16"/>
        <v/>
      </c>
      <c r="L38" s="467" t="str">
        <f t="shared" si="21"/>
        <v/>
      </c>
      <c r="M38" s="475" t="str">
        <f t="shared" si="22"/>
        <v/>
      </c>
      <c r="N38" s="467" t="str">
        <f t="shared" si="17"/>
        <v/>
      </c>
      <c r="O38" s="51"/>
      <c r="P38" s="51"/>
    </row>
    <row r="39" spans="1:16" x14ac:dyDescent="0.5">
      <c r="A39" s="9" t="s">
        <v>41</v>
      </c>
      <c r="C39" s="426"/>
      <c r="D39" s="295" t="str">
        <f t="shared" si="18"/>
        <v/>
      </c>
      <c r="E39" s="424"/>
      <c r="F39" t="str">
        <f t="shared" si="19"/>
        <v/>
      </c>
      <c r="G39" s="481"/>
      <c r="H39" s="421" t="str">
        <f>IF(C39="","",E39*IF(G39="",1,G39)*(1+C27)+IF(K40="",0,K40))</f>
        <v/>
      </c>
      <c r="I39" s="470" t="str">
        <f t="shared" si="15"/>
        <v/>
      </c>
      <c r="J39" s="120" t="str">
        <f t="shared" si="20"/>
        <v/>
      </c>
      <c r="K39" s="418" t="str">
        <f t="shared" si="16"/>
        <v/>
      </c>
      <c r="L39" s="467" t="str">
        <f t="shared" si="21"/>
        <v/>
      </c>
      <c r="M39" s="475" t="str">
        <f t="shared" si="22"/>
        <v/>
      </c>
      <c r="N39" s="467" t="str">
        <f t="shared" si="17"/>
        <v/>
      </c>
      <c r="O39" s="51"/>
      <c r="P39" s="51"/>
    </row>
    <row r="40" spans="1:16" x14ac:dyDescent="0.5">
      <c r="A40" s="9" t="s">
        <v>42</v>
      </c>
      <c r="C40" s="426"/>
      <c r="D40" s="295" t="str">
        <f t="shared" si="18"/>
        <v/>
      </c>
      <c r="E40" s="424"/>
      <c r="F40" t="str">
        <f t="shared" si="19"/>
        <v/>
      </c>
      <c r="G40" s="481"/>
      <c r="H40" s="421" t="str">
        <f>IF(C40="","",E40*IF(G40="",1,G40)*(1+C27)+IF(K41="",0,K41))</f>
        <v/>
      </c>
      <c r="I40" s="470" t="str">
        <f t="shared" si="15"/>
        <v/>
      </c>
      <c r="J40" s="120" t="str">
        <f t="shared" si="20"/>
        <v/>
      </c>
      <c r="K40" s="418" t="str">
        <f t="shared" si="16"/>
        <v/>
      </c>
      <c r="L40" s="467" t="str">
        <f t="shared" si="21"/>
        <v/>
      </c>
      <c r="M40" s="475" t="str">
        <f t="shared" si="22"/>
        <v/>
      </c>
      <c r="N40" s="467" t="str">
        <f t="shared" si="17"/>
        <v/>
      </c>
      <c r="O40" s="51"/>
      <c r="P40" s="51"/>
    </row>
    <row r="41" spans="1:16" x14ac:dyDescent="0.5">
      <c r="A41" s="9" t="s">
        <v>43</v>
      </c>
      <c r="C41" s="426"/>
      <c r="D41" s="295" t="str">
        <f t="shared" si="18"/>
        <v/>
      </c>
      <c r="E41" s="424"/>
      <c r="F41" t="str">
        <f t="shared" si="19"/>
        <v/>
      </c>
      <c r="G41" s="481"/>
      <c r="H41" s="421" t="str">
        <f>IF(C41="","",E41*IF(G41="",1,G41)*(1+C27)+IF(K42="",0,K42))</f>
        <v/>
      </c>
      <c r="I41" s="470" t="str">
        <f t="shared" si="15"/>
        <v/>
      </c>
      <c r="J41" s="120" t="str">
        <f t="shared" si="20"/>
        <v/>
      </c>
      <c r="K41" s="418" t="str">
        <f t="shared" si="16"/>
        <v/>
      </c>
      <c r="L41" s="467" t="str">
        <f t="shared" si="21"/>
        <v/>
      </c>
      <c r="M41" s="475" t="str">
        <f t="shared" si="22"/>
        <v/>
      </c>
      <c r="N41" s="467" t="str">
        <f t="shared" si="17"/>
        <v/>
      </c>
      <c r="O41" s="51"/>
      <c r="P41" s="51"/>
    </row>
    <row r="42" spans="1:16" x14ac:dyDescent="0.5">
      <c r="A42" s="9" t="s">
        <v>44</v>
      </c>
      <c r="C42" s="426"/>
      <c r="D42" s="295" t="str">
        <f t="shared" si="18"/>
        <v/>
      </c>
      <c r="E42" s="424"/>
      <c r="F42" t="str">
        <f t="shared" si="19"/>
        <v/>
      </c>
      <c r="G42" s="481"/>
      <c r="H42" s="421" t="str">
        <f>IF(C42="","",E42*IF(G42="",1,G42)*(1+C27)+IF(K43="",0,K43))</f>
        <v/>
      </c>
      <c r="I42" s="470" t="str">
        <f t="shared" si="15"/>
        <v/>
      </c>
      <c r="J42" s="120" t="str">
        <f t="shared" si="20"/>
        <v/>
      </c>
      <c r="K42" s="418" t="str">
        <f t="shared" si="16"/>
        <v/>
      </c>
      <c r="L42" s="467" t="str">
        <f t="shared" si="21"/>
        <v/>
      </c>
      <c r="M42" s="475" t="str">
        <f t="shared" si="22"/>
        <v/>
      </c>
      <c r="N42" s="467" t="str">
        <f t="shared" si="17"/>
        <v/>
      </c>
      <c r="O42" s="51"/>
      <c r="P42" s="51"/>
    </row>
    <row r="43" spans="1:16" x14ac:dyDescent="0.5">
      <c r="A43" s="9" t="s">
        <v>45</v>
      </c>
      <c r="C43" s="426"/>
      <c r="D43" s="295" t="str">
        <f t="shared" si="18"/>
        <v/>
      </c>
      <c r="E43" s="424"/>
      <c r="F43" t="str">
        <f t="shared" si="19"/>
        <v/>
      </c>
      <c r="G43" s="481"/>
      <c r="H43" s="421" t="str">
        <f>IF(C43="","",E43*IF(G43="",1,G43)*(1+C27)+IF(K44="",0,K44))</f>
        <v/>
      </c>
      <c r="I43" s="470" t="str">
        <f t="shared" si="15"/>
        <v/>
      </c>
      <c r="J43" s="120" t="str">
        <f t="shared" si="20"/>
        <v/>
      </c>
      <c r="K43" s="418" t="str">
        <f t="shared" si="16"/>
        <v/>
      </c>
      <c r="L43" s="467" t="str">
        <f t="shared" si="21"/>
        <v/>
      </c>
      <c r="M43" s="475" t="str">
        <f t="shared" si="22"/>
        <v/>
      </c>
      <c r="N43" s="467" t="str">
        <f t="shared" si="17"/>
        <v/>
      </c>
      <c r="O43" s="51"/>
      <c r="P43" s="51"/>
    </row>
    <row r="44" spans="1:16" x14ac:dyDescent="0.5">
      <c r="H44" s="51"/>
      <c r="I44" s="51"/>
      <c r="J44" s="51"/>
      <c r="K44" s="51"/>
      <c r="L44" s="472" t="s">
        <v>170</v>
      </c>
      <c r="M44" s="476">
        <f>SUM(M29:M43)</f>
        <v>2520</v>
      </c>
      <c r="N44" s="473" t="str">
        <f>F29</f>
        <v>µL</v>
      </c>
      <c r="O44" s="51"/>
      <c r="P44" s="51"/>
    </row>
    <row r="46" spans="1:16" x14ac:dyDescent="0.5">
      <c r="A46" s="156"/>
      <c r="B46" s="550"/>
      <c r="C46" s="326"/>
      <c r="D46" s="268"/>
      <c r="E46" s="268"/>
    </row>
    <row r="47" spans="1:16" ht="14.45" customHeight="1" x14ac:dyDescent="0.5">
      <c r="B47" s="627" t="s">
        <v>319</v>
      </c>
      <c r="C47" s="627"/>
    </row>
    <row r="48" spans="1:16" x14ac:dyDescent="0.5">
      <c r="B48" s="627"/>
      <c r="C48" s="627"/>
    </row>
  </sheetData>
  <mergeCells count="14">
    <mergeCell ref="B47:C48"/>
    <mergeCell ref="K28:L28"/>
    <mergeCell ref="AA4:AB4"/>
    <mergeCell ref="AQ4:AR4"/>
    <mergeCell ref="S2:AD2"/>
    <mergeCell ref="Q20:Z20"/>
    <mergeCell ref="AI2:AT2"/>
    <mergeCell ref="AG20:AP20"/>
    <mergeCell ref="D1:N1"/>
    <mergeCell ref="A1:C1"/>
    <mergeCell ref="A26:N26"/>
    <mergeCell ref="K4:L4"/>
    <mergeCell ref="A20:J20"/>
    <mergeCell ref="C2:N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E009-656C-4104-A82A-68FA665CFE56}">
  <dimension ref="A1:AZ50"/>
  <sheetViews>
    <sheetView zoomScaleNormal="100" workbookViewId="0">
      <selection activeCell="C8" sqref="C8"/>
    </sheetView>
  </sheetViews>
  <sheetFormatPr defaultColWidth="8.8203125" defaultRowHeight="14.35" x14ac:dyDescent="0.5"/>
  <cols>
    <col min="1" max="1" width="8.8203125" style="460"/>
    <col min="2" max="2" width="3.9375" style="460" customWidth="1"/>
    <col min="3" max="3" width="9.17578125" style="460" customWidth="1"/>
    <col min="4" max="4" width="6.5859375" style="460" customWidth="1"/>
    <col min="5" max="5" width="8.76171875" style="460" customWidth="1"/>
    <col min="6" max="6" width="8.29296875" style="460" customWidth="1"/>
    <col min="7" max="7" width="7.3515625" style="460" customWidth="1"/>
    <col min="8" max="8" width="7.87890625" style="460" customWidth="1"/>
    <col min="9" max="9" width="7.64453125" style="460" customWidth="1"/>
    <col min="10" max="10" width="4.9375" style="460" customWidth="1"/>
    <col min="11" max="11" width="7.64453125" style="460" customWidth="1"/>
    <col min="12" max="12" width="3.5859375" style="460" customWidth="1"/>
    <col min="13" max="13" width="7.64453125" style="460" customWidth="1"/>
    <col min="14" max="14" width="3.17578125" style="460" customWidth="1"/>
    <col min="15" max="15" width="7.64453125" style="460" customWidth="1"/>
    <col min="16" max="16" width="3.703125" style="460" customWidth="1"/>
    <col min="17" max="17" width="8.8203125" style="460" customWidth="1"/>
    <col min="18" max="19" width="8.8203125" style="460"/>
    <col min="20" max="20" width="3.9375" style="460" customWidth="1"/>
    <col min="21" max="21" width="9.17578125" style="460" customWidth="1"/>
    <col min="22" max="22" width="6.5859375" style="460" customWidth="1"/>
    <col min="23" max="23" width="8.76171875" style="460" customWidth="1"/>
    <col min="24" max="24" width="8.29296875" style="460" customWidth="1"/>
    <col min="25" max="25" width="7.3515625" style="460" customWidth="1"/>
    <col min="26" max="26" width="7.87890625" style="460" customWidth="1"/>
    <col min="27" max="27" width="7.64453125" style="460" customWidth="1"/>
    <col min="28" max="28" width="4.9375" style="460" customWidth="1"/>
    <col min="29" max="29" width="7.64453125" style="460" customWidth="1"/>
    <col min="30" max="30" width="3.5859375" style="460" customWidth="1"/>
    <col min="31" max="31" width="7.64453125" style="460" customWidth="1"/>
    <col min="32" max="32" width="3.17578125" style="460" customWidth="1"/>
    <col min="33" max="33" width="7.64453125" style="460" customWidth="1"/>
    <col min="34" max="34" width="3.703125" style="460" customWidth="1"/>
    <col min="35" max="37" width="8.8203125" style="460"/>
    <col min="38" max="38" width="3.9375" style="460" customWidth="1"/>
    <col min="39" max="39" width="9.17578125" style="460" customWidth="1"/>
    <col min="40" max="40" width="6.5859375" style="460" customWidth="1"/>
    <col min="41" max="41" width="8.76171875" style="460" customWidth="1"/>
    <col min="42" max="42" width="8.29296875" style="460" customWidth="1"/>
    <col min="43" max="43" width="7.3515625" style="460" customWidth="1"/>
    <col min="44" max="44" width="7.87890625" style="460" customWidth="1"/>
    <col min="45" max="45" width="7.64453125" style="460" customWidth="1"/>
    <col min="46" max="46" width="4.9375" style="460" customWidth="1"/>
    <col min="47" max="47" width="7.64453125" style="460" customWidth="1"/>
    <col min="48" max="48" width="3.5859375" style="460" customWidth="1"/>
    <col min="49" max="49" width="7.64453125" style="460" customWidth="1"/>
    <col min="50" max="50" width="3.17578125" style="460" customWidth="1"/>
    <col min="51" max="51" width="7.64453125" style="460" customWidth="1"/>
    <col min="52" max="52" width="3.703125" style="460" customWidth="1"/>
    <col min="53" max="16384" width="8.8203125" style="460"/>
  </cols>
  <sheetData>
    <row r="1" spans="1:52" ht="59" customHeight="1" x14ac:dyDescent="0.5">
      <c r="A1" s="700" t="s">
        <v>331</v>
      </c>
      <c r="B1" s="700"/>
      <c r="C1" s="700"/>
      <c r="D1" s="730" t="s">
        <v>368</v>
      </c>
      <c r="E1" s="730"/>
      <c r="F1" s="730"/>
      <c r="G1" s="730"/>
      <c r="H1" s="730"/>
      <c r="I1" s="730"/>
      <c r="J1" s="730"/>
      <c r="K1" s="730"/>
      <c r="L1" s="730"/>
      <c r="M1" s="730"/>
      <c r="N1" s="730"/>
      <c r="O1" s="730"/>
      <c r="P1" s="730"/>
    </row>
    <row r="2" spans="1:52" ht="14.45" customHeight="1" x14ac:dyDescent="0.5">
      <c r="A2" s="715" t="s">
        <v>343</v>
      </c>
      <c r="B2" s="715"/>
      <c r="C2" s="716"/>
      <c r="D2" s="716"/>
      <c r="E2" s="716"/>
      <c r="F2" s="716"/>
      <c r="G2" s="716"/>
      <c r="H2" s="716"/>
      <c r="I2" s="716"/>
      <c r="J2" s="716"/>
      <c r="K2" s="716"/>
      <c r="L2" s="716"/>
      <c r="M2" s="716"/>
      <c r="N2" s="716"/>
      <c r="O2" s="716"/>
      <c r="P2" s="717"/>
      <c r="S2" s="715" t="s">
        <v>343</v>
      </c>
      <c r="T2" s="715"/>
      <c r="U2" s="716"/>
      <c r="V2" s="716"/>
      <c r="W2" s="716"/>
      <c r="X2" s="716"/>
      <c r="Y2" s="716"/>
      <c r="Z2" s="716"/>
      <c r="AA2" s="716"/>
      <c r="AB2" s="716"/>
      <c r="AC2" s="716"/>
      <c r="AD2" s="716"/>
      <c r="AE2" s="716"/>
      <c r="AF2" s="716"/>
      <c r="AG2" s="716"/>
      <c r="AH2" s="717"/>
      <c r="AK2" s="715" t="s">
        <v>343</v>
      </c>
      <c r="AL2" s="715"/>
      <c r="AM2" s="716"/>
      <c r="AN2" s="716"/>
      <c r="AO2" s="716"/>
      <c r="AP2" s="716"/>
      <c r="AQ2" s="716"/>
      <c r="AR2" s="716"/>
      <c r="AS2" s="716"/>
      <c r="AT2" s="716"/>
      <c r="AU2" s="716"/>
      <c r="AV2" s="716"/>
      <c r="AW2" s="716"/>
      <c r="AX2" s="716"/>
      <c r="AY2" s="716"/>
      <c r="AZ2" s="717"/>
    </row>
    <row r="3" spans="1:52" ht="14.45" customHeight="1" x14ac:dyDescent="0.5">
      <c r="A3" s="715" t="s">
        <v>329</v>
      </c>
      <c r="B3" s="718"/>
      <c r="C3" s="516">
        <v>1000</v>
      </c>
      <c r="D3" s="517" t="s">
        <v>76</v>
      </c>
      <c r="E3" s="521" t="s">
        <v>346</v>
      </c>
      <c r="F3" s="477" t="s">
        <v>3</v>
      </c>
      <c r="G3" s="519">
        <v>0.05</v>
      </c>
      <c r="H3" s="514"/>
      <c r="I3" s="719" t="s">
        <v>324</v>
      </c>
      <c r="J3" s="720"/>
      <c r="K3" s="520" t="s">
        <v>96</v>
      </c>
      <c r="L3" s="462"/>
      <c r="M3" s="729" t="str">
        <f>IF(LOWER(K3)="yes","Stock Vol.", "")</f>
        <v/>
      </c>
      <c r="N3" s="718"/>
      <c r="O3" s="729" t="str">
        <f>IF(LOWER(K3)="yes","Dil. Vol.", "")</f>
        <v/>
      </c>
      <c r="P3" s="718"/>
      <c r="Q3" s="339"/>
      <c r="S3" s="715" t="s">
        <v>329</v>
      </c>
      <c r="T3" s="718"/>
      <c r="U3" s="516"/>
      <c r="V3" s="517"/>
      <c r="W3" s="521" t="s">
        <v>346</v>
      </c>
      <c r="X3" s="553" t="s">
        <v>3</v>
      </c>
      <c r="Y3" s="519"/>
      <c r="Z3" s="514"/>
      <c r="AA3" s="719" t="s">
        <v>324</v>
      </c>
      <c r="AB3" s="720"/>
      <c r="AC3" s="520" t="s">
        <v>96</v>
      </c>
      <c r="AD3" s="462"/>
      <c r="AE3" s="729" t="str">
        <f>IF(LOWER(AC3)="yes","Stock Vol.", "")</f>
        <v/>
      </c>
      <c r="AF3" s="718"/>
      <c r="AG3" s="729" t="str">
        <f>IF(LOWER(AC3)="yes","Dil. Vol.", "")</f>
        <v/>
      </c>
      <c r="AH3" s="718"/>
      <c r="AK3" s="715" t="s">
        <v>329</v>
      </c>
      <c r="AL3" s="718"/>
      <c r="AM3" s="516"/>
      <c r="AN3" s="517"/>
      <c r="AO3" s="521" t="s">
        <v>346</v>
      </c>
      <c r="AP3" s="553" t="s">
        <v>3</v>
      </c>
      <c r="AQ3" s="519"/>
      <c r="AR3" s="514"/>
      <c r="AS3" s="719" t="s">
        <v>324</v>
      </c>
      <c r="AT3" s="720"/>
      <c r="AU3" s="520" t="s">
        <v>96</v>
      </c>
      <c r="AV3" s="462"/>
      <c r="AW3" s="729" t="str">
        <f>IF(LOWER(AU3)="yes","Stock Vol.", "")</f>
        <v/>
      </c>
      <c r="AX3" s="718"/>
      <c r="AY3" s="729" t="str">
        <f>IF(LOWER(AU3)="yes","Dil. Vol.", "")</f>
        <v/>
      </c>
      <c r="AZ3" s="718"/>
    </row>
    <row r="4" spans="1:52" s="121" customFormat="1" ht="14.45" customHeight="1" x14ac:dyDescent="0.5">
      <c r="A4" s="731" t="s">
        <v>338</v>
      </c>
      <c r="B4" s="732"/>
      <c r="C4" s="593" t="str">
        <f>IF(LOWER(K3)="yes",I6,"")</f>
        <v/>
      </c>
      <c r="D4" s="594" t="str">
        <f>IF(C4="","",D6)</f>
        <v/>
      </c>
      <c r="E4" s="728"/>
      <c r="F4" s="728"/>
      <c r="G4" s="728"/>
      <c r="H4" s="728"/>
      <c r="I4" s="595" t="str">
        <f>IF(LOWER(K3)="yes",C4,"")</f>
        <v/>
      </c>
      <c r="J4" s="596" t="str">
        <f>IF(LOWER(K3)="yes",D4,"")</f>
        <v/>
      </c>
      <c r="K4" s="597" t="str">
        <f>IF(LOWER(K3)="yes",SUM(M6:M20)*(1+G3),"")</f>
        <v/>
      </c>
      <c r="L4" s="598" t="str">
        <f>IF(LOWER(K3)="yes",G6,"")</f>
        <v/>
      </c>
      <c r="M4" s="599" t="str">
        <f>IF(K4="","",I4*K4/C3)</f>
        <v/>
      </c>
      <c r="N4" s="600" t="str">
        <f>IF(M4="","",L4)</f>
        <v/>
      </c>
      <c r="O4" s="601" t="str">
        <f>IF(K4="","",K4-M4)</f>
        <v/>
      </c>
      <c r="P4" s="602" t="str">
        <f>IF(L4="","",L4)</f>
        <v/>
      </c>
      <c r="Q4" s="289"/>
      <c r="R4" s="289"/>
      <c r="S4" s="731" t="s">
        <v>338</v>
      </c>
      <c r="T4" s="732"/>
      <c r="U4" s="593" t="str">
        <f>IF(LOWER(AC3)="yes",AA6,"")</f>
        <v/>
      </c>
      <c r="V4" s="594" t="str">
        <f>IF(U4="","",V6)</f>
        <v/>
      </c>
      <c r="W4" s="728"/>
      <c r="X4" s="728"/>
      <c r="Y4" s="728"/>
      <c r="Z4" s="728"/>
      <c r="AA4" s="595" t="str">
        <f>IF(LOWER(AC3)="yes",U4,"")</f>
        <v/>
      </c>
      <c r="AB4" s="596" t="str">
        <f>IF(LOWER(AC3)="yes",V4,"")</f>
        <v/>
      </c>
      <c r="AC4" s="597" t="str">
        <f>IF(LOWER(AC3)="yes",SUM(AE6:AE20)*(1+Y3),"")</f>
        <v/>
      </c>
      <c r="AD4" s="598" t="str">
        <f>IF(LOWER(AC3)="yes",Y6,"")</f>
        <v/>
      </c>
      <c r="AE4" s="599" t="str">
        <f>IF(AC4="","",AA4*AC4/U3)</f>
        <v/>
      </c>
      <c r="AF4" s="600" t="str">
        <f>IF(AE4="","",AD4)</f>
        <v/>
      </c>
      <c r="AG4" s="601" t="str">
        <f>IF(AC4="","",AC4-AE4)</f>
        <v/>
      </c>
      <c r="AH4" s="602" t="str">
        <f>IF(AD4="","",AD4)</f>
        <v/>
      </c>
      <c r="AK4" s="731" t="s">
        <v>338</v>
      </c>
      <c r="AL4" s="732"/>
      <c r="AM4" s="593" t="str">
        <f>IF(LOWER(AU3)="yes",AS6,"")</f>
        <v/>
      </c>
      <c r="AN4" s="594" t="str">
        <f>IF(AM4="","",AN6)</f>
        <v/>
      </c>
      <c r="AO4" s="728"/>
      <c r="AP4" s="728"/>
      <c r="AQ4" s="728"/>
      <c r="AR4" s="728"/>
      <c r="AS4" s="595" t="str">
        <f>IF(LOWER(AU3)="yes",AM4,"")</f>
        <v/>
      </c>
      <c r="AT4" s="596" t="str">
        <f>IF(LOWER(AU3)="yes",AN4,"")</f>
        <v/>
      </c>
      <c r="AU4" s="597" t="str">
        <f>IF(LOWER(AU3)="yes",SUM(AW6:AW20)*(1+AQ3),"")</f>
        <v/>
      </c>
      <c r="AV4" s="598" t="str">
        <f>IF(LOWER(AU3)="yes",AQ6,"")</f>
        <v/>
      </c>
      <c r="AW4" s="599" t="str">
        <f>IF(AU4="","",AS4*AU4/AM3)</f>
        <v/>
      </c>
      <c r="AX4" s="600" t="str">
        <f>IF(AW4="","",AV4)</f>
        <v/>
      </c>
      <c r="AY4" s="601" t="str">
        <f>IF(AU4="","",AU4-AW4)</f>
        <v/>
      </c>
      <c r="AZ4" s="602" t="str">
        <f>IF(AV4="","",AV4)</f>
        <v/>
      </c>
    </row>
    <row r="5" spans="1:52" s="121" customFormat="1" ht="36.700000000000003" customHeight="1" x14ac:dyDescent="0.5">
      <c r="A5" s="487" t="s">
        <v>128</v>
      </c>
      <c r="B5" s="505"/>
      <c r="C5" s="505" t="s">
        <v>325</v>
      </c>
      <c r="D5" s="487" t="s">
        <v>72</v>
      </c>
      <c r="E5" s="487" t="s">
        <v>348</v>
      </c>
      <c r="F5" s="505" t="s">
        <v>345</v>
      </c>
      <c r="G5" s="549" t="s">
        <v>403</v>
      </c>
      <c r="H5" s="488" t="s">
        <v>347</v>
      </c>
      <c r="I5" s="710" t="s">
        <v>344</v>
      </c>
      <c r="J5" s="710"/>
      <c r="K5" s="710" t="s">
        <v>326</v>
      </c>
      <c r="L5" s="711"/>
      <c r="M5" s="710" t="str">
        <f>IF(LOWER(K3)="yes","Dil. Stock Volume", "Stock Volume ")</f>
        <v xml:space="preserve">Stock Volume </v>
      </c>
      <c r="N5" s="709"/>
      <c r="O5" s="708" t="s">
        <v>327</v>
      </c>
      <c r="P5" s="709"/>
      <c r="Q5" s="289"/>
      <c r="R5" s="289"/>
      <c r="S5" s="487" t="s">
        <v>128</v>
      </c>
      <c r="T5" s="549"/>
      <c r="U5" s="549" t="s">
        <v>325</v>
      </c>
      <c r="V5" s="487" t="s">
        <v>72</v>
      </c>
      <c r="W5" s="487" t="s">
        <v>348</v>
      </c>
      <c r="X5" s="549" t="s">
        <v>345</v>
      </c>
      <c r="Y5" s="549" t="s">
        <v>403</v>
      </c>
      <c r="Z5" s="488" t="s">
        <v>347</v>
      </c>
      <c r="AA5" s="710" t="s">
        <v>344</v>
      </c>
      <c r="AB5" s="710"/>
      <c r="AC5" s="710" t="s">
        <v>326</v>
      </c>
      <c r="AD5" s="711"/>
      <c r="AE5" s="710" t="str">
        <f>IF(LOWER(AC3)="yes","Dil. Stock Volume", "Stock Volume ")</f>
        <v xml:space="preserve">Stock Volume </v>
      </c>
      <c r="AF5" s="709"/>
      <c r="AG5" s="708" t="s">
        <v>327</v>
      </c>
      <c r="AH5" s="709"/>
      <c r="AK5" s="487" t="s">
        <v>128</v>
      </c>
      <c r="AL5" s="549"/>
      <c r="AM5" s="549" t="s">
        <v>325</v>
      </c>
      <c r="AN5" s="487" t="s">
        <v>72</v>
      </c>
      <c r="AO5" s="487" t="s">
        <v>348</v>
      </c>
      <c r="AP5" s="549" t="s">
        <v>345</v>
      </c>
      <c r="AQ5" s="549" t="s">
        <v>403</v>
      </c>
      <c r="AR5" s="488" t="s">
        <v>347</v>
      </c>
      <c r="AS5" s="710" t="s">
        <v>344</v>
      </c>
      <c r="AT5" s="710"/>
      <c r="AU5" s="710" t="s">
        <v>326</v>
      </c>
      <c r="AV5" s="711"/>
      <c r="AW5" s="710" t="str">
        <f>IF(LOWER(AU3)="yes","Dil. Stock Volume", "Stock Volume ")</f>
        <v xml:space="preserve">Stock Volume </v>
      </c>
      <c r="AX5" s="709"/>
      <c r="AY5" s="708" t="s">
        <v>327</v>
      </c>
      <c r="AZ5" s="709"/>
    </row>
    <row r="6" spans="1:52" x14ac:dyDescent="0.5">
      <c r="A6" s="486"/>
      <c r="B6" s="484" t="s">
        <v>28</v>
      </c>
      <c r="C6" s="428">
        <v>100</v>
      </c>
      <c r="D6" s="491" t="str">
        <f>IF(C6="","",D3)</f>
        <v>mM</v>
      </c>
      <c r="E6" s="489"/>
      <c r="F6" s="428">
        <v>1</v>
      </c>
      <c r="G6" s="515" t="s">
        <v>10</v>
      </c>
      <c r="H6" s="490"/>
      <c r="I6" s="595">
        <f t="shared" ref="I6:I20" si="0">IF(C6="","",IF(E6="",C6,C6*E6))</f>
        <v>100</v>
      </c>
      <c r="J6" s="596" t="str">
        <f t="shared" ref="J6:J20" si="1">IF(I6="","",D6)</f>
        <v>mM</v>
      </c>
      <c r="K6" s="597">
        <f>IF(C6="","",IF(F6="",0,F6)*IF(H6="",1,H6)*(1+G3))</f>
        <v>1.05</v>
      </c>
      <c r="L6" s="598" t="str">
        <f>IF(K6="","",G6)</f>
        <v>µL</v>
      </c>
      <c r="M6" s="599">
        <f>IF(I6="","",I6*K6/(IF(C4="",C3,C4)))</f>
        <v>0.105</v>
      </c>
      <c r="N6" s="600" t="str">
        <f t="shared" ref="N6:N20" si="2">IF(M6="","",L6)</f>
        <v>µL</v>
      </c>
      <c r="O6" s="601">
        <f t="shared" ref="O6:O20" si="3">IF(I6="","",K6-M6)</f>
        <v>0.94500000000000006</v>
      </c>
      <c r="P6" s="602" t="str">
        <f t="shared" ref="P6:P20" si="4">IF(O6="","",L6)</f>
        <v>µL</v>
      </c>
      <c r="Q6" s="502"/>
      <c r="R6" s="284"/>
      <c r="S6" s="486"/>
      <c r="T6" s="484" t="s">
        <v>28</v>
      </c>
      <c r="U6" s="428"/>
      <c r="V6" s="491" t="str">
        <f>IF(U6="","",V3)</f>
        <v/>
      </c>
      <c r="W6" s="552"/>
      <c r="X6" s="428"/>
      <c r="Y6" s="515"/>
      <c r="Z6" s="490"/>
      <c r="AA6" s="595" t="str">
        <f t="shared" ref="AA6:AA20" si="5">IF(U6="","",IF(W6="",U6,U6*W6))</f>
        <v/>
      </c>
      <c r="AB6" s="596" t="str">
        <f t="shared" ref="AB6:AB20" si="6">IF(AA6="","",V6)</f>
        <v/>
      </c>
      <c r="AC6" s="597" t="str">
        <f>IF(U6="","",IF(X6="",0,X6)*IF(Z6="",1,Z6)*(1+Y3))</f>
        <v/>
      </c>
      <c r="AD6" s="598" t="str">
        <f>IF(AC6="","",Y6)</f>
        <v/>
      </c>
      <c r="AE6" s="599" t="str">
        <f>IF(AA6="","",AA6*AC6/(IF(U4="",U3,U4)))</f>
        <v/>
      </c>
      <c r="AF6" s="600" t="str">
        <f t="shared" ref="AF6:AF20" si="7">IF(AE6="","",AD6)</f>
        <v/>
      </c>
      <c r="AG6" s="601" t="str">
        <f t="shared" ref="AG6:AG20" si="8">IF(AA6="","",AC6-AE6)</f>
        <v/>
      </c>
      <c r="AH6" s="602" t="str">
        <f t="shared" ref="AH6:AH20" si="9">IF(AG6="","",AD6)</f>
        <v/>
      </c>
      <c r="AK6" s="486"/>
      <c r="AL6" s="484" t="s">
        <v>28</v>
      </c>
      <c r="AM6" s="428"/>
      <c r="AN6" s="491" t="str">
        <f>IF(AM6="","",AN3)</f>
        <v/>
      </c>
      <c r="AO6" s="552"/>
      <c r="AP6" s="428"/>
      <c r="AQ6" s="515"/>
      <c r="AR6" s="490"/>
      <c r="AS6" s="595" t="str">
        <f t="shared" ref="AS6:AS20" si="10">IF(AM6="","",IF(AO6="",AM6,AM6*AO6))</f>
        <v/>
      </c>
      <c r="AT6" s="596" t="str">
        <f t="shared" ref="AT6:AT20" si="11">IF(AS6="","",AN6)</f>
        <v/>
      </c>
      <c r="AU6" s="597" t="str">
        <f>IF(AM6="","",IF(AP6="",0,AP6)*IF(AR6="",1,AR6)*(1+AQ3))</f>
        <v/>
      </c>
      <c r="AV6" s="598" t="str">
        <f>IF(AU6="","",AQ6)</f>
        <v/>
      </c>
      <c r="AW6" s="599" t="str">
        <f>IF(AS6="","",AS6*AU6/(IF(AM4="",AM3,AM4)))</f>
        <v/>
      </c>
      <c r="AX6" s="600" t="str">
        <f t="shared" ref="AX6:AX20" si="12">IF(AW6="","",AV6)</f>
        <v/>
      </c>
      <c r="AY6" s="601" t="str">
        <f t="shared" ref="AY6:AY20" si="13">IF(AS6="","",AU6-AW6)</f>
        <v/>
      </c>
      <c r="AZ6" s="602" t="str">
        <f t="shared" ref="AZ6:AZ20" si="14">IF(AY6="","",AV6)</f>
        <v/>
      </c>
    </row>
    <row r="7" spans="1:52" x14ac:dyDescent="0.5">
      <c r="A7" s="486"/>
      <c r="B7" s="484" t="s">
        <v>29</v>
      </c>
      <c r="C7" s="428">
        <v>50</v>
      </c>
      <c r="D7" s="491" t="str">
        <f>IF(C7="","",D3)</f>
        <v>mM</v>
      </c>
      <c r="E7" s="552"/>
      <c r="F7" s="428"/>
      <c r="G7" s="491" t="str">
        <f>IF(F7="","",G6)</f>
        <v/>
      </c>
      <c r="H7" s="490"/>
      <c r="I7" s="595">
        <f t="shared" si="0"/>
        <v>50</v>
      </c>
      <c r="J7" s="596" t="str">
        <f t="shared" si="1"/>
        <v>mM</v>
      </c>
      <c r="K7" s="597">
        <f>IF(C7="","",IF(F7="",0,F7)*IF(H7="",1,H7)*(1+G3))</f>
        <v>0</v>
      </c>
      <c r="L7" s="598" t="str">
        <f t="shared" ref="L7:L20" si="15">IF(K7="","",G7)</f>
        <v/>
      </c>
      <c r="M7" s="599">
        <f>IF(I7="","",I7*K7/(IF(C4="",C3,C4)))</f>
        <v>0</v>
      </c>
      <c r="N7" s="600" t="str">
        <f t="shared" si="2"/>
        <v/>
      </c>
      <c r="O7" s="601">
        <f t="shared" si="3"/>
        <v>0</v>
      </c>
      <c r="P7" s="602" t="str">
        <f t="shared" si="4"/>
        <v/>
      </c>
      <c r="Q7" s="502"/>
      <c r="R7" s="284"/>
      <c r="S7" s="486"/>
      <c r="T7" s="484" t="s">
        <v>29</v>
      </c>
      <c r="U7" s="428"/>
      <c r="V7" s="491" t="str">
        <f>IF(U7="","",V3)</f>
        <v/>
      </c>
      <c r="W7" s="552"/>
      <c r="X7" s="428"/>
      <c r="Y7" s="491" t="str">
        <f>IF(X7="","",Y6)</f>
        <v/>
      </c>
      <c r="Z7" s="490"/>
      <c r="AA7" s="595" t="str">
        <f t="shared" si="5"/>
        <v/>
      </c>
      <c r="AB7" s="596" t="str">
        <f t="shared" si="6"/>
        <v/>
      </c>
      <c r="AC7" s="597" t="str">
        <f>IF(U7="","",IF(X7="",0,X7)*IF(Z7="",1,Z7)*(1+Y3))</f>
        <v/>
      </c>
      <c r="AD7" s="598" t="str">
        <f t="shared" ref="AD7:AD20" si="16">IF(AC7="","",Y7)</f>
        <v/>
      </c>
      <c r="AE7" s="599" t="str">
        <f>IF(AA7="","",AA7*AC7/(IF(U4="",U3,U4)))</f>
        <v/>
      </c>
      <c r="AF7" s="600" t="str">
        <f t="shared" si="7"/>
        <v/>
      </c>
      <c r="AG7" s="601" t="str">
        <f t="shared" si="8"/>
        <v/>
      </c>
      <c r="AH7" s="602" t="str">
        <f t="shared" si="9"/>
        <v/>
      </c>
      <c r="AK7" s="486"/>
      <c r="AL7" s="484" t="s">
        <v>29</v>
      </c>
      <c r="AM7" s="428"/>
      <c r="AN7" s="491" t="str">
        <f>IF(AM7="","",AN3)</f>
        <v/>
      </c>
      <c r="AO7" s="552"/>
      <c r="AP7" s="428"/>
      <c r="AQ7" s="491" t="str">
        <f>IF(AP7="","",AQ6)</f>
        <v/>
      </c>
      <c r="AR7" s="490"/>
      <c r="AS7" s="595" t="str">
        <f t="shared" si="10"/>
        <v/>
      </c>
      <c r="AT7" s="596" t="str">
        <f t="shared" si="11"/>
        <v/>
      </c>
      <c r="AU7" s="597" t="str">
        <f>IF(AM7="","",IF(AP7="",0,AP7)*IF(AR7="",1,AR7)*(1+AQ3))</f>
        <v/>
      </c>
      <c r="AV7" s="598" t="str">
        <f t="shared" ref="AV7:AV20" si="17">IF(AU7="","",AQ7)</f>
        <v/>
      </c>
      <c r="AW7" s="599" t="str">
        <f>IF(AS7="","",AS7*AU7/(IF(AM4="",AM3,AM4)))</f>
        <v/>
      </c>
      <c r="AX7" s="600" t="str">
        <f t="shared" si="12"/>
        <v/>
      </c>
      <c r="AY7" s="601" t="str">
        <f t="shared" si="13"/>
        <v/>
      </c>
      <c r="AZ7" s="602" t="str">
        <f t="shared" si="14"/>
        <v/>
      </c>
    </row>
    <row r="8" spans="1:52" x14ac:dyDescent="0.5">
      <c r="A8" s="486"/>
      <c r="B8" s="484" t="s">
        <v>30</v>
      </c>
      <c r="C8" s="428"/>
      <c r="D8" s="491" t="str">
        <f>IF(C8="","",D3)</f>
        <v/>
      </c>
      <c r="E8" s="552"/>
      <c r="F8" s="428"/>
      <c r="G8" s="491" t="str">
        <f>IF(F8="","",G6)</f>
        <v/>
      </c>
      <c r="H8" s="490"/>
      <c r="I8" s="595" t="str">
        <f t="shared" si="0"/>
        <v/>
      </c>
      <c r="J8" s="596" t="str">
        <f t="shared" si="1"/>
        <v/>
      </c>
      <c r="K8" s="597" t="str">
        <f>IF(C8="","",IF(F8="",0,F8)*IF(H8="",1,H8)*(1+G3))</f>
        <v/>
      </c>
      <c r="L8" s="598" t="str">
        <f t="shared" si="15"/>
        <v/>
      </c>
      <c r="M8" s="599" t="str">
        <f>IF(I8="","",I8*K8/(IF(C4="",C3,C4)))</f>
        <v/>
      </c>
      <c r="N8" s="600" t="str">
        <f t="shared" si="2"/>
        <v/>
      </c>
      <c r="O8" s="601" t="str">
        <f t="shared" si="3"/>
        <v/>
      </c>
      <c r="P8" s="602" t="str">
        <f t="shared" si="4"/>
        <v/>
      </c>
      <c r="Q8" s="502"/>
      <c r="R8" s="284"/>
      <c r="S8" s="486"/>
      <c r="T8" s="484" t="s">
        <v>30</v>
      </c>
      <c r="U8" s="428"/>
      <c r="V8" s="491" t="str">
        <f>IF(U8="","",V3)</f>
        <v/>
      </c>
      <c r="W8" s="552"/>
      <c r="X8" s="428"/>
      <c r="Y8" s="491" t="str">
        <f>IF(X8="","",Y6)</f>
        <v/>
      </c>
      <c r="Z8" s="490"/>
      <c r="AA8" s="595" t="str">
        <f t="shared" si="5"/>
        <v/>
      </c>
      <c r="AB8" s="596" t="str">
        <f t="shared" si="6"/>
        <v/>
      </c>
      <c r="AC8" s="597" t="str">
        <f>IF(U8="","",IF(X8="",0,X8)*IF(Z8="",1,Z8)*(1+Y3))</f>
        <v/>
      </c>
      <c r="AD8" s="598" t="str">
        <f t="shared" si="16"/>
        <v/>
      </c>
      <c r="AE8" s="599" t="str">
        <f>IF(AA8="","",AA8*AC8/(IF(U4="",U3,U4)))</f>
        <v/>
      </c>
      <c r="AF8" s="600" t="str">
        <f t="shared" si="7"/>
        <v/>
      </c>
      <c r="AG8" s="601" t="str">
        <f t="shared" si="8"/>
        <v/>
      </c>
      <c r="AH8" s="602" t="str">
        <f t="shared" si="9"/>
        <v/>
      </c>
      <c r="AK8" s="486"/>
      <c r="AL8" s="484" t="s">
        <v>30</v>
      </c>
      <c r="AM8" s="428"/>
      <c r="AN8" s="491" t="str">
        <f>IF(AM8="","",AN3)</f>
        <v/>
      </c>
      <c r="AO8" s="552"/>
      <c r="AP8" s="428"/>
      <c r="AQ8" s="491" t="str">
        <f>IF(AP8="","",AQ6)</f>
        <v/>
      </c>
      <c r="AR8" s="490"/>
      <c r="AS8" s="595" t="str">
        <f t="shared" si="10"/>
        <v/>
      </c>
      <c r="AT8" s="596" t="str">
        <f t="shared" si="11"/>
        <v/>
      </c>
      <c r="AU8" s="597" t="str">
        <f>IF(AM8="","",IF(AP8="",0,AP8)*IF(AR8="",1,AR8)*(1+AQ3))</f>
        <v/>
      </c>
      <c r="AV8" s="598" t="str">
        <f t="shared" si="17"/>
        <v/>
      </c>
      <c r="AW8" s="599" t="str">
        <f>IF(AS8="","",AS8*AU8/(IF(AM4="",AM3,AM4)))</f>
        <v/>
      </c>
      <c r="AX8" s="600" t="str">
        <f t="shared" si="12"/>
        <v/>
      </c>
      <c r="AY8" s="601" t="str">
        <f t="shared" si="13"/>
        <v/>
      </c>
      <c r="AZ8" s="602" t="str">
        <f t="shared" si="14"/>
        <v/>
      </c>
    </row>
    <row r="9" spans="1:52" x14ac:dyDescent="0.5">
      <c r="A9" s="486"/>
      <c r="B9" s="484" t="s">
        <v>31</v>
      </c>
      <c r="C9" s="428"/>
      <c r="D9" s="491" t="str">
        <f>IF(C9="","",D3)</f>
        <v/>
      </c>
      <c r="E9" s="552"/>
      <c r="F9" s="428"/>
      <c r="G9" s="491" t="str">
        <f>IF(F9="","",G6)</f>
        <v/>
      </c>
      <c r="H9" s="490"/>
      <c r="I9" s="595" t="str">
        <f t="shared" si="0"/>
        <v/>
      </c>
      <c r="J9" s="596" t="str">
        <f t="shared" si="1"/>
        <v/>
      </c>
      <c r="K9" s="597" t="str">
        <f>IF(C9="","",IF(F9="",0,F9)*IF(H9="",1,H9)*(1+G3))</f>
        <v/>
      </c>
      <c r="L9" s="598" t="str">
        <f t="shared" si="15"/>
        <v/>
      </c>
      <c r="M9" s="599" t="str">
        <f>IF(I9="","",I9*K9/(IF(C4="",C3,C4)))</f>
        <v/>
      </c>
      <c r="N9" s="600" t="str">
        <f t="shared" si="2"/>
        <v/>
      </c>
      <c r="O9" s="601" t="str">
        <f t="shared" si="3"/>
        <v/>
      </c>
      <c r="P9" s="602" t="str">
        <f t="shared" si="4"/>
        <v/>
      </c>
      <c r="Q9" s="502"/>
      <c r="R9" s="284"/>
      <c r="S9" s="486"/>
      <c r="T9" s="484" t="s">
        <v>31</v>
      </c>
      <c r="U9" s="428"/>
      <c r="V9" s="491" t="str">
        <f>IF(U9="","",V3)</f>
        <v/>
      </c>
      <c r="W9" s="552"/>
      <c r="X9" s="428"/>
      <c r="Y9" s="491" t="str">
        <f>IF(X9="","",Y6)</f>
        <v/>
      </c>
      <c r="Z9" s="490"/>
      <c r="AA9" s="595" t="str">
        <f t="shared" si="5"/>
        <v/>
      </c>
      <c r="AB9" s="596" t="str">
        <f t="shared" si="6"/>
        <v/>
      </c>
      <c r="AC9" s="597" t="str">
        <f>IF(U9="","",IF(X9="",0,X9)*IF(Z9="",1,Z9)*(1+Y3))</f>
        <v/>
      </c>
      <c r="AD9" s="598" t="str">
        <f t="shared" si="16"/>
        <v/>
      </c>
      <c r="AE9" s="599" t="str">
        <f>IF(AA9="","",AA9*AC9/(IF(U4="",U3,U4)))</f>
        <v/>
      </c>
      <c r="AF9" s="600" t="str">
        <f t="shared" si="7"/>
        <v/>
      </c>
      <c r="AG9" s="601" t="str">
        <f t="shared" si="8"/>
        <v/>
      </c>
      <c r="AH9" s="602" t="str">
        <f t="shared" si="9"/>
        <v/>
      </c>
      <c r="AK9" s="486"/>
      <c r="AL9" s="484" t="s">
        <v>31</v>
      </c>
      <c r="AM9" s="428"/>
      <c r="AN9" s="491" t="str">
        <f>IF(AM9="","",AN3)</f>
        <v/>
      </c>
      <c r="AO9" s="552"/>
      <c r="AP9" s="428"/>
      <c r="AQ9" s="491" t="str">
        <f>IF(AP9="","",AQ6)</f>
        <v/>
      </c>
      <c r="AR9" s="490"/>
      <c r="AS9" s="595" t="str">
        <f t="shared" si="10"/>
        <v/>
      </c>
      <c r="AT9" s="596" t="str">
        <f t="shared" si="11"/>
        <v/>
      </c>
      <c r="AU9" s="597" t="str">
        <f>IF(AM9="","",IF(AP9="",0,AP9)*IF(AR9="",1,AR9)*(1+AQ3))</f>
        <v/>
      </c>
      <c r="AV9" s="598" t="str">
        <f t="shared" si="17"/>
        <v/>
      </c>
      <c r="AW9" s="599" t="str">
        <f>IF(AS9="","",AS9*AU9/(IF(AM4="",AM3,AM4)))</f>
        <v/>
      </c>
      <c r="AX9" s="600" t="str">
        <f t="shared" si="12"/>
        <v/>
      </c>
      <c r="AY9" s="601" t="str">
        <f t="shared" si="13"/>
        <v/>
      </c>
      <c r="AZ9" s="602" t="str">
        <f t="shared" si="14"/>
        <v/>
      </c>
    </row>
    <row r="10" spans="1:52" x14ac:dyDescent="0.5">
      <c r="A10" s="486"/>
      <c r="B10" s="484" t="s">
        <v>32</v>
      </c>
      <c r="C10" s="428"/>
      <c r="D10" s="491" t="str">
        <f>IF(C10="","",D3)</f>
        <v/>
      </c>
      <c r="E10" s="552"/>
      <c r="F10" s="428"/>
      <c r="G10" s="491" t="str">
        <f>IF(F10="","",G6)</f>
        <v/>
      </c>
      <c r="H10" s="490"/>
      <c r="I10" s="595" t="str">
        <f t="shared" si="0"/>
        <v/>
      </c>
      <c r="J10" s="596" t="str">
        <f t="shared" si="1"/>
        <v/>
      </c>
      <c r="K10" s="597" t="str">
        <f>IF(C10="","",IF(F10="",0,F10)*IF(H10="",1,H10)*(1+G3))</f>
        <v/>
      </c>
      <c r="L10" s="598" t="str">
        <f t="shared" si="15"/>
        <v/>
      </c>
      <c r="M10" s="599" t="str">
        <f>IF(I10="","",I10*K10/(IF(C4="",C3,C4)))</f>
        <v/>
      </c>
      <c r="N10" s="600" t="str">
        <f t="shared" si="2"/>
        <v/>
      </c>
      <c r="O10" s="601" t="str">
        <f t="shared" si="3"/>
        <v/>
      </c>
      <c r="P10" s="602" t="str">
        <f t="shared" si="4"/>
        <v/>
      </c>
      <c r="Q10" s="502"/>
      <c r="R10" s="284"/>
      <c r="S10" s="486"/>
      <c r="T10" s="484" t="s">
        <v>32</v>
      </c>
      <c r="U10" s="428"/>
      <c r="V10" s="491" t="str">
        <f>IF(U10="","",V3)</f>
        <v/>
      </c>
      <c r="W10" s="552"/>
      <c r="X10" s="428"/>
      <c r="Y10" s="491" t="str">
        <f>IF(X10="","",Y6)</f>
        <v/>
      </c>
      <c r="Z10" s="490"/>
      <c r="AA10" s="595" t="str">
        <f t="shared" si="5"/>
        <v/>
      </c>
      <c r="AB10" s="596" t="str">
        <f t="shared" si="6"/>
        <v/>
      </c>
      <c r="AC10" s="597" t="str">
        <f>IF(U10="","",IF(X10="",0,X10)*IF(Z10="",1,Z10)*(1+Y3))</f>
        <v/>
      </c>
      <c r="AD10" s="598" t="str">
        <f t="shared" si="16"/>
        <v/>
      </c>
      <c r="AE10" s="599" t="str">
        <f>IF(AA10="","",AA10*AC10/(IF(U4="",U3,U4)))</f>
        <v/>
      </c>
      <c r="AF10" s="600" t="str">
        <f t="shared" si="7"/>
        <v/>
      </c>
      <c r="AG10" s="601" t="str">
        <f t="shared" si="8"/>
        <v/>
      </c>
      <c r="AH10" s="602" t="str">
        <f t="shared" si="9"/>
        <v/>
      </c>
      <c r="AK10" s="486"/>
      <c r="AL10" s="484" t="s">
        <v>32</v>
      </c>
      <c r="AM10" s="428"/>
      <c r="AN10" s="491" t="str">
        <f>IF(AM10="","",AN3)</f>
        <v/>
      </c>
      <c r="AO10" s="552"/>
      <c r="AP10" s="428"/>
      <c r="AQ10" s="491" t="str">
        <f>IF(AP10="","",AQ6)</f>
        <v/>
      </c>
      <c r="AR10" s="490"/>
      <c r="AS10" s="595" t="str">
        <f t="shared" si="10"/>
        <v/>
      </c>
      <c r="AT10" s="596" t="str">
        <f t="shared" si="11"/>
        <v/>
      </c>
      <c r="AU10" s="597" t="str">
        <f>IF(AM10="","",IF(AP10="",0,AP10)*IF(AR10="",1,AR10)*(1+AQ3))</f>
        <v/>
      </c>
      <c r="AV10" s="598" t="str">
        <f t="shared" si="17"/>
        <v/>
      </c>
      <c r="AW10" s="599" t="str">
        <f>IF(AS10="","",AS10*AU10/(IF(AM4="",AM3,AM4)))</f>
        <v/>
      </c>
      <c r="AX10" s="600" t="str">
        <f t="shared" si="12"/>
        <v/>
      </c>
      <c r="AY10" s="601" t="str">
        <f t="shared" si="13"/>
        <v/>
      </c>
      <c r="AZ10" s="602" t="str">
        <f t="shared" si="14"/>
        <v/>
      </c>
    </row>
    <row r="11" spans="1:52" x14ac:dyDescent="0.5">
      <c r="A11" s="486"/>
      <c r="B11" s="484" t="s">
        <v>33</v>
      </c>
      <c r="C11" s="428"/>
      <c r="D11" s="491" t="str">
        <f>IF(C11="","",D3)</f>
        <v/>
      </c>
      <c r="E11" s="552"/>
      <c r="F11" s="428"/>
      <c r="G11" s="491" t="str">
        <f>IF(F11="","",G6)</f>
        <v/>
      </c>
      <c r="H11" s="490"/>
      <c r="I11" s="595" t="str">
        <f t="shared" si="0"/>
        <v/>
      </c>
      <c r="J11" s="596" t="str">
        <f t="shared" si="1"/>
        <v/>
      </c>
      <c r="K11" s="597" t="str">
        <f>IF(C11="","",IF(F11="",0,F11)*IF(H11="",1,H11)*(1+G3))</f>
        <v/>
      </c>
      <c r="L11" s="598" t="str">
        <f t="shared" si="15"/>
        <v/>
      </c>
      <c r="M11" s="599" t="str">
        <f>IF(I11="","",I11*K11/(IF(C4="",C3,C4)))</f>
        <v/>
      </c>
      <c r="N11" s="600" t="str">
        <f t="shared" si="2"/>
        <v/>
      </c>
      <c r="O11" s="601" t="str">
        <f t="shared" si="3"/>
        <v/>
      </c>
      <c r="P11" s="602" t="str">
        <f t="shared" si="4"/>
        <v/>
      </c>
      <c r="Q11" s="284"/>
      <c r="R11" s="284"/>
      <c r="S11" s="486"/>
      <c r="T11" s="484" t="s">
        <v>33</v>
      </c>
      <c r="U11" s="428"/>
      <c r="V11" s="491" t="str">
        <f>IF(U11="","",V3)</f>
        <v/>
      </c>
      <c r="W11" s="552"/>
      <c r="X11" s="428"/>
      <c r="Y11" s="491" t="str">
        <f>IF(X11="","",Y6)</f>
        <v/>
      </c>
      <c r="Z11" s="490"/>
      <c r="AA11" s="595" t="str">
        <f t="shared" si="5"/>
        <v/>
      </c>
      <c r="AB11" s="596" t="str">
        <f t="shared" si="6"/>
        <v/>
      </c>
      <c r="AC11" s="597" t="str">
        <f>IF(U11="","",IF(X11="",0,X11)*IF(Z11="",1,Z11)*(1+Y3))</f>
        <v/>
      </c>
      <c r="AD11" s="598" t="str">
        <f t="shared" si="16"/>
        <v/>
      </c>
      <c r="AE11" s="599" t="str">
        <f>IF(AA11="","",AA11*AC11/(IF(U4="",U3,U4)))</f>
        <v/>
      </c>
      <c r="AF11" s="600" t="str">
        <f t="shared" si="7"/>
        <v/>
      </c>
      <c r="AG11" s="601" t="str">
        <f t="shared" si="8"/>
        <v/>
      </c>
      <c r="AH11" s="602" t="str">
        <f t="shared" si="9"/>
        <v/>
      </c>
      <c r="AK11" s="486"/>
      <c r="AL11" s="484" t="s">
        <v>33</v>
      </c>
      <c r="AM11" s="428"/>
      <c r="AN11" s="491" t="str">
        <f>IF(AM11="","",AN3)</f>
        <v/>
      </c>
      <c r="AO11" s="552"/>
      <c r="AP11" s="428"/>
      <c r="AQ11" s="491" t="str">
        <f>IF(AP11="","",AQ6)</f>
        <v/>
      </c>
      <c r="AR11" s="490"/>
      <c r="AS11" s="595" t="str">
        <f t="shared" si="10"/>
        <v/>
      </c>
      <c r="AT11" s="596" t="str">
        <f t="shared" si="11"/>
        <v/>
      </c>
      <c r="AU11" s="597" t="str">
        <f>IF(AM11="","",IF(AP11="",0,AP11)*IF(AR11="",1,AR11)*(1+AQ3))</f>
        <v/>
      </c>
      <c r="AV11" s="598" t="str">
        <f t="shared" si="17"/>
        <v/>
      </c>
      <c r="AW11" s="599" t="str">
        <f>IF(AS11="","",AS11*AU11/(IF(AM4="",AM3,AM4)))</f>
        <v/>
      </c>
      <c r="AX11" s="600" t="str">
        <f t="shared" si="12"/>
        <v/>
      </c>
      <c r="AY11" s="601" t="str">
        <f t="shared" si="13"/>
        <v/>
      </c>
      <c r="AZ11" s="602" t="str">
        <f t="shared" si="14"/>
        <v/>
      </c>
    </row>
    <row r="12" spans="1:52" x14ac:dyDescent="0.5">
      <c r="A12" s="486"/>
      <c r="B12" s="484" t="s">
        <v>34</v>
      </c>
      <c r="C12" s="428"/>
      <c r="D12" s="491" t="str">
        <f>IF(C12="","",D3)</f>
        <v/>
      </c>
      <c r="E12" s="489"/>
      <c r="F12" s="428"/>
      <c r="G12" s="491" t="str">
        <f>IF(F12="","",G6)</f>
        <v/>
      </c>
      <c r="H12" s="490"/>
      <c r="I12" s="595" t="str">
        <f t="shared" si="0"/>
        <v/>
      </c>
      <c r="J12" s="596" t="str">
        <f t="shared" si="1"/>
        <v/>
      </c>
      <c r="K12" s="597" t="str">
        <f>IF(C12="","",IF(F12="",0,F12)*IF(H12="",1,H12)*(1+G3))</f>
        <v/>
      </c>
      <c r="L12" s="598" t="str">
        <f t="shared" si="15"/>
        <v/>
      </c>
      <c r="M12" s="599" t="str">
        <f>IF(I12="","",I12*K12/(IF(C4="",C3,C4)))</f>
        <v/>
      </c>
      <c r="N12" s="600" t="str">
        <f t="shared" si="2"/>
        <v/>
      </c>
      <c r="O12" s="601" t="str">
        <f t="shared" si="3"/>
        <v/>
      </c>
      <c r="P12" s="602" t="str">
        <f t="shared" si="4"/>
        <v/>
      </c>
      <c r="Q12" s="284"/>
      <c r="R12" s="284"/>
      <c r="S12" s="486"/>
      <c r="T12" s="484" t="s">
        <v>34</v>
      </c>
      <c r="U12" s="428"/>
      <c r="V12" s="491" t="str">
        <f>IF(U12="","",V3)</f>
        <v/>
      </c>
      <c r="W12" s="552"/>
      <c r="X12" s="428"/>
      <c r="Y12" s="491" t="str">
        <f>IF(X12="","",Y6)</f>
        <v/>
      </c>
      <c r="Z12" s="490"/>
      <c r="AA12" s="595" t="str">
        <f t="shared" si="5"/>
        <v/>
      </c>
      <c r="AB12" s="596" t="str">
        <f t="shared" si="6"/>
        <v/>
      </c>
      <c r="AC12" s="597" t="str">
        <f>IF(U12="","",IF(X12="",0,X12)*IF(Z12="",1,Z12)*(1+Y3))</f>
        <v/>
      </c>
      <c r="AD12" s="598" t="str">
        <f t="shared" si="16"/>
        <v/>
      </c>
      <c r="AE12" s="599" t="str">
        <f>IF(AA12="","",AA12*AC12/(IF(U4="",U3,U4)))</f>
        <v/>
      </c>
      <c r="AF12" s="600" t="str">
        <f t="shared" si="7"/>
        <v/>
      </c>
      <c r="AG12" s="601" t="str">
        <f t="shared" si="8"/>
        <v/>
      </c>
      <c r="AH12" s="602" t="str">
        <f t="shared" si="9"/>
        <v/>
      </c>
      <c r="AK12" s="486"/>
      <c r="AL12" s="484" t="s">
        <v>34</v>
      </c>
      <c r="AM12" s="428"/>
      <c r="AN12" s="491" t="str">
        <f>IF(AM12="","",AN3)</f>
        <v/>
      </c>
      <c r="AO12" s="552"/>
      <c r="AP12" s="428"/>
      <c r="AQ12" s="491" t="str">
        <f>IF(AP12="","",AQ6)</f>
        <v/>
      </c>
      <c r="AR12" s="490"/>
      <c r="AS12" s="595" t="str">
        <f t="shared" si="10"/>
        <v/>
      </c>
      <c r="AT12" s="596" t="str">
        <f t="shared" si="11"/>
        <v/>
      </c>
      <c r="AU12" s="597" t="str">
        <f>IF(AM12="","",IF(AP12="",0,AP12)*IF(AR12="",1,AR12)*(1+AQ3))</f>
        <v/>
      </c>
      <c r="AV12" s="598" t="str">
        <f t="shared" si="17"/>
        <v/>
      </c>
      <c r="AW12" s="599" t="str">
        <f>IF(AS12="","",AS12*AU12/(IF(AM4="",AM3,AM4)))</f>
        <v/>
      </c>
      <c r="AX12" s="600" t="str">
        <f t="shared" si="12"/>
        <v/>
      </c>
      <c r="AY12" s="601" t="str">
        <f t="shared" si="13"/>
        <v/>
      </c>
      <c r="AZ12" s="602" t="str">
        <f t="shared" si="14"/>
        <v/>
      </c>
    </row>
    <row r="13" spans="1:52" x14ac:dyDescent="0.5">
      <c r="A13" s="486"/>
      <c r="B13" s="484" t="s">
        <v>35</v>
      </c>
      <c r="C13" s="428"/>
      <c r="D13" s="491" t="str">
        <f>IF(C13="","",D3)</f>
        <v/>
      </c>
      <c r="E13" s="489"/>
      <c r="F13" s="428"/>
      <c r="G13" s="491" t="str">
        <f>IF(F13="","",G6)</f>
        <v/>
      </c>
      <c r="H13" s="490"/>
      <c r="I13" s="595" t="str">
        <f t="shared" si="0"/>
        <v/>
      </c>
      <c r="J13" s="596" t="str">
        <f t="shared" si="1"/>
        <v/>
      </c>
      <c r="K13" s="597" t="str">
        <f>IF(C13="","",IF(F13="",0,F13)*IF(H13="",1,H13)*(1+G3))</f>
        <v/>
      </c>
      <c r="L13" s="598" t="str">
        <f t="shared" si="15"/>
        <v/>
      </c>
      <c r="M13" s="599" t="str">
        <f>IF(I13="","",I13*K13/(IF(C4="",C3,C4)))</f>
        <v/>
      </c>
      <c r="N13" s="600" t="str">
        <f t="shared" si="2"/>
        <v/>
      </c>
      <c r="O13" s="601" t="str">
        <f t="shared" si="3"/>
        <v/>
      </c>
      <c r="P13" s="602" t="str">
        <f t="shared" si="4"/>
        <v/>
      </c>
      <c r="Q13" s="284"/>
      <c r="R13" s="284"/>
      <c r="S13" s="486"/>
      <c r="T13" s="484" t="s">
        <v>35</v>
      </c>
      <c r="U13" s="428"/>
      <c r="V13" s="491" t="str">
        <f>IF(U13="","",V3)</f>
        <v/>
      </c>
      <c r="W13" s="552"/>
      <c r="X13" s="428"/>
      <c r="Y13" s="491" t="str">
        <f>IF(X13="","",Y6)</f>
        <v/>
      </c>
      <c r="Z13" s="490"/>
      <c r="AA13" s="595" t="str">
        <f t="shared" si="5"/>
        <v/>
      </c>
      <c r="AB13" s="596" t="str">
        <f t="shared" si="6"/>
        <v/>
      </c>
      <c r="AC13" s="597" t="str">
        <f>IF(U13="","",IF(X13="",0,X13)*IF(Z13="",1,Z13)*(1+Y3))</f>
        <v/>
      </c>
      <c r="AD13" s="598" t="str">
        <f t="shared" si="16"/>
        <v/>
      </c>
      <c r="AE13" s="599" t="str">
        <f>IF(AA13="","",AA13*AC13/(IF(U4="",U3,U4)))</f>
        <v/>
      </c>
      <c r="AF13" s="600" t="str">
        <f t="shared" si="7"/>
        <v/>
      </c>
      <c r="AG13" s="601" t="str">
        <f t="shared" si="8"/>
        <v/>
      </c>
      <c r="AH13" s="602" t="str">
        <f t="shared" si="9"/>
        <v/>
      </c>
      <c r="AK13" s="486"/>
      <c r="AL13" s="484" t="s">
        <v>35</v>
      </c>
      <c r="AM13" s="428"/>
      <c r="AN13" s="491" t="str">
        <f>IF(AM13="","",AN3)</f>
        <v/>
      </c>
      <c r="AO13" s="552"/>
      <c r="AP13" s="428"/>
      <c r="AQ13" s="491" t="str">
        <f>IF(AP13="","",AQ6)</f>
        <v/>
      </c>
      <c r="AR13" s="490"/>
      <c r="AS13" s="595" t="str">
        <f t="shared" si="10"/>
        <v/>
      </c>
      <c r="AT13" s="596" t="str">
        <f t="shared" si="11"/>
        <v/>
      </c>
      <c r="AU13" s="597" t="str">
        <f>IF(AM13="","",IF(AP13="",0,AP13)*IF(AR13="",1,AR13)*(1+AQ3))</f>
        <v/>
      </c>
      <c r="AV13" s="598" t="str">
        <f t="shared" si="17"/>
        <v/>
      </c>
      <c r="AW13" s="599" t="str">
        <f>IF(AS13="","",AS13*AU13/(IF(AM4="",AM3,AM4)))</f>
        <v/>
      </c>
      <c r="AX13" s="600" t="str">
        <f t="shared" si="12"/>
        <v/>
      </c>
      <c r="AY13" s="601" t="str">
        <f t="shared" si="13"/>
        <v/>
      </c>
      <c r="AZ13" s="602" t="str">
        <f t="shared" si="14"/>
        <v/>
      </c>
    </row>
    <row r="14" spans="1:52" x14ac:dyDescent="0.5">
      <c r="A14" s="486"/>
      <c r="B14" s="484" t="s">
        <v>36</v>
      </c>
      <c r="C14" s="428"/>
      <c r="D14" s="491" t="str">
        <f>IF(C14="","",D3)</f>
        <v/>
      </c>
      <c r="E14" s="489"/>
      <c r="F14" s="428"/>
      <c r="G14" s="491" t="str">
        <f>IF(F14="","",G6)</f>
        <v/>
      </c>
      <c r="H14" s="490"/>
      <c r="I14" s="595" t="str">
        <f t="shared" si="0"/>
        <v/>
      </c>
      <c r="J14" s="596" t="str">
        <f t="shared" si="1"/>
        <v/>
      </c>
      <c r="K14" s="597" t="str">
        <f>IF(C14="","",IF(F14="",0,F14)*IF(H14="",1,H14)*(1+G3))</f>
        <v/>
      </c>
      <c r="L14" s="598" t="str">
        <f t="shared" si="15"/>
        <v/>
      </c>
      <c r="M14" s="599" t="str">
        <f>IF(I14="","",I14*K14/(IF(C4="",C3,C4)))</f>
        <v/>
      </c>
      <c r="N14" s="600" t="str">
        <f t="shared" si="2"/>
        <v/>
      </c>
      <c r="O14" s="601" t="str">
        <f t="shared" si="3"/>
        <v/>
      </c>
      <c r="P14" s="602" t="str">
        <f t="shared" si="4"/>
        <v/>
      </c>
      <c r="Q14" s="284"/>
      <c r="R14" s="284"/>
      <c r="S14" s="486"/>
      <c r="T14" s="484" t="s">
        <v>36</v>
      </c>
      <c r="U14" s="428"/>
      <c r="V14" s="491" t="str">
        <f>IF(U14="","",V3)</f>
        <v/>
      </c>
      <c r="W14" s="552"/>
      <c r="X14" s="428"/>
      <c r="Y14" s="491" t="str">
        <f>IF(X14="","",Y6)</f>
        <v/>
      </c>
      <c r="Z14" s="490"/>
      <c r="AA14" s="595" t="str">
        <f t="shared" si="5"/>
        <v/>
      </c>
      <c r="AB14" s="596" t="str">
        <f t="shared" si="6"/>
        <v/>
      </c>
      <c r="AC14" s="597" t="str">
        <f>IF(U14="","",IF(X14="",0,X14)*IF(Z14="",1,Z14)*(1+Y3))</f>
        <v/>
      </c>
      <c r="AD14" s="598" t="str">
        <f t="shared" si="16"/>
        <v/>
      </c>
      <c r="AE14" s="599" t="str">
        <f>IF(AA14="","",AA14*AC14/(IF(U4="",U3,U4)))</f>
        <v/>
      </c>
      <c r="AF14" s="600" t="str">
        <f t="shared" si="7"/>
        <v/>
      </c>
      <c r="AG14" s="601" t="str">
        <f t="shared" si="8"/>
        <v/>
      </c>
      <c r="AH14" s="602" t="str">
        <f t="shared" si="9"/>
        <v/>
      </c>
      <c r="AK14" s="486"/>
      <c r="AL14" s="484" t="s">
        <v>36</v>
      </c>
      <c r="AM14" s="428"/>
      <c r="AN14" s="491" t="str">
        <f>IF(AM14="","",AN3)</f>
        <v/>
      </c>
      <c r="AO14" s="552"/>
      <c r="AP14" s="428"/>
      <c r="AQ14" s="491" t="str">
        <f>IF(AP14="","",AQ6)</f>
        <v/>
      </c>
      <c r="AR14" s="490"/>
      <c r="AS14" s="595" t="str">
        <f t="shared" si="10"/>
        <v/>
      </c>
      <c r="AT14" s="596" t="str">
        <f t="shared" si="11"/>
        <v/>
      </c>
      <c r="AU14" s="597" t="str">
        <f>IF(AM14="","",IF(AP14="",0,AP14)*IF(AR14="",1,AR14)*(1+AQ3))</f>
        <v/>
      </c>
      <c r="AV14" s="598" t="str">
        <f t="shared" si="17"/>
        <v/>
      </c>
      <c r="AW14" s="599" t="str">
        <f>IF(AS14="","",AS14*AU14/(IF(AM4="",AM3,AM4)))</f>
        <v/>
      </c>
      <c r="AX14" s="600" t="str">
        <f t="shared" si="12"/>
        <v/>
      </c>
      <c r="AY14" s="601" t="str">
        <f t="shared" si="13"/>
        <v/>
      </c>
      <c r="AZ14" s="602" t="str">
        <f t="shared" si="14"/>
        <v/>
      </c>
    </row>
    <row r="15" spans="1:52" x14ac:dyDescent="0.5">
      <c r="A15" s="486"/>
      <c r="B15" s="484" t="s">
        <v>37</v>
      </c>
      <c r="C15" s="428"/>
      <c r="D15" s="491" t="str">
        <f>IF(C15="","",D3)</f>
        <v/>
      </c>
      <c r="E15" s="489"/>
      <c r="F15" s="428"/>
      <c r="G15" s="491" t="str">
        <f>IF(F15="","",G6)</f>
        <v/>
      </c>
      <c r="H15" s="490"/>
      <c r="I15" s="595" t="str">
        <f t="shared" si="0"/>
        <v/>
      </c>
      <c r="J15" s="596" t="str">
        <f t="shared" si="1"/>
        <v/>
      </c>
      <c r="K15" s="597" t="str">
        <f>IF(C15="","",IF(F15="",0,F15)*IF(H15="",1,H15)*(1+G3))</f>
        <v/>
      </c>
      <c r="L15" s="598" t="str">
        <f t="shared" si="15"/>
        <v/>
      </c>
      <c r="M15" s="599" t="str">
        <f>IF(I15="","",I15*K15/(IF(C4="",C3,C4)))</f>
        <v/>
      </c>
      <c r="N15" s="600" t="str">
        <f t="shared" si="2"/>
        <v/>
      </c>
      <c r="O15" s="601" t="str">
        <f t="shared" si="3"/>
        <v/>
      </c>
      <c r="P15" s="602" t="str">
        <f t="shared" si="4"/>
        <v/>
      </c>
      <c r="Q15" s="284"/>
      <c r="R15" s="284"/>
      <c r="S15" s="486"/>
      <c r="T15" s="484" t="s">
        <v>37</v>
      </c>
      <c r="U15" s="428"/>
      <c r="V15" s="491" t="str">
        <f>IF(U15="","",V3)</f>
        <v/>
      </c>
      <c r="W15" s="552"/>
      <c r="X15" s="428"/>
      <c r="Y15" s="491" t="str">
        <f>IF(X15="","",Y6)</f>
        <v/>
      </c>
      <c r="Z15" s="490"/>
      <c r="AA15" s="595" t="str">
        <f t="shared" si="5"/>
        <v/>
      </c>
      <c r="AB15" s="596" t="str">
        <f t="shared" si="6"/>
        <v/>
      </c>
      <c r="AC15" s="597" t="str">
        <f>IF(U15="","",IF(X15="",0,X15)*IF(Z15="",1,Z15)*(1+Y3))</f>
        <v/>
      </c>
      <c r="AD15" s="598" t="str">
        <f t="shared" si="16"/>
        <v/>
      </c>
      <c r="AE15" s="599" t="str">
        <f>IF(AA15="","",AA15*AC15/(IF(U4="",U3,U4)))</f>
        <v/>
      </c>
      <c r="AF15" s="600" t="str">
        <f t="shared" si="7"/>
        <v/>
      </c>
      <c r="AG15" s="601" t="str">
        <f t="shared" si="8"/>
        <v/>
      </c>
      <c r="AH15" s="602" t="str">
        <f t="shared" si="9"/>
        <v/>
      </c>
      <c r="AK15" s="486"/>
      <c r="AL15" s="484" t="s">
        <v>37</v>
      </c>
      <c r="AM15" s="428"/>
      <c r="AN15" s="491" t="str">
        <f>IF(AM15="","",AN3)</f>
        <v/>
      </c>
      <c r="AO15" s="552"/>
      <c r="AP15" s="428"/>
      <c r="AQ15" s="491" t="str">
        <f>IF(AP15="","",AQ6)</f>
        <v/>
      </c>
      <c r="AR15" s="490"/>
      <c r="AS15" s="595" t="str">
        <f t="shared" si="10"/>
        <v/>
      </c>
      <c r="AT15" s="596" t="str">
        <f t="shared" si="11"/>
        <v/>
      </c>
      <c r="AU15" s="597" t="str">
        <f>IF(AM15="","",IF(AP15="",0,AP15)*IF(AR15="",1,AR15)*(1+AQ3))</f>
        <v/>
      </c>
      <c r="AV15" s="598" t="str">
        <f t="shared" si="17"/>
        <v/>
      </c>
      <c r="AW15" s="599" t="str">
        <f>IF(AS15="","",AS15*AU15/(IF(AM4="",AM3,AM4)))</f>
        <v/>
      </c>
      <c r="AX15" s="600" t="str">
        <f t="shared" si="12"/>
        <v/>
      </c>
      <c r="AY15" s="601" t="str">
        <f t="shared" si="13"/>
        <v/>
      </c>
      <c r="AZ15" s="602" t="str">
        <f t="shared" si="14"/>
        <v/>
      </c>
    </row>
    <row r="16" spans="1:52" x14ac:dyDescent="0.5">
      <c r="A16" s="486"/>
      <c r="B16" s="484" t="s">
        <v>41</v>
      </c>
      <c r="C16" s="428"/>
      <c r="D16" s="491" t="str">
        <f>IF(C16="","",D3)</f>
        <v/>
      </c>
      <c r="E16" s="489"/>
      <c r="F16" s="428"/>
      <c r="G16" s="491" t="str">
        <f>IF(F16="","",G6)</f>
        <v/>
      </c>
      <c r="H16" s="490"/>
      <c r="I16" s="595" t="str">
        <f t="shared" si="0"/>
        <v/>
      </c>
      <c r="J16" s="596" t="str">
        <f t="shared" si="1"/>
        <v/>
      </c>
      <c r="K16" s="597" t="str">
        <f>IF(C16="","",IF(F16="",0,F16)*IF(H16="",1,H16)*(1+G3))</f>
        <v/>
      </c>
      <c r="L16" s="598" t="str">
        <f t="shared" si="15"/>
        <v/>
      </c>
      <c r="M16" s="599" t="str">
        <f>IF(I16="","",I16*K16/(IF(C4="",C3,C4)))</f>
        <v/>
      </c>
      <c r="N16" s="600" t="str">
        <f t="shared" si="2"/>
        <v/>
      </c>
      <c r="O16" s="601" t="str">
        <f t="shared" si="3"/>
        <v/>
      </c>
      <c r="P16" s="602" t="str">
        <f t="shared" si="4"/>
        <v/>
      </c>
      <c r="Q16" s="284"/>
      <c r="R16" s="284"/>
      <c r="S16" s="486"/>
      <c r="T16" s="484" t="s">
        <v>41</v>
      </c>
      <c r="U16" s="428"/>
      <c r="V16" s="491" t="str">
        <f>IF(U16="","",V3)</f>
        <v/>
      </c>
      <c r="W16" s="552"/>
      <c r="X16" s="428"/>
      <c r="Y16" s="491" t="str">
        <f>IF(X16="","",Y6)</f>
        <v/>
      </c>
      <c r="Z16" s="490"/>
      <c r="AA16" s="595" t="str">
        <f t="shared" si="5"/>
        <v/>
      </c>
      <c r="AB16" s="596" t="str">
        <f t="shared" si="6"/>
        <v/>
      </c>
      <c r="AC16" s="597" t="str">
        <f>IF(U16="","",IF(X16="",0,X16)*IF(Z16="",1,Z16)*(1+Y3))</f>
        <v/>
      </c>
      <c r="AD16" s="598" t="str">
        <f t="shared" si="16"/>
        <v/>
      </c>
      <c r="AE16" s="599" t="str">
        <f>IF(AA16="","",AA16*AC16/(IF(U4="",U3,U4)))</f>
        <v/>
      </c>
      <c r="AF16" s="600" t="str">
        <f t="shared" si="7"/>
        <v/>
      </c>
      <c r="AG16" s="601" t="str">
        <f t="shared" si="8"/>
        <v/>
      </c>
      <c r="AH16" s="602" t="str">
        <f t="shared" si="9"/>
        <v/>
      </c>
      <c r="AK16" s="486"/>
      <c r="AL16" s="484" t="s">
        <v>41</v>
      </c>
      <c r="AM16" s="428"/>
      <c r="AN16" s="491" t="str">
        <f>IF(AM16="","",AN3)</f>
        <v/>
      </c>
      <c r="AO16" s="552"/>
      <c r="AP16" s="428"/>
      <c r="AQ16" s="491" t="str">
        <f>IF(AP16="","",AQ6)</f>
        <v/>
      </c>
      <c r="AR16" s="490"/>
      <c r="AS16" s="595" t="str">
        <f t="shared" si="10"/>
        <v/>
      </c>
      <c r="AT16" s="596" t="str">
        <f t="shared" si="11"/>
        <v/>
      </c>
      <c r="AU16" s="597" t="str">
        <f>IF(AM16="","",IF(AP16="",0,AP16)*IF(AR16="",1,AR16)*(1+AQ3))</f>
        <v/>
      </c>
      <c r="AV16" s="598" t="str">
        <f t="shared" si="17"/>
        <v/>
      </c>
      <c r="AW16" s="599" t="str">
        <f>IF(AS16="","",AS16*AU16/(IF(AM4="",AM3,AM4)))</f>
        <v/>
      </c>
      <c r="AX16" s="600" t="str">
        <f t="shared" si="12"/>
        <v/>
      </c>
      <c r="AY16" s="601" t="str">
        <f t="shared" si="13"/>
        <v/>
      </c>
      <c r="AZ16" s="602" t="str">
        <f t="shared" si="14"/>
        <v/>
      </c>
    </row>
    <row r="17" spans="1:52" x14ac:dyDescent="0.5">
      <c r="A17" s="486"/>
      <c r="B17" s="484" t="s">
        <v>42</v>
      </c>
      <c r="C17" s="428"/>
      <c r="D17" s="491" t="str">
        <f>IF(C17="","",D3)</f>
        <v/>
      </c>
      <c r="E17" s="489"/>
      <c r="F17" s="428"/>
      <c r="G17" s="491" t="str">
        <f>IF(F17="","",G6)</f>
        <v/>
      </c>
      <c r="H17" s="490"/>
      <c r="I17" s="595" t="str">
        <f t="shared" si="0"/>
        <v/>
      </c>
      <c r="J17" s="596" t="str">
        <f t="shared" si="1"/>
        <v/>
      </c>
      <c r="K17" s="597" t="str">
        <f>IF(C17="","",IF(F17="",0,F17)*IF(H17="",1,H17)*(1+G3))</f>
        <v/>
      </c>
      <c r="L17" s="598" t="str">
        <f t="shared" si="15"/>
        <v/>
      </c>
      <c r="M17" s="599" t="str">
        <f>IF(I17="","",I17*K17/(IF(C4="",C3,C4)))</f>
        <v/>
      </c>
      <c r="N17" s="600" t="str">
        <f t="shared" si="2"/>
        <v/>
      </c>
      <c r="O17" s="601" t="str">
        <f t="shared" si="3"/>
        <v/>
      </c>
      <c r="P17" s="602" t="str">
        <f t="shared" si="4"/>
        <v/>
      </c>
      <c r="Q17" s="284"/>
      <c r="R17" s="284"/>
      <c r="S17" s="486"/>
      <c r="T17" s="484" t="s">
        <v>42</v>
      </c>
      <c r="U17" s="428"/>
      <c r="V17" s="491" t="str">
        <f>IF(U17="","",V3)</f>
        <v/>
      </c>
      <c r="W17" s="552"/>
      <c r="X17" s="428"/>
      <c r="Y17" s="491" t="str">
        <f>IF(X17="","",Y6)</f>
        <v/>
      </c>
      <c r="Z17" s="490"/>
      <c r="AA17" s="595" t="str">
        <f t="shared" si="5"/>
        <v/>
      </c>
      <c r="AB17" s="596" t="str">
        <f t="shared" si="6"/>
        <v/>
      </c>
      <c r="AC17" s="597" t="str">
        <f>IF(U17="","",IF(X17="",0,X17)*IF(Z17="",1,Z17)*(1+Y3))</f>
        <v/>
      </c>
      <c r="AD17" s="598" t="str">
        <f t="shared" si="16"/>
        <v/>
      </c>
      <c r="AE17" s="599" t="str">
        <f>IF(AA17="","",AA17*AC17/(IF(U4="",U3,U4)))</f>
        <v/>
      </c>
      <c r="AF17" s="600" t="str">
        <f t="shared" si="7"/>
        <v/>
      </c>
      <c r="AG17" s="601" t="str">
        <f t="shared" si="8"/>
        <v/>
      </c>
      <c r="AH17" s="602" t="str">
        <f t="shared" si="9"/>
        <v/>
      </c>
      <c r="AK17" s="486"/>
      <c r="AL17" s="484" t="s">
        <v>42</v>
      </c>
      <c r="AM17" s="428"/>
      <c r="AN17" s="491" t="str">
        <f>IF(AM17="","",AN3)</f>
        <v/>
      </c>
      <c r="AO17" s="552"/>
      <c r="AP17" s="428"/>
      <c r="AQ17" s="491" t="str">
        <f>IF(AP17="","",AQ6)</f>
        <v/>
      </c>
      <c r="AR17" s="490"/>
      <c r="AS17" s="595" t="str">
        <f t="shared" si="10"/>
        <v/>
      </c>
      <c r="AT17" s="596" t="str">
        <f t="shared" si="11"/>
        <v/>
      </c>
      <c r="AU17" s="597" t="str">
        <f>IF(AM17="","",IF(AP17="",0,AP17)*IF(AR17="",1,AR17)*(1+AQ3))</f>
        <v/>
      </c>
      <c r="AV17" s="598" t="str">
        <f t="shared" si="17"/>
        <v/>
      </c>
      <c r="AW17" s="599" t="str">
        <f>IF(AS17="","",AS17*AU17/(IF(AM4="",AM3,AM4)))</f>
        <v/>
      </c>
      <c r="AX17" s="600" t="str">
        <f t="shared" si="12"/>
        <v/>
      </c>
      <c r="AY17" s="601" t="str">
        <f t="shared" si="13"/>
        <v/>
      </c>
      <c r="AZ17" s="602" t="str">
        <f t="shared" si="14"/>
        <v/>
      </c>
    </row>
    <row r="18" spans="1:52" x14ac:dyDescent="0.5">
      <c r="A18" s="486"/>
      <c r="B18" s="484" t="s">
        <v>43</v>
      </c>
      <c r="C18" s="428"/>
      <c r="D18" s="491" t="str">
        <f>IF(C18="","",D3)</f>
        <v/>
      </c>
      <c r="E18" s="489"/>
      <c r="F18" s="428"/>
      <c r="G18" s="491" t="str">
        <f>IF(F18="","",G6)</f>
        <v/>
      </c>
      <c r="H18" s="490"/>
      <c r="I18" s="595" t="str">
        <f t="shared" si="0"/>
        <v/>
      </c>
      <c r="J18" s="596" t="str">
        <f t="shared" si="1"/>
        <v/>
      </c>
      <c r="K18" s="597" t="str">
        <f>IF(C18="","",IF(F18="",0,F18)*IF(H18="",1,H18)*(1+G3))</f>
        <v/>
      </c>
      <c r="L18" s="598" t="str">
        <f t="shared" si="15"/>
        <v/>
      </c>
      <c r="M18" s="599" t="str">
        <f>IF(I18="","",I18*K18/(IF(C4="",C3,C4)))</f>
        <v/>
      </c>
      <c r="N18" s="600" t="str">
        <f t="shared" si="2"/>
        <v/>
      </c>
      <c r="O18" s="601" t="str">
        <f t="shared" si="3"/>
        <v/>
      </c>
      <c r="P18" s="602" t="str">
        <f t="shared" si="4"/>
        <v/>
      </c>
      <c r="Q18" s="284"/>
      <c r="R18" s="284"/>
      <c r="S18" s="486"/>
      <c r="T18" s="484" t="s">
        <v>43</v>
      </c>
      <c r="U18" s="428"/>
      <c r="V18" s="491" t="str">
        <f>IF(U18="","",V3)</f>
        <v/>
      </c>
      <c r="W18" s="552"/>
      <c r="X18" s="428"/>
      <c r="Y18" s="491" t="str">
        <f>IF(X18="","",Y6)</f>
        <v/>
      </c>
      <c r="Z18" s="490"/>
      <c r="AA18" s="595" t="str">
        <f t="shared" si="5"/>
        <v/>
      </c>
      <c r="AB18" s="596" t="str">
        <f t="shared" si="6"/>
        <v/>
      </c>
      <c r="AC18" s="597" t="str">
        <f>IF(U18="","",IF(X18="",0,X18)*IF(Z18="",1,Z18)*(1+Y3))</f>
        <v/>
      </c>
      <c r="AD18" s="598" t="str">
        <f t="shared" si="16"/>
        <v/>
      </c>
      <c r="AE18" s="599" t="str">
        <f>IF(AA18="","",AA18*AC18/(IF(U4="",U3,U4)))</f>
        <v/>
      </c>
      <c r="AF18" s="600" t="str">
        <f t="shared" si="7"/>
        <v/>
      </c>
      <c r="AG18" s="601" t="str">
        <f t="shared" si="8"/>
        <v/>
      </c>
      <c r="AH18" s="602" t="str">
        <f t="shared" si="9"/>
        <v/>
      </c>
      <c r="AK18" s="486"/>
      <c r="AL18" s="484" t="s">
        <v>43</v>
      </c>
      <c r="AM18" s="428"/>
      <c r="AN18" s="491" t="str">
        <f>IF(AM18="","",AN3)</f>
        <v/>
      </c>
      <c r="AO18" s="552"/>
      <c r="AP18" s="428"/>
      <c r="AQ18" s="491" t="str">
        <f>IF(AP18="","",AQ6)</f>
        <v/>
      </c>
      <c r="AR18" s="490"/>
      <c r="AS18" s="595" t="str">
        <f t="shared" si="10"/>
        <v/>
      </c>
      <c r="AT18" s="596" t="str">
        <f t="shared" si="11"/>
        <v/>
      </c>
      <c r="AU18" s="597" t="str">
        <f>IF(AM18="","",IF(AP18="",0,AP18)*IF(AR18="",1,AR18)*(1+AQ3))</f>
        <v/>
      </c>
      <c r="AV18" s="598" t="str">
        <f t="shared" si="17"/>
        <v/>
      </c>
      <c r="AW18" s="599" t="str">
        <f>IF(AS18="","",AS18*AU18/(IF(AM4="",AM3,AM4)))</f>
        <v/>
      </c>
      <c r="AX18" s="600" t="str">
        <f t="shared" si="12"/>
        <v/>
      </c>
      <c r="AY18" s="601" t="str">
        <f t="shared" si="13"/>
        <v/>
      </c>
      <c r="AZ18" s="602" t="str">
        <f t="shared" si="14"/>
        <v/>
      </c>
    </row>
    <row r="19" spans="1:52" x14ac:dyDescent="0.5">
      <c r="A19" s="486"/>
      <c r="B19" s="484" t="s">
        <v>44</v>
      </c>
      <c r="C19" s="428"/>
      <c r="D19" s="491" t="str">
        <f>IF(C19="","",D3)</f>
        <v/>
      </c>
      <c r="E19" s="489"/>
      <c r="F19" s="428"/>
      <c r="G19" s="491" t="str">
        <f>IF(F19="","",G6)</f>
        <v/>
      </c>
      <c r="H19" s="490"/>
      <c r="I19" s="595" t="str">
        <f t="shared" si="0"/>
        <v/>
      </c>
      <c r="J19" s="596" t="str">
        <f t="shared" si="1"/>
        <v/>
      </c>
      <c r="K19" s="597" t="str">
        <f>IF(C19="","",IF(F19="",0,F19)*IF(H19="",1,H19)*(1+G3))</f>
        <v/>
      </c>
      <c r="L19" s="598" t="str">
        <f t="shared" si="15"/>
        <v/>
      </c>
      <c r="M19" s="599" t="str">
        <f>IF(I19="","",I19*K19/(IF(C4="",C3,C4)))</f>
        <v/>
      </c>
      <c r="N19" s="600" t="str">
        <f t="shared" si="2"/>
        <v/>
      </c>
      <c r="O19" s="601" t="str">
        <f t="shared" si="3"/>
        <v/>
      </c>
      <c r="P19" s="602" t="str">
        <f t="shared" si="4"/>
        <v/>
      </c>
      <c r="Q19" s="284"/>
      <c r="R19" s="284"/>
      <c r="S19" s="486"/>
      <c r="T19" s="484" t="s">
        <v>44</v>
      </c>
      <c r="U19" s="428"/>
      <c r="V19" s="491" t="str">
        <f>IF(U19="","",V3)</f>
        <v/>
      </c>
      <c r="W19" s="552"/>
      <c r="X19" s="428"/>
      <c r="Y19" s="491" t="str">
        <f>IF(X19="","",Y6)</f>
        <v/>
      </c>
      <c r="Z19" s="490"/>
      <c r="AA19" s="595" t="str">
        <f t="shared" si="5"/>
        <v/>
      </c>
      <c r="AB19" s="596" t="str">
        <f t="shared" si="6"/>
        <v/>
      </c>
      <c r="AC19" s="597" t="str">
        <f>IF(U19="","",IF(X19="",0,X19)*IF(Z19="",1,Z19)*(1+Y3))</f>
        <v/>
      </c>
      <c r="AD19" s="598" t="str">
        <f t="shared" si="16"/>
        <v/>
      </c>
      <c r="AE19" s="599" t="str">
        <f>IF(AA19="","",AA19*AC19/(IF(U4="",U3,U4)))</f>
        <v/>
      </c>
      <c r="AF19" s="600" t="str">
        <f t="shared" si="7"/>
        <v/>
      </c>
      <c r="AG19" s="601" t="str">
        <f t="shared" si="8"/>
        <v/>
      </c>
      <c r="AH19" s="602" t="str">
        <f t="shared" si="9"/>
        <v/>
      </c>
      <c r="AK19" s="486"/>
      <c r="AL19" s="484" t="s">
        <v>44</v>
      </c>
      <c r="AM19" s="428"/>
      <c r="AN19" s="491" t="str">
        <f>IF(AM19="","",AN3)</f>
        <v/>
      </c>
      <c r="AO19" s="552"/>
      <c r="AP19" s="428"/>
      <c r="AQ19" s="491" t="str">
        <f>IF(AP19="","",AQ6)</f>
        <v/>
      </c>
      <c r="AR19" s="490"/>
      <c r="AS19" s="595" t="str">
        <f t="shared" si="10"/>
        <v/>
      </c>
      <c r="AT19" s="596" t="str">
        <f t="shared" si="11"/>
        <v/>
      </c>
      <c r="AU19" s="597" t="str">
        <f>IF(AM19="","",IF(AP19="",0,AP19)*IF(AR19="",1,AR19)*(1+AQ3))</f>
        <v/>
      </c>
      <c r="AV19" s="598" t="str">
        <f t="shared" si="17"/>
        <v/>
      </c>
      <c r="AW19" s="599" t="str">
        <f>IF(AS19="","",AS19*AU19/(IF(AM4="",AM3,AM4)))</f>
        <v/>
      </c>
      <c r="AX19" s="600" t="str">
        <f t="shared" si="12"/>
        <v/>
      </c>
      <c r="AY19" s="601" t="str">
        <f t="shared" si="13"/>
        <v/>
      </c>
      <c r="AZ19" s="602" t="str">
        <f t="shared" si="14"/>
        <v/>
      </c>
    </row>
    <row r="20" spans="1:52" x14ac:dyDescent="0.5">
      <c r="A20" s="486"/>
      <c r="B20" s="484" t="s">
        <v>45</v>
      </c>
      <c r="C20" s="428"/>
      <c r="D20" s="491" t="str">
        <f>IF(C20="","",D3)</f>
        <v/>
      </c>
      <c r="E20" s="489"/>
      <c r="F20" s="428"/>
      <c r="G20" s="491" t="str">
        <f>IF(F20="","",G6)</f>
        <v/>
      </c>
      <c r="H20" s="490"/>
      <c r="I20" s="595" t="str">
        <f t="shared" si="0"/>
        <v/>
      </c>
      <c r="J20" s="596" t="str">
        <f t="shared" si="1"/>
        <v/>
      </c>
      <c r="K20" s="597" t="str">
        <f>IF(C20="","",IF(F20="",0,F20)*IF(H20="",1,H20)*(1+G3))</f>
        <v/>
      </c>
      <c r="L20" s="598" t="str">
        <f t="shared" si="15"/>
        <v/>
      </c>
      <c r="M20" s="599" t="str">
        <f>IF(I20="","",I20*K20/(IF(C4="",C3,C4)))</f>
        <v/>
      </c>
      <c r="N20" s="600" t="str">
        <f t="shared" si="2"/>
        <v/>
      </c>
      <c r="O20" s="601" t="str">
        <f t="shared" si="3"/>
        <v/>
      </c>
      <c r="P20" s="602" t="str">
        <f t="shared" si="4"/>
        <v/>
      </c>
      <c r="Q20" s="284"/>
      <c r="R20" s="284"/>
      <c r="S20" s="486"/>
      <c r="T20" s="484" t="s">
        <v>45</v>
      </c>
      <c r="U20" s="428"/>
      <c r="V20" s="491" t="str">
        <f>IF(U20="","",V3)</f>
        <v/>
      </c>
      <c r="W20" s="552"/>
      <c r="X20" s="428"/>
      <c r="Y20" s="491" t="str">
        <f>IF(X20="","",Y6)</f>
        <v/>
      </c>
      <c r="Z20" s="490"/>
      <c r="AA20" s="595" t="str">
        <f t="shared" si="5"/>
        <v/>
      </c>
      <c r="AB20" s="596" t="str">
        <f t="shared" si="6"/>
        <v/>
      </c>
      <c r="AC20" s="597" t="str">
        <f>IF(U20="","",IF(X20="",0,X20)*IF(Z20="",1,Z20)*(1+Y3))</f>
        <v/>
      </c>
      <c r="AD20" s="598" t="str">
        <f t="shared" si="16"/>
        <v/>
      </c>
      <c r="AE20" s="599" t="str">
        <f>IF(AA20="","",AA20*AC20/(IF(U4="",U3,U4)))</f>
        <v/>
      </c>
      <c r="AF20" s="600" t="str">
        <f t="shared" si="7"/>
        <v/>
      </c>
      <c r="AG20" s="601" t="str">
        <f t="shared" si="8"/>
        <v/>
      </c>
      <c r="AH20" s="602" t="str">
        <f t="shared" si="9"/>
        <v/>
      </c>
      <c r="AK20" s="486"/>
      <c r="AL20" s="484" t="s">
        <v>45</v>
      </c>
      <c r="AM20" s="428"/>
      <c r="AN20" s="491" t="str">
        <f>IF(AM20="","",AN3)</f>
        <v/>
      </c>
      <c r="AO20" s="552"/>
      <c r="AP20" s="428"/>
      <c r="AQ20" s="491" t="str">
        <f>IF(AP20="","",AQ6)</f>
        <v/>
      </c>
      <c r="AR20" s="490"/>
      <c r="AS20" s="595" t="str">
        <f t="shared" si="10"/>
        <v/>
      </c>
      <c r="AT20" s="596" t="str">
        <f t="shared" si="11"/>
        <v/>
      </c>
      <c r="AU20" s="597" t="str">
        <f>IF(AM20="","",IF(AP20="",0,AP20)*IF(AR20="",1,AR20)*(1+AQ3))</f>
        <v/>
      </c>
      <c r="AV20" s="598" t="str">
        <f t="shared" si="17"/>
        <v/>
      </c>
      <c r="AW20" s="599" t="str">
        <f>IF(AS20="","",AS20*AU20/(IF(AM4="",AM3,AM4)))</f>
        <v/>
      </c>
      <c r="AX20" s="600" t="str">
        <f t="shared" si="12"/>
        <v/>
      </c>
      <c r="AY20" s="601" t="str">
        <f t="shared" si="13"/>
        <v/>
      </c>
      <c r="AZ20" s="602" t="str">
        <f t="shared" si="14"/>
        <v/>
      </c>
    </row>
    <row r="21" spans="1:52" x14ac:dyDescent="0.5">
      <c r="A21" s="284"/>
      <c r="B21" s="284"/>
      <c r="C21" s="284"/>
      <c r="D21" s="284"/>
      <c r="E21" s="284"/>
      <c r="F21" s="284"/>
      <c r="G21" s="492"/>
      <c r="H21" s="284"/>
      <c r="I21" s="284"/>
      <c r="J21" s="284"/>
      <c r="K21" s="712" t="s">
        <v>328</v>
      </c>
      <c r="L21" s="712"/>
      <c r="M21" s="712"/>
      <c r="N21" s="713"/>
      <c r="O21" s="603">
        <f>SUM(O4:O20)</f>
        <v>0.94500000000000006</v>
      </c>
      <c r="P21" s="604" t="str">
        <f>IF(O21="","",G6)</f>
        <v>µL</v>
      </c>
      <c r="R21" s="551"/>
      <c r="S21" s="551"/>
      <c r="T21" s="551"/>
      <c r="U21" s="551"/>
      <c r="V21" s="551"/>
      <c r="W21" s="551"/>
      <c r="X21" s="551"/>
      <c r="Y21" s="492"/>
      <c r="Z21" s="551"/>
      <c r="AA21" s="551"/>
      <c r="AB21" s="551"/>
      <c r="AC21" s="712" t="s">
        <v>328</v>
      </c>
      <c r="AD21" s="712"/>
      <c r="AE21" s="712"/>
      <c r="AF21" s="713"/>
      <c r="AG21" s="603">
        <f>SUM(AG4:AG20)</f>
        <v>0</v>
      </c>
      <c r="AH21" s="604">
        <f>IF(AG21="","",Y6)</f>
        <v>0</v>
      </c>
      <c r="AK21" s="551"/>
      <c r="AL21" s="551"/>
      <c r="AM21" s="551"/>
      <c r="AN21" s="551"/>
      <c r="AO21" s="551"/>
      <c r="AP21" s="551"/>
      <c r="AQ21" s="492"/>
      <c r="AR21" s="551"/>
      <c r="AS21" s="551"/>
      <c r="AT21" s="551"/>
      <c r="AU21" s="712" t="s">
        <v>328</v>
      </c>
      <c r="AV21" s="712"/>
      <c r="AW21" s="712"/>
      <c r="AX21" s="713"/>
      <c r="AY21" s="603">
        <f>SUM(AY4:AY20)</f>
        <v>0</v>
      </c>
      <c r="AZ21" s="604">
        <f>IF(AY21="","",AQ6)</f>
        <v>0</v>
      </c>
    </row>
    <row r="22" spans="1:52" x14ac:dyDescent="0.5">
      <c r="A22" s="284"/>
      <c r="B22" s="284"/>
      <c r="C22" s="284"/>
      <c r="D22" s="284"/>
      <c r="E22" s="284"/>
      <c r="F22" s="284"/>
      <c r="G22" s="492"/>
      <c r="H22" s="284"/>
      <c r="I22" s="714" t="s">
        <v>330</v>
      </c>
      <c r="J22" s="714"/>
      <c r="K22" s="714"/>
      <c r="L22" s="714"/>
      <c r="M22" s="599">
        <f>IF(K4="",SUM(M6:M20),K4)</f>
        <v>0.105</v>
      </c>
      <c r="N22" s="600" t="str">
        <f>IF(M22="","",G6)</f>
        <v>µL</v>
      </c>
      <c r="O22" s="284"/>
      <c r="P22" s="284"/>
      <c r="R22" s="503"/>
      <c r="S22" s="551"/>
      <c r="T22" s="551"/>
      <c r="U22" s="551"/>
      <c r="V22" s="551"/>
      <c r="W22" s="551"/>
      <c r="X22" s="551"/>
      <c r="Y22" s="492"/>
      <c r="Z22" s="551"/>
      <c r="AA22" s="714" t="s">
        <v>330</v>
      </c>
      <c r="AB22" s="714"/>
      <c r="AC22" s="714"/>
      <c r="AD22" s="714"/>
      <c r="AE22" s="599">
        <f>IF(AC4="",SUM(AE6:AE20),AC4)</f>
        <v>0</v>
      </c>
      <c r="AF22" s="600">
        <f>IF(AE22="","",Y6)</f>
        <v>0</v>
      </c>
      <c r="AG22" s="551"/>
      <c r="AH22" s="551"/>
      <c r="AK22" s="551"/>
      <c r="AL22" s="551"/>
      <c r="AM22" s="551"/>
      <c r="AN22" s="551"/>
      <c r="AO22" s="551"/>
      <c r="AP22" s="551"/>
      <c r="AQ22" s="492"/>
      <c r="AR22" s="551"/>
      <c r="AS22" s="714" t="s">
        <v>330</v>
      </c>
      <c r="AT22" s="714"/>
      <c r="AU22" s="714"/>
      <c r="AV22" s="714"/>
      <c r="AW22" s="599">
        <f>IF(AU4="",SUM(AW6:AW20),AU4)</f>
        <v>0</v>
      </c>
      <c r="AX22" s="600">
        <f>IF(AW22="","",AQ6)</f>
        <v>0</v>
      </c>
      <c r="AY22" s="551"/>
      <c r="AZ22" s="551"/>
    </row>
    <row r="23" spans="1:52" x14ac:dyDescent="0.5">
      <c r="A23" s="284"/>
      <c r="B23" s="284"/>
      <c r="C23" s="284"/>
      <c r="D23" s="284"/>
      <c r="E23" s="284"/>
      <c r="F23" s="284"/>
      <c r="G23" s="492"/>
      <c r="H23" s="284"/>
      <c r="I23" s="284"/>
      <c r="J23" s="284"/>
      <c r="K23" s="284"/>
      <c r="L23" s="284"/>
      <c r="M23" s="284"/>
      <c r="N23" s="284"/>
      <c r="O23" s="284"/>
      <c r="P23" s="284"/>
    </row>
    <row r="24" spans="1:52" x14ac:dyDescent="0.5">
      <c r="A24" s="284"/>
      <c r="B24" s="284"/>
      <c r="C24" s="284"/>
      <c r="D24" s="284"/>
      <c r="E24" s="284"/>
      <c r="F24" s="284"/>
      <c r="G24" s="492"/>
      <c r="H24" s="284"/>
      <c r="I24" s="284"/>
      <c r="J24" s="284"/>
      <c r="K24" s="284"/>
      <c r="L24" s="284"/>
      <c r="M24" s="284"/>
      <c r="N24" s="284"/>
      <c r="O24" s="284"/>
      <c r="P24" s="284"/>
    </row>
    <row r="25" spans="1:52" x14ac:dyDescent="0.5">
      <c r="A25" s="156"/>
      <c r="B25" s="18"/>
      <c r="G25" s="339"/>
      <c r="R25" s="339"/>
    </row>
    <row r="26" spans="1:52" ht="132.35" customHeight="1" x14ac:dyDescent="0.5">
      <c r="A26" s="734" t="s">
        <v>404</v>
      </c>
      <c r="B26" s="734"/>
      <c r="C26" s="734"/>
      <c r="D26" s="734"/>
      <c r="E26" s="734"/>
      <c r="F26" s="734"/>
      <c r="G26" s="734"/>
      <c r="H26" s="734"/>
      <c r="I26" s="734"/>
      <c r="J26" s="734"/>
      <c r="K26" s="734"/>
      <c r="L26" s="734"/>
      <c r="M26" s="734"/>
      <c r="N26" s="734"/>
      <c r="O26" s="734"/>
      <c r="P26" s="734"/>
    </row>
    <row r="27" spans="1:52" ht="14.45" customHeight="1" x14ac:dyDescent="0.5">
      <c r="A27" s="715" t="s">
        <v>343</v>
      </c>
      <c r="B27" s="715"/>
      <c r="C27" s="716" t="s">
        <v>405</v>
      </c>
      <c r="D27" s="716"/>
      <c r="E27" s="716"/>
      <c r="F27" s="716"/>
      <c r="G27" s="716"/>
      <c r="H27" s="716"/>
      <c r="I27" s="716"/>
      <c r="J27" s="716"/>
      <c r="K27" s="716"/>
      <c r="L27" s="716"/>
      <c r="M27" s="716"/>
      <c r="N27" s="716"/>
      <c r="O27" s="716"/>
      <c r="P27" s="717"/>
      <c r="R27" s="550"/>
    </row>
    <row r="28" spans="1:52" x14ac:dyDescent="0.5">
      <c r="A28" s="715" t="s">
        <v>329</v>
      </c>
      <c r="B28" s="718"/>
      <c r="C28" s="580">
        <v>10</v>
      </c>
      <c r="D28" s="363" t="s">
        <v>17</v>
      </c>
      <c r="E28" s="521" t="s">
        <v>346</v>
      </c>
      <c r="F28" s="581" t="s">
        <v>115</v>
      </c>
      <c r="G28" s="582">
        <v>0.05</v>
      </c>
      <c r="H28" s="550"/>
      <c r="I28" s="719" t="s">
        <v>324</v>
      </c>
      <c r="J28" s="720"/>
      <c r="K28" s="20" t="s">
        <v>241</v>
      </c>
      <c r="L28" s="583"/>
      <c r="M28" s="721" t="s">
        <v>396</v>
      </c>
      <c r="N28" s="722"/>
      <c r="O28" s="721" t="s">
        <v>397</v>
      </c>
      <c r="P28" s="722"/>
    </row>
    <row r="29" spans="1:52" x14ac:dyDescent="0.5">
      <c r="A29" s="723" t="s">
        <v>338</v>
      </c>
      <c r="B29" s="724"/>
      <c r="C29" s="584">
        <f>IF(LOWER(K28)="yes",I31,"")</f>
        <v>4</v>
      </c>
      <c r="D29" s="584" t="str">
        <f>IF(C29="","",D31)</f>
        <v>mM</v>
      </c>
      <c r="E29" s="725"/>
      <c r="F29" s="726"/>
      <c r="G29" s="726"/>
      <c r="H29" s="727"/>
      <c r="I29" s="595">
        <f>IF(LOWER(K28)="yes",C29,"")</f>
        <v>4</v>
      </c>
      <c r="J29" s="602" t="str">
        <f>IF(LOWER(K28)="yes",D29,"")</f>
        <v>mM</v>
      </c>
      <c r="K29" s="613">
        <f>IF(LOWER(K28)="yes",SUM(M31:M45)*(1+G28),"")</f>
        <v>489.51</v>
      </c>
      <c r="L29" s="614" t="str">
        <f>IF(LOWER(K28)="yes",G31,"")</f>
        <v>µL</v>
      </c>
      <c r="M29" s="615">
        <f>IF(K29="","",I29*K29/C28)</f>
        <v>195.804</v>
      </c>
      <c r="N29" s="616" t="str">
        <f>IF(M29="","",L29)</f>
        <v>µL</v>
      </c>
      <c r="O29" s="617">
        <f>IF(K29="","",K29-M29)</f>
        <v>293.70600000000002</v>
      </c>
      <c r="P29" s="618" t="str">
        <f>IF(L29="","",L29)</f>
        <v>µL</v>
      </c>
    </row>
    <row r="30" spans="1:52" ht="44.7" x14ac:dyDescent="0.5">
      <c r="A30" s="485" t="s">
        <v>128</v>
      </c>
      <c r="B30" s="485"/>
      <c r="C30" s="282" t="s">
        <v>325</v>
      </c>
      <c r="D30" s="487" t="s">
        <v>72</v>
      </c>
      <c r="E30" s="294" t="s">
        <v>398</v>
      </c>
      <c r="F30" s="281" t="s">
        <v>169</v>
      </c>
      <c r="G30" s="549" t="s">
        <v>403</v>
      </c>
      <c r="H30" s="585" t="s">
        <v>399</v>
      </c>
      <c r="I30" s="735" t="s">
        <v>400</v>
      </c>
      <c r="J30" s="736"/>
      <c r="K30" s="737" t="s">
        <v>326</v>
      </c>
      <c r="L30" s="738"/>
      <c r="M30" s="739" t="str">
        <f>IF(LOWER(K28)="yes","Dil. Stock Volume", "Stock Volume ")</f>
        <v>Dil. Stock Volume</v>
      </c>
      <c r="N30" s="709"/>
      <c r="O30" s="737" t="s">
        <v>327</v>
      </c>
      <c r="P30" s="740"/>
    </row>
    <row r="31" spans="1:52" x14ac:dyDescent="0.5">
      <c r="A31" s="483"/>
      <c r="B31" s="484" t="s">
        <v>28</v>
      </c>
      <c r="C31" s="586">
        <v>2</v>
      </c>
      <c r="D31" s="587" t="str">
        <f t="shared" ref="D31:D45" si="18">IF(C31="","",$D$3)</f>
        <v>mM</v>
      </c>
      <c r="E31" s="588">
        <v>2</v>
      </c>
      <c r="F31" s="423">
        <v>150</v>
      </c>
      <c r="G31" s="422" t="s">
        <v>10</v>
      </c>
      <c r="H31" s="589">
        <v>2</v>
      </c>
      <c r="I31" s="595">
        <f t="shared" ref="I31:I45" si="19">IF(C31="","",IF(E31="",C31,C31*E31))</f>
        <v>4</v>
      </c>
      <c r="J31" s="596" t="str">
        <f t="shared" ref="J31:J45" si="20">IF(I31="","",D31)</f>
        <v>mM</v>
      </c>
      <c r="K31" s="609">
        <f>IF(F31="","",F31*IF(H31="",1,H31)*(1+G28))</f>
        <v>315</v>
      </c>
      <c r="L31" s="610" t="str">
        <f>IF(K31="","",G31)</f>
        <v>µL</v>
      </c>
      <c r="M31" s="599">
        <f>IF(I31="","",I31*K31/(IF(C29="",C28,C29)))</f>
        <v>315</v>
      </c>
      <c r="N31" s="600" t="str">
        <f t="shared" ref="N31:N45" si="21">IF(M31="","",L31)</f>
        <v>µL</v>
      </c>
      <c r="O31" s="611">
        <f t="shared" ref="O31:O45" si="22">IF(I31="","",K31-M31)</f>
        <v>0</v>
      </c>
      <c r="P31" s="612" t="str">
        <f t="shared" ref="P31:P45" si="23">IF(O31="","",L31)</f>
        <v>µL</v>
      </c>
    </row>
    <row r="32" spans="1:52" x14ac:dyDescent="0.5">
      <c r="A32" s="483"/>
      <c r="B32" s="484" t="s">
        <v>29</v>
      </c>
      <c r="C32" s="586">
        <v>0.5</v>
      </c>
      <c r="D32" s="587" t="str">
        <f t="shared" si="18"/>
        <v>mM</v>
      </c>
      <c r="E32" s="588">
        <v>2</v>
      </c>
      <c r="F32" s="423">
        <v>150</v>
      </c>
      <c r="G32" s="590" t="str">
        <f>IF(F32="","",G31)</f>
        <v>µL</v>
      </c>
      <c r="H32" s="589">
        <v>3</v>
      </c>
      <c r="I32" s="595">
        <f t="shared" si="19"/>
        <v>1</v>
      </c>
      <c r="J32" s="596" t="str">
        <f t="shared" si="20"/>
        <v>mM</v>
      </c>
      <c r="K32" s="609">
        <f>IF(F32="","",F32*IF(H32="",1,H32)*(1+G28))</f>
        <v>472.5</v>
      </c>
      <c r="L32" s="610" t="str">
        <f t="shared" ref="L32:L45" si="24">IF(K32="","",G32)</f>
        <v>µL</v>
      </c>
      <c r="M32" s="599">
        <f>IF(I32="","",I32*K32/(IF(C29="",C28,C29)))</f>
        <v>118.125</v>
      </c>
      <c r="N32" s="600" t="str">
        <f t="shared" si="21"/>
        <v>µL</v>
      </c>
      <c r="O32" s="611">
        <f t="shared" si="22"/>
        <v>354.375</v>
      </c>
      <c r="P32" s="612" t="str">
        <f t="shared" si="23"/>
        <v>µL</v>
      </c>
    </row>
    <row r="33" spans="1:16" x14ac:dyDescent="0.5">
      <c r="A33" s="483"/>
      <c r="B33" s="484" t="s">
        <v>30</v>
      </c>
      <c r="C33" s="586">
        <v>0.1</v>
      </c>
      <c r="D33" s="587" t="str">
        <f t="shared" si="18"/>
        <v>mM</v>
      </c>
      <c r="E33" s="588">
        <v>2</v>
      </c>
      <c r="F33" s="423">
        <v>150</v>
      </c>
      <c r="G33" s="590" t="str">
        <f>IF(F33="","",G31)</f>
        <v>µL</v>
      </c>
      <c r="H33" s="589">
        <v>3</v>
      </c>
      <c r="I33" s="595">
        <f t="shared" si="19"/>
        <v>0.2</v>
      </c>
      <c r="J33" s="596" t="str">
        <f t="shared" si="20"/>
        <v>mM</v>
      </c>
      <c r="K33" s="609">
        <f>IF(F33="","",F33*IF(H33="",1,H33)*(1+G28))</f>
        <v>472.5</v>
      </c>
      <c r="L33" s="610" t="str">
        <f t="shared" si="24"/>
        <v>µL</v>
      </c>
      <c r="M33" s="599">
        <f>IF(I33="","",I33*K33/(IF(C29="",C28,C29)))</f>
        <v>23.625</v>
      </c>
      <c r="N33" s="600" t="str">
        <f t="shared" si="21"/>
        <v>µL</v>
      </c>
      <c r="O33" s="611">
        <f t="shared" si="22"/>
        <v>448.875</v>
      </c>
      <c r="P33" s="612" t="str">
        <f t="shared" si="23"/>
        <v>µL</v>
      </c>
    </row>
    <row r="34" spans="1:16" x14ac:dyDescent="0.5">
      <c r="A34" s="483"/>
      <c r="B34" s="484" t="s">
        <v>31</v>
      </c>
      <c r="C34" s="586">
        <v>0.05</v>
      </c>
      <c r="D34" s="587" t="str">
        <f t="shared" si="18"/>
        <v>mM</v>
      </c>
      <c r="E34" s="588">
        <v>2</v>
      </c>
      <c r="F34" s="423">
        <v>150</v>
      </c>
      <c r="G34" s="590" t="str">
        <f>IF(F34="","",G31)</f>
        <v>µL</v>
      </c>
      <c r="H34" s="589">
        <v>2</v>
      </c>
      <c r="I34" s="595">
        <f t="shared" si="19"/>
        <v>0.1</v>
      </c>
      <c r="J34" s="596" t="str">
        <f t="shared" si="20"/>
        <v>mM</v>
      </c>
      <c r="K34" s="609">
        <f>IF(F34="","",F34*IF(H34="",1,H34)*(1+G28))</f>
        <v>315</v>
      </c>
      <c r="L34" s="610" t="str">
        <f t="shared" si="24"/>
        <v>µL</v>
      </c>
      <c r="M34" s="599">
        <f>IF(I34="","",I34*K34/(IF(C29="",C28,C29)))</f>
        <v>7.875</v>
      </c>
      <c r="N34" s="600" t="str">
        <f t="shared" si="21"/>
        <v>µL</v>
      </c>
      <c r="O34" s="611">
        <f t="shared" si="22"/>
        <v>307.125</v>
      </c>
      <c r="P34" s="612" t="str">
        <f t="shared" si="23"/>
        <v>µL</v>
      </c>
    </row>
    <row r="35" spans="1:16" x14ac:dyDescent="0.5">
      <c r="A35" s="483"/>
      <c r="B35" s="484" t="s">
        <v>32</v>
      </c>
      <c r="C35" s="586">
        <v>0.01</v>
      </c>
      <c r="D35" s="587" t="str">
        <f t="shared" si="18"/>
        <v>mM</v>
      </c>
      <c r="E35" s="588">
        <v>2</v>
      </c>
      <c r="F35" s="423">
        <v>150</v>
      </c>
      <c r="G35" s="590" t="str">
        <f>IF(F35="","",G31)</f>
        <v>µL</v>
      </c>
      <c r="H35" s="589">
        <v>2</v>
      </c>
      <c r="I35" s="595">
        <f t="shared" si="19"/>
        <v>0.02</v>
      </c>
      <c r="J35" s="596" t="str">
        <f t="shared" si="20"/>
        <v>mM</v>
      </c>
      <c r="K35" s="609">
        <f>IF(F35="","",F35*IF(H35="",1,H35)*(1+G28))</f>
        <v>315</v>
      </c>
      <c r="L35" s="610" t="str">
        <f t="shared" si="24"/>
        <v>µL</v>
      </c>
      <c r="M35" s="599">
        <f>IF(I35="","",I35*K35/(IF(C29="",C28,C29)))</f>
        <v>1.575</v>
      </c>
      <c r="N35" s="600" t="str">
        <f t="shared" si="21"/>
        <v>µL</v>
      </c>
      <c r="O35" s="611">
        <f t="shared" si="22"/>
        <v>313.42500000000001</v>
      </c>
      <c r="P35" s="612" t="str">
        <f t="shared" si="23"/>
        <v>µL</v>
      </c>
    </row>
    <row r="36" spans="1:16" x14ac:dyDescent="0.5">
      <c r="A36" s="483"/>
      <c r="B36" s="484" t="s">
        <v>33</v>
      </c>
      <c r="C36" s="586">
        <v>0</v>
      </c>
      <c r="D36" s="587" t="str">
        <f t="shared" si="18"/>
        <v>mM</v>
      </c>
      <c r="E36" s="588">
        <v>2</v>
      </c>
      <c r="F36" s="423">
        <v>150</v>
      </c>
      <c r="G36" s="590" t="str">
        <f>IF(F36="","",G31)</f>
        <v>µL</v>
      </c>
      <c r="H36" s="589">
        <v>2</v>
      </c>
      <c r="I36" s="595">
        <f t="shared" si="19"/>
        <v>0</v>
      </c>
      <c r="J36" s="596" t="str">
        <f t="shared" si="20"/>
        <v>mM</v>
      </c>
      <c r="K36" s="609">
        <f>IF(F36="","",F36*IF(H36="",1,H36)*(1+G28))</f>
        <v>315</v>
      </c>
      <c r="L36" s="610" t="str">
        <f t="shared" si="24"/>
        <v>µL</v>
      </c>
      <c r="M36" s="599">
        <f>IF(I36="","",I36*K36/(IF(C29="",C28,C29)))</f>
        <v>0</v>
      </c>
      <c r="N36" s="600" t="str">
        <f t="shared" si="21"/>
        <v>µL</v>
      </c>
      <c r="O36" s="611">
        <f t="shared" si="22"/>
        <v>315</v>
      </c>
      <c r="P36" s="612" t="str">
        <f t="shared" si="23"/>
        <v>µL</v>
      </c>
    </row>
    <row r="37" spans="1:16" x14ac:dyDescent="0.5">
      <c r="A37" s="483"/>
      <c r="B37" s="484" t="s">
        <v>34</v>
      </c>
      <c r="C37" s="426"/>
      <c r="D37" s="591" t="str">
        <f t="shared" si="18"/>
        <v/>
      </c>
      <c r="E37" s="486"/>
      <c r="F37" s="423"/>
      <c r="G37" s="518" t="str">
        <f>IF(F37="","",G31)</f>
        <v/>
      </c>
      <c r="H37" s="490"/>
      <c r="I37" s="595" t="str">
        <f t="shared" si="19"/>
        <v/>
      </c>
      <c r="J37" s="596" t="str">
        <f t="shared" si="20"/>
        <v/>
      </c>
      <c r="K37" s="597" t="str">
        <f>IF(F37="","",F37*IF(H37="",1,H37)*(1+G28))</f>
        <v/>
      </c>
      <c r="L37" s="598" t="str">
        <f t="shared" si="24"/>
        <v/>
      </c>
      <c r="M37" s="599" t="str">
        <f>IF(I37="","",I37*K37/(IF(C29="",C28,C29)))</f>
        <v/>
      </c>
      <c r="N37" s="600" t="str">
        <f t="shared" si="21"/>
        <v/>
      </c>
      <c r="O37" s="601" t="str">
        <f t="shared" si="22"/>
        <v/>
      </c>
      <c r="P37" s="602" t="str">
        <f t="shared" si="23"/>
        <v/>
      </c>
    </row>
    <row r="38" spans="1:16" x14ac:dyDescent="0.5">
      <c r="A38" s="483"/>
      <c r="B38" s="484" t="s">
        <v>35</v>
      </c>
      <c r="C38" s="424"/>
      <c r="D38" s="591" t="str">
        <f t="shared" si="18"/>
        <v/>
      </c>
      <c r="E38" s="486"/>
      <c r="F38" s="424"/>
      <c r="G38" s="518" t="str">
        <f>IF(F38="","",G31)</f>
        <v/>
      </c>
      <c r="H38" s="490"/>
      <c r="I38" s="595" t="str">
        <f t="shared" si="19"/>
        <v/>
      </c>
      <c r="J38" s="596" t="str">
        <f t="shared" si="20"/>
        <v/>
      </c>
      <c r="K38" s="597" t="str">
        <f>IF(F38="","",F38*IF(H38="",1,H38)*(1+G28))</f>
        <v/>
      </c>
      <c r="L38" s="598" t="str">
        <f t="shared" si="24"/>
        <v/>
      </c>
      <c r="M38" s="599" t="str">
        <f>IF(I38="","",I38*K38/(IF(C29="",C28,C29)))</f>
        <v/>
      </c>
      <c r="N38" s="600" t="str">
        <f t="shared" si="21"/>
        <v/>
      </c>
      <c r="O38" s="601" t="str">
        <f t="shared" si="22"/>
        <v/>
      </c>
      <c r="P38" s="602" t="str">
        <f t="shared" si="23"/>
        <v/>
      </c>
    </row>
    <row r="39" spans="1:16" x14ac:dyDescent="0.5">
      <c r="A39" s="483"/>
      <c r="B39" s="484" t="s">
        <v>36</v>
      </c>
      <c r="C39" s="424"/>
      <c r="D39" s="591" t="str">
        <f t="shared" si="18"/>
        <v/>
      </c>
      <c r="E39" s="486"/>
      <c r="F39" s="424"/>
      <c r="G39" s="518" t="str">
        <f>IF(F39="","",G31)</f>
        <v/>
      </c>
      <c r="H39" s="592"/>
      <c r="I39" s="595" t="str">
        <f t="shared" si="19"/>
        <v/>
      </c>
      <c r="J39" s="596" t="str">
        <f t="shared" si="20"/>
        <v/>
      </c>
      <c r="K39" s="597" t="str">
        <f>IF(F39="","",F39*IF(H39="",1,H39)*(1+G28))</f>
        <v/>
      </c>
      <c r="L39" s="598" t="str">
        <f t="shared" si="24"/>
        <v/>
      </c>
      <c r="M39" s="599" t="str">
        <f>IF(I39="","",I39*K39/(IF(C29="",C28,C29)))</f>
        <v/>
      </c>
      <c r="N39" s="600" t="str">
        <f t="shared" si="21"/>
        <v/>
      </c>
      <c r="O39" s="601" t="str">
        <f t="shared" si="22"/>
        <v/>
      </c>
      <c r="P39" s="602" t="str">
        <f t="shared" si="23"/>
        <v/>
      </c>
    </row>
    <row r="40" spans="1:16" x14ac:dyDescent="0.5">
      <c r="A40" s="483"/>
      <c r="B40" s="484" t="s">
        <v>37</v>
      </c>
      <c r="C40" s="424"/>
      <c r="D40" s="591" t="str">
        <f t="shared" si="18"/>
        <v/>
      </c>
      <c r="E40" s="486"/>
      <c r="F40" s="424"/>
      <c r="G40" s="518" t="str">
        <f>IF(F40="","",G31)</f>
        <v/>
      </c>
      <c r="H40" s="592"/>
      <c r="I40" s="595" t="str">
        <f t="shared" si="19"/>
        <v/>
      </c>
      <c r="J40" s="596" t="str">
        <f t="shared" si="20"/>
        <v/>
      </c>
      <c r="K40" s="597" t="str">
        <f>IF(F40="","",F40*IF(H40="",1,H40)*(1+G28))</f>
        <v/>
      </c>
      <c r="L40" s="598" t="str">
        <f t="shared" si="24"/>
        <v/>
      </c>
      <c r="M40" s="599" t="str">
        <f>IF(I40="","",I40*K40/(IF(C29="",C28,C29)))</f>
        <v/>
      </c>
      <c r="N40" s="600" t="str">
        <f t="shared" si="21"/>
        <v/>
      </c>
      <c r="O40" s="601" t="str">
        <f t="shared" si="22"/>
        <v/>
      </c>
      <c r="P40" s="602" t="str">
        <f t="shared" si="23"/>
        <v/>
      </c>
    </row>
    <row r="41" spans="1:16" x14ac:dyDescent="0.5">
      <c r="A41" s="483"/>
      <c r="B41" s="484" t="s">
        <v>41</v>
      </c>
      <c r="C41" s="424"/>
      <c r="D41" s="591" t="str">
        <f t="shared" si="18"/>
        <v/>
      </c>
      <c r="E41" s="486"/>
      <c r="F41" s="424"/>
      <c r="G41" s="518" t="str">
        <f>IF(F41="","",G31)</f>
        <v/>
      </c>
      <c r="H41" s="592"/>
      <c r="I41" s="595" t="str">
        <f t="shared" si="19"/>
        <v/>
      </c>
      <c r="J41" s="596" t="str">
        <f t="shared" si="20"/>
        <v/>
      </c>
      <c r="K41" s="597" t="str">
        <f>IF(F41="","",F41*IF(H41="",1,H41)*(1+G28))</f>
        <v/>
      </c>
      <c r="L41" s="598" t="str">
        <f t="shared" si="24"/>
        <v/>
      </c>
      <c r="M41" s="599" t="str">
        <f>IF(I41="","",I41*K41/(IF(C29="",C28,C29)))</f>
        <v/>
      </c>
      <c r="N41" s="600" t="str">
        <f t="shared" si="21"/>
        <v/>
      </c>
      <c r="O41" s="601" t="str">
        <f t="shared" si="22"/>
        <v/>
      </c>
      <c r="P41" s="602" t="str">
        <f t="shared" si="23"/>
        <v/>
      </c>
    </row>
    <row r="42" spans="1:16" x14ac:dyDescent="0.5">
      <c r="A42" s="483"/>
      <c r="B42" s="484" t="s">
        <v>42</v>
      </c>
      <c r="C42" s="424"/>
      <c r="D42" s="591" t="str">
        <f t="shared" si="18"/>
        <v/>
      </c>
      <c r="E42" s="486"/>
      <c r="F42" s="424"/>
      <c r="G42" s="518" t="str">
        <f>IF(F42="","",G31)</f>
        <v/>
      </c>
      <c r="H42" s="592"/>
      <c r="I42" s="595" t="str">
        <f t="shared" si="19"/>
        <v/>
      </c>
      <c r="J42" s="596" t="str">
        <f t="shared" si="20"/>
        <v/>
      </c>
      <c r="K42" s="597" t="str">
        <f>IF(F42="","",F42*IF(H42="",1,H42)*(1+G28))</f>
        <v/>
      </c>
      <c r="L42" s="598" t="str">
        <f t="shared" si="24"/>
        <v/>
      </c>
      <c r="M42" s="599" t="str">
        <f>IF(I42="","",I42*K42/(IF(C29="",C28,C29)))</f>
        <v/>
      </c>
      <c r="N42" s="600" t="str">
        <f t="shared" si="21"/>
        <v/>
      </c>
      <c r="O42" s="601" t="str">
        <f t="shared" si="22"/>
        <v/>
      </c>
      <c r="P42" s="602" t="str">
        <f t="shared" si="23"/>
        <v/>
      </c>
    </row>
    <row r="43" spans="1:16" x14ac:dyDescent="0.5">
      <c r="A43" s="483"/>
      <c r="B43" s="484" t="s">
        <v>43</v>
      </c>
      <c r="C43" s="424"/>
      <c r="D43" s="591" t="str">
        <f t="shared" si="18"/>
        <v/>
      </c>
      <c r="E43" s="486"/>
      <c r="F43" s="424"/>
      <c r="G43" s="518" t="str">
        <f>IF(F43="","",G31)</f>
        <v/>
      </c>
      <c r="H43" s="592"/>
      <c r="I43" s="595" t="str">
        <f t="shared" si="19"/>
        <v/>
      </c>
      <c r="J43" s="596" t="str">
        <f t="shared" si="20"/>
        <v/>
      </c>
      <c r="K43" s="597" t="str">
        <f>IF(F43="","",F43*IF(H43="",1,H43)*(1+G28))</f>
        <v/>
      </c>
      <c r="L43" s="598" t="str">
        <f t="shared" si="24"/>
        <v/>
      </c>
      <c r="M43" s="599" t="str">
        <f>IF(I43="","",I43*K43/(IF(C29="",C28,C29)))</f>
        <v/>
      </c>
      <c r="N43" s="600" t="str">
        <f t="shared" si="21"/>
        <v/>
      </c>
      <c r="O43" s="601" t="str">
        <f t="shared" si="22"/>
        <v/>
      </c>
      <c r="P43" s="602" t="str">
        <f t="shared" si="23"/>
        <v/>
      </c>
    </row>
    <row r="44" spans="1:16" x14ac:dyDescent="0.5">
      <c r="A44" s="483"/>
      <c r="B44" s="484" t="s">
        <v>44</v>
      </c>
      <c r="C44" s="424"/>
      <c r="D44" s="591" t="str">
        <f t="shared" si="18"/>
        <v/>
      </c>
      <c r="E44" s="486"/>
      <c r="F44" s="424"/>
      <c r="G44" s="518" t="str">
        <f>IF(F44="","",G31)</f>
        <v/>
      </c>
      <c r="H44" s="592"/>
      <c r="I44" s="595" t="str">
        <f t="shared" si="19"/>
        <v/>
      </c>
      <c r="J44" s="596" t="str">
        <f t="shared" si="20"/>
        <v/>
      </c>
      <c r="K44" s="597" t="str">
        <f>IF(F44="","",F44*IF(H44="",1,H44)*(1+G28))</f>
        <v/>
      </c>
      <c r="L44" s="598" t="str">
        <f t="shared" si="24"/>
        <v/>
      </c>
      <c r="M44" s="599" t="str">
        <f>IF(I44="","",I44*K44/(IF(C29="",C28,C29)))</f>
        <v/>
      </c>
      <c r="N44" s="600" t="str">
        <f t="shared" si="21"/>
        <v/>
      </c>
      <c r="O44" s="601" t="str">
        <f t="shared" si="22"/>
        <v/>
      </c>
      <c r="P44" s="602" t="str">
        <f t="shared" si="23"/>
        <v/>
      </c>
    </row>
    <row r="45" spans="1:16" x14ac:dyDescent="0.5">
      <c r="A45" s="483"/>
      <c r="B45" s="484" t="s">
        <v>45</v>
      </c>
      <c r="C45" s="424"/>
      <c r="D45" s="591" t="str">
        <f t="shared" si="18"/>
        <v/>
      </c>
      <c r="E45" s="486"/>
      <c r="F45" s="424"/>
      <c r="G45" s="518" t="str">
        <f>IF(F45="","",G31)</f>
        <v/>
      </c>
      <c r="H45" s="592"/>
      <c r="I45" s="595" t="str">
        <f t="shared" si="19"/>
        <v/>
      </c>
      <c r="J45" s="596" t="str">
        <f t="shared" si="20"/>
        <v/>
      </c>
      <c r="K45" s="597" t="str">
        <f>IF(F45="","",F45*IF(H45="",1,H45)*(1+G28))</f>
        <v/>
      </c>
      <c r="L45" s="598" t="str">
        <f t="shared" si="24"/>
        <v/>
      </c>
      <c r="M45" s="599" t="str">
        <f>IF(I45="","",I45*K45/(IF(C29="",C28,C29)))</f>
        <v/>
      </c>
      <c r="N45" s="600" t="str">
        <f t="shared" si="21"/>
        <v/>
      </c>
      <c r="O45" s="601" t="str">
        <f t="shared" si="22"/>
        <v/>
      </c>
      <c r="P45" s="602" t="str">
        <f t="shared" si="23"/>
        <v/>
      </c>
    </row>
    <row r="46" spans="1:16" x14ac:dyDescent="0.5">
      <c r="A46" s="551"/>
      <c r="B46" s="551"/>
      <c r="C46" s="551"/>
      <c r="D46" s="551"/>
      <c r="E46" s="551"/>
      <c r="F46" s="551"/>
      <c r="G46" s="551"/>
      <c r="H46" s="551"/>
      <c r="I46" s="551"/>
      <c r="J46" s="551"/>
      <c r="K46" s="741" t="s">
        <v>328</v>
      </c>
      <c r="L46" s="741"/>
      <c r="M46" s="741"/>
      <c r="N46" s="742"/>
      <c r="O46" s="607">
        <f>SUM(O29:O45)</f>
        <v>2032.5060000000001</v>
      </c>
      <c r="P46" s="608" t="str">
        <f>IF(O46="","",G31)</f>
        <v>µL</v>
      </c>
    </row>
    <row r="47" spans="1:16" x14ac:dyDescent="0.5">
      <c r="A47" s="551"/>
      <c r="B47" s="551"/>
      <c r="C47" s="551"/>
      <c r="D47" s="551"/>
      <c r="E47" s="551"/>
      <c r="F47" s="551"/>
      <c r="G47" s="551"/>
      <c r="H47" s="551"/>
      <c r="I47" s="733" t="s">
        <v>330</v>
      </c>
      <c r="J47" s="733"/>
      <c r="K47" s="733"/>
      <c r="L47" s="733"/>
      <c r="M47" s="605">
        <f>IF(K29="",SUM(M31:M45),K29)</f>
        <v>489.51</v>
      </c>
      <c r="N47" s="606" t="str">
        <f>IF(M47="","",G31)</f>
        <v>µL</v>
      </c>
      <c r="O47" s="551"/>
      <c r="P47" s="551"/>
    </row>
    <row r="48" spans="1:16" x14ac:dyDescent="0.5">
      <c r="C48" s="279"/>
    </row>
    <row r="49" spans="2:3" x14ac:dyDescent="0.5">
      <c r="B49" s="627" t="s">
        <v>319</v>
      </c>
      <c r="C49" s="627"/>
    </row>
    <row r="50" spans="2:3" ht="14.45" customHeight="1" x14ac:dyDescent="0.5">
      <c r="B50" s="627"/>
      <c r="C50" s="627"/>
    </row>
  </sheetData>
  <mergeCells count="60">
    <mergeCell ref="AY5:AZ5"/>
    <mergeCell ref="AU21:AX21"/>
    <mergeCell ref="AS22:AV22"/>
    <mergeCell ref="AK4:AL4"/>
    <mergeCell ref="AO4:AR4"/>
    <mergeCell ref="AS5:AT5"/>
    <mergeCell ref="AU5:AV5"/>
    <mergeCell ref="AW5:AX5"/>
    <mergeCell ref="AK2:AL2"/>
    <mergeCell ref="AM2:AZ2"/>
    <mergeCell ref="AK3:AL3"/>
    <mergeCell ref="AS3:AT3"/>
    <mergeCell ref="AW3:AX3"/>
    <mergeCell ref="AY3:AZ3"/>
    <mergeCell ref="S2:T2"/>
    <mergeCell ref="U2:AH2"/>
    <mergeCell ref="S3:T3"/>
    <mergeCell ref="AA3:AB3"/>
    <mergeCell ref="AE3:AF3"/>
    <mergeCell ref="AG3:AH3"/>
    <mergeCell ref="S4:T4"/>
    <mergeCell ref="W4:Z4"/>
    <mergeCell ref="AA5:AB5"/>
    <mergeCell ref="AC5:AD5"/>
    <mergeCell ref="AE5:AF5"/>
    <mergeCell ref="AG5:AH5"/>
    <mergeCell ref="AC21:AF21"/>
    <mergeCell ref="AA22:AD22"/>
    <mergeCell ref="I47:L47"/>
    <mergeCell ref="A26:P26"/>
    <mergeCell ref="I30:J30"/>
    <mergeCell ref="K30:L30"/>
    <mergeCell ref="M30:N30"/>
    <mergeCell ref="O30:P30"/>
    <mergeCell ref="K46:N46"/>
    <mergeCell ref="A1:C1"/>
    <mergeCell ref="E4:H4"/>
    <mergeCell ref="M3:N3"/>
    <mergeCell ref="D1:P1"/>
    <mergeCell ref="C2:P2"/>
    <mergeCell ref="A2:B2"/>
    <mergeCell ref="A3:B3"/>
    <mergeCell ref="A4:B4"/>
    <mergeCell ref="O3:P3"/>
    <mergeCell ref="I3:J3"/>
    <mergeCell ref="B49:C50"/>
    <mergeCell ref="O5:P5"/>
    <mergeCell ref="I5:J5"/>
    <mergeCell ref="K5:L5"/>
    <mergeCell ref="M5:N5"/>
    <mergeCell ref="K21:N21"/>
    <mergeCell ref="I22:L22"/>
    <mergeCell ref="A27:B27"/>
    <mergeCell ref="C27:P27"/>
    <mergeCell ref="A28:B28"/>
    <mergeCell ref="I28:J28"/>
    <mergeCell ref="M28:N28"/>
    <mergeCell ref="O28:P28"/>
    <mergeCell ref="A29:B29"/>
    <mergeCell ref="E29:H29"/>
  </mergeCells>
  <conditionalFormatting sqref="A4:D4">
    <cfRule type="expression" dxfId="2" priority="27">
      <formula>OR($K$3="no",$K$3="")</formula>
    </cfRule>
  </conditionalFormatting>
  <conditionalFormatting sqref="S4:V4">
    <cfRule type="expression" dxfId="1" priority="2">
      <formula>OR($K$3="no",$K$3="")</formula>
    </cfRule>
  </conditionalFormatting>
  <conditionalFormatting sqref="AK4:AN4">
    <cfRule type="expression" dxfId="0" priority="1">
      <formula>OR($K$3="no",$K$3="")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PCR</vt:lpstr>
      <vt:lpstr>Golden Gate</vt:lpstr>
      <vt:lpstr>DNA Digest, PO₄</vt:lpstr>
      <vt:lpstr>Transformations</vt:lpstr>
      <vt:lpstr>Sequencing</vt:lpstr>
      <vt:lpstr>DNA Conc</vt:lpstr>
      <vt:lpstr>Reagent Prep</vt:lpstr>
      <vt:lpstr>Serial Dilution</vt:lpstr>
      <vt:lpstr>Nonserial Dilution</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Wetlab Calculator 1-6</dc:title>
  <dc:creator>Shyam Bhakta</dc:creator>
  <cp:lastModifiedBy>Shyam Bhakta</cp:lastModifiedBy>
  <dcterms:created xsi:type="dcterms:W3CDTF">2014-08-14T17:53:26Z</dcterms:created>
  <dcterms:modified xsi:type="dcterms:W3CDTF">2022-06-18T11:06:36Z</dcterms:modified>
  <cp:contentStatus/>
</cp:coreProperties>
</file>