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yam\Documents\Deoxyribonucleic Acids\"/>
    </mc:Choice>
  </mc:AlternateContent>
  <xr:revisionPtr revIDLastSave="0" documentId="13_ncr:1_{12C4CD16-C134-49B3-A96C-4903D2B5911B}" xr6:coauthVersionLast="34" xr6:coauthVersionMax="34" xr10:uidLastSave="{00000000-0000-0000-0000-000000000000}"/>
  <bookViews>
    <workbookView xWindow="0" yWindow="0" windowWidth="23040" windowHeight="8772" tabRatio="684" xr2:uid="{00000000-000D-0000-FFFF-FFFF00000000}"/>
  </bookViews>
  <sheets>
    <sheet name="PCR" sheetId="1" r:id="rId1"/>
    <sheet name="Golden Gate" sheetId="22" r:id="rId2"/>
    <sheet name="DNA Digest, PO₄" sheetId="19" r:id="rId3"/>
    <sheet name="Transformations" sheetId="18" r:id="rId4"/>
    <sheet name="Sequencing" sheetId="20" r:id="rId5"/>
    <sheet name="DNA Conc" sheetId="16" r:id="rId6"/>
    <sheet name="Reagent Prep" sheetId="9" r:id="rId7"/>
    <sheet name="Dilution Series" sheetId="10" r:id="rId8"/>
    <sheet name="Change Log" sheetId="21" r:id="rId9"/>
  </sheets>
  <calcPr calcId="1790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6" l="1"/>
  <c r="J16" i="16" s="1"/>
  <c r="K16" i="16" s="1"/>
  <c r="P16" i="16"/>
  <c r="Q16" i="16" s="1"/>
  <c r="V16" i="16"/>
  <c r="W16" i="16" s="1"/>
  <c r="AB16" i="16"/>
  <c r="AC16" i="16" s="1"/>
  <c r="I17" i="16"/>
  <c r="J17" i="16"/>
  <c r="K17" i="16" s="1"/>
  <c r="M17" i="16"/>
  <c r="N17" i="16" s="1"/>
  <c r="P17" i="16"/>
  <c r="Q17" i="16" s="1"/>
  <c r="V17" i="16"/>
  <c r="W17" i="16" s="1"/>
  <c r="X17" i="16"/>
  <c r="AB17" i="16"/>
  <c r="AC17" i="16" s="1"/>
  <c r="I18" i="16"/>
  <c r="J18" i="16" s="1"/>
  <c r="K18" i="16" s="1"/>
  <c r="P18" i="16"/>
  <c r="Q18" i="16" s="1"/>
  <c r="V18" i="16"/>
  <c r="X18" i="16" s="1"/>
  <c r="AB18" i="16"/>
  <c r="AC18" i="16" s="1"/>
  <c r="I19" i="16"/>
  <c r="J19" i="16" s="1"/>
  <c r="K19" i="16" s="1"/>
  <c r="P19" i="16"/>
  <c r="Q19" i="16" s="1"/>
  <c r="V19" i="16"/>
  <c r="W19" i="16" s="1"/>
  <c r="X19" i="16"/>
  <c r="AB19" i="16"/>
  <c r="AC19" i="16" s="1"/>
  <c r="I20" i="16"/>
  <c r="J20" i="16" s="1"/>
  <c r="K20" i="16" s="1"/>
  <c r="P20" i="16"/>
  <c r="Q20" i="16" s="1"/>
  <c r="V20" i="16"/>
  <c r="W20" i="16" s="1"/>
  <c r="AB20" i="16"/>
  <c r="AC20" i="16" s="1"/>
  <c r="I21" i="16"/>
  <c r="J21" i="16"/>
  <c r="K21" i="16" s="1"/>
  <c r="M21" i="16"/>
  <c r="N21" i="16" s="1"/>
  <c r="P21" i="16"/>
  <c r="Q21" i="16" s="1"/>
  <c r="V21" i="16"/>
  <c r="W21" i="16" s="1"/>
  <c r="X21" i="16"/>
  <c r="AB21" i="16"/>
  <c r="AC21" i="16" s="1"/>
  <c r="I22" i="16"/>
  <c r="J22" i="16" s="1"/>
  <c r="K22" i="16" s="1"/>
  <c r="P22" i="16"/>
  <c r="Q22" i="16" s="1"/>
  <c r="V22" i="16"/>
  <c r="X22" i="16" s="1"/>
  <c r="AB22" i="16"/>
  <c r="AC22" i="16" s="1"/>
  <c r="I23" i="16"/>
  <c r="J23" i="16" s="1"/>
  <c r="K23" i="16" s="1"/>
  <c r="P23" i="16"/>
  <c r="Q23" i="16" s="1"/>
  <c r="V23" i="16"/>
  <c r="W23" i="16" s="1"/>
  <c r="X23" i="16"/>
  <c r="AB23" i="16"/>
  <c r="AC23" i="16" s="1"/>
  <c r="I24" i="16"/>
  <c r="M24" i="16" s="1"/>
  <c r="N24" i="16" s="1"/>
  <c r="P24" i="16"/>
  <c r="Q24" i="16" s="1"/>
  <c r="V24" i="16"/>
  <c r="X24" i="16" s="1"/>
  <c r="AB24" i="16"/>
  <c r="AC24" i="16"/>
  <c r="AD24" i="16"/>
  <c r="I25" i="16"/>
  <c r="J25" i="16" s="1"/>
  <c r="K25" i="16" s="1"/>
  <c r="P25" i="16"/>
  <c r="Q25" i="16" s="1"/>
  <c r="V25" i="16"/>
  <c r="W25" i="16"/>
  <c r="X25" i="16"/>
  <c r="AB25" i="16"/>
  <c r="AC25" i="16" s="1"/>
  <c r="I26" i="16"/>
  <c r="M26" i="16" s="1"/>
  <c r="N26" i="16" s="1"/>
  <c r="J26" i="16"/>
  <c r="K26" i="16" s="1"/>
  <c r="P26" i="16"/>
  <c r="Q26" i="16" s="1"/>
  <c r="V26" i="16"/>
  <c r="X26" i="16" s="1"/>
  <c r="W26" i="16"/>
  <c r="AB26" i="16"/>
  <c r="AC26" i="16" s="1"/>
  <c r="I27" i="16"/>
  <c r="J27" i="16" s="1"/>
  <c r="K27" i="16" s="1"/>
  <c r="P27" i="16"/>
  <c r="Q27" i="16" s="1"/>
  <c r="V27" i="16"/>
  <c r="W27" i="16"/>
  <c r="X27" i="16"/>
  <c r="AB27" i="16"/>
  <c r="AC27" i="16" s="1"/>
  <c r="I28" i="16"/>
  <c r="M28" i="16" s="1"/>
  <c r="N28" i="16" s="1"/>
  <c r="J28" i="16"/>
  <c r="K28" i="16" s="1"/>
  <c r="P28" i="16"/>
  <c r="Q28" i="16" s="1"/>
  <c r="V28" i="16"/>
  <c r="X28" i="16" s="1"/>
  <c r="W28" i="16"/>
  <c r="AB28" i="16"/>
  <c r="AC28" i="16" s="1"/>
  <c r="I29" i="16"/>
  <c r="M29" i="16" s="1"/>
  <c r="N29" i="16" s="1"/>
  <c r="J29" i="16"/>
  <c r="K29" i="16" s="1"/>
  <c r="P29" i="16"/>
  <c r="Q29" i="16"/>
  <c r="R29" i="16"/>
  <c r="V29" i="16"/>
  <c r="W29" i="16" s="1"/>
  <c r="AB29" i="16"/>
  <c r="AC29" i="16" s="1"/>
  <c r="I30" i="16"/>
  <c r="J30" i="16" s="1"/>
  <c r="K30" i="16" s="1"/>
  <c r="M30" i="16"/>
  <c r="N30" i="16" s="1"/>
  <c r="P30" i="16"/>
  <c r="Q30" i="16" s="1"/>
  <c r="V30" i="16"/>
  <c r="X30" i="16" s="1"/>
  <c r="AB30" i="16"/>
  <c r="AC30" i="16" s="1"/>
  <c r="I31" i="16"/>
  <c r="J31" i="16" s="1"/>
  <c r="K31" i="16" s="1"/>
  <c r="P31" i="16"/>
  <c r="Q31" i="16" s="1"/>
  <c r="V31" i="16"/>
  <c r="W31" i="16" s="1"/>
  <c r="AB31" i="16"/>
  <c r="AC31" i="16" s="1"/>
  <c r="I32" i="16"/>
  <c r="M32" i="16" s="1"/>
  <c r="N32" i="16" s="1"/>
  <c r="P32" i="16"/>
  <c r="Q32" i="16" s="1"/>
  <c r="V32" i="16"/>
  <c r="X32" i="16" s="1"/>
  <c r="AB32" i="16"/>
  <c r="AC32" i="16"/>
  <c r="AD32" i="16"/>
  <c r="I33" i="16"/>
  <c r="J33" i="16" s="1"/>
  <c r="K33" i="16" s="1"/>
  <c r="M33" i="16"/>
  <c r="N33" i="16" s="1"/>
  <c r="P33" i="16"/>
  <c r="Q33" i="16" s="1"/>
  <c r="V33" i="16"/>
  <c r="X33" i="16" s="1"/>
  <c r="W33" i="16"/>
  <c r="AB33" i="16"/>
  <c r="AC33" i="16" s="1"/>
  <c r="I34" i="16"/>
  <c r="J34" i="16"/>
  <c r="K34" i="16" s="1"/>
  <c r="M34" i="16"/>
  <c r="N34" i="16" s="1"/>
  <c r="P34" i="16"/>
  <c r="Q34" i="16" s="1"/>
  <c r="V34" i="16"/>
  <c r="X34" i="16" s="1"/>
  <c r="W34" i="16"/>
  <c r="AB34" i="16"/>
  <c r="AC34" i="16" s="1"/>
  <c r="I35" i="16"/>
  <c r="J35" i="16"/>
  <c r="K35" i="16"/>
  <c r="M35" i="16"/>
  <c r="N35" i="16" s="1"/>
  <c r="P35" i="16"/>
  <c r="Q35" i="16" s="1"/>
  <c r="V35" i="16"/>
  <c r="X35" i="16" s="1"/>
  <c r="W35" i="16"/>
  <c r="AB35" i="16"/>
  <c r="AC35" i="16" s="1"/>
  <c r="I36" i="16"/>
  <c r="M36" i="16" s="1"/>
  <c r="N36" i="16" s="1"/>
  <c r="J36" i="16"/>
  <c r="K36" i="16" s="1"/>
  <c r="P36" i="16"/>
  <c r="Q36" i="16" s="1"/>
  <c r="V36" i="16"/>
  <c r="X36" i="16" s="1"/>
  <c r="W36" i="16"/>
  <c r="AB36" i="16"/>
  <c r="AC36" i="16" s="1"/>
  <c r="I37" i="16"/>
  <c r="J37" i="16"/>
  <c r="K37" i="16" s="1"/>
  <c r="M37" i="16"/>
  <c r="N37" i="16" s="1"/>
  <c r="P37" i="16"/>
  <c r="Q37" i="16"/>
  <c r="R37" i="16"/>
  <c r="V37" i="16"/>
  <c r="W37" i="16" s="1"/>
  <c r="X37" i="16"/>
  <c r="AB37" i="16"/>
  <c r="AC37" i="16" s="1"/>
  <c r="I38" i="16"/>
  <c r="J38" i="16" s="1"/>
  <c r="K38" i="16" s="1"/>
  <c r="P38" i="16"/>
  <c r="Q38" i="16" s="1"/>
  <c r="V38" i="16"/>
  <c r="X38" i="16" s="1"/>
  <c r="AB38" i="16"/>
  <c r="AC38" i="16" s="1"/>
  <c r="I39" i="16"/>
  <c r="J39" i="16" s="1"/>
  <c r="K39" i="16" s="1"/>
  <c r="P39" i="16"/>
  <c r="Q39" i="16" s="1"/>
  <c r="V39" i="16"/>
  <c r="W39" i="16" s="1"/>
  <c r="X39" i="16"/>
  <c r="AB39" i="16"/>
  <c r="AC39" i="16" s="1"/>
  <c r="I40" i="16"/>
  <c r="M40" i="16" s="1"/>
  <c r="N40" i="16" s="1"/>
  <c r="P40" i="16"/>
  <c r="Q40" i="16" s="1"/>
  <c r="V40" i="16"/>
  <c r="X40" i="16" s="1"/>
  <c r="AB40" i="16"/>
  <c r="AC40" i="16"/>
  <c r="AD40" i="16"/>
  <c r="I41" i="16"/>
  <c r="J41" i="16" s="1"/>
  <c r="K41" i="16" s="1"/>
  <c r="P41" i="16"/>
  <c r="Q41" i="16" s="1"/>
  <c r="V41" i="16"/>
  <c r="W41" i="16"/>
  <c r="X41" i="16"/>
  <c r="AB41" i="16"/>
  <c r="AC41" i="16" s="1"/>
  <c r="I42" i="16"/>
  <c r="M42" i="16" s="1"/>
  <c r="N42" i="16" s="1"/>
  <c r="J42" i="16"/>
  <c r="K42" i="16" s="1"/>
  <c r="P42" i="16"/>
  <c r="Q42" i="16" s="1"/>
  <c r="V42" i="16"/>
  <c r="X42" i="16" s="1"/>
  <c r="W42" i="16"/>
  <c r="AB42" i="16"/>
  <c r="AC42" i="16" s="1"/>
  <c r="I43" i="16"/>
  <c r="M43" i="16" s="1"/>
  <c r="N43" i="16" s="1"/>
  <c r="J43" i="16"/>
  <c r="K43" i="16"/>
  <c r="P43" i="16"/>
  <c r="Q43" i="16" s="1"/>
  <c r="V43" i="16"/>
  <c r="W43" i="16"/>
  <c r="X43" i="16"/>
  <c r="AB43" i="16"/>
  <c r="AC43" i="16" s="1"/>
  <c r="I44" i="16"/>
  <c r="M44" i="16" s="1"/>
  <c r="N44" i="16" s="1"/>
  <c r="J44" i="16"/>
  <c r="K44" i="16" s="1"/>
  <c r="P44" i="16"/>
  <c r="Q44" i="16" s="1"/>
  <c r="V44" i="16"/>
  <c r="X44" i="16" s="1"/>
  <c r="W44" i="16"/>
  <c r="AB44" i="16"/>
  <c r="AC44" i="16" s="1"/>
  <c r="I45" i="16"/>
  <c r="M45" i="16" s="1"/>
  <c r="N45" i="16" s="1"/>
  <c r="J45" i="16"/>
  <c r="K45" i="16" s="1"/>
  <c r="P45" i="16"/>
  <c r="Q45" i="16"/>
  <c r="R45" i="16"/>
  <c r="V45" i="16"/>
  <c r="W45" i="16" s="1"/>
  <c r="AB45" i="16"/>
  <c r="AC45" i="16" s="1"/>
  <c r="I46" i="16"/>
  <c r="J46" i="16" s="1"/>
  <c r="K46" i="16" s="1"/>
  <c r="M46" i="16"/>
  <c r="N46" i="16" s="1"/>
  <c r="P46" i="16"/>
  <c r="Q46" i="16" s="1"/>
  <c r="V46" i="16"/>
  <c r="X46" i="16" s="1"/>
  <c r="AB46" i="16"/>
  <c r="AC46" i="16" s="1"/>
  <c r="I47" i="16"/>
  <c r="J47" i="16" s="1"/>
  <c r="K47" i="16" s="1"/>
  <c r="P47" i="16"/>
  <c r="Q47" i="16" s="1"/>
  <c r="V47" i="16"/>
  <c r="W47" i="16" s="1"/>
  <c r="AB47" i="16"/>
  <c r="AC47" i="16" s="1"/>
  <c r="I48" i="16"/>
  <c r="M48" i="16" s="1"/>
  <c r="N48" i="16" s="1"/>
  <c r="P48" i="16"/>
  <c r="Q48" i="16" s="1"/>
  <c r="V48" i="16"/>
  <c r="X48" i="16" s="1"/>
  <c r="AB48" i="16"/>
  <c r="AC48" i="16" s="1"/>
  <c r="AD48" i="16"/>
  <c r="I49" i="16"/>
  <c r="J49" i="16" s="1"/>
  <c r="K49" i="16" s="1"/>
  <c r="P49" i="16"/>
  <c r="Q49" i="16"/>
  <c r="R49" i="16"/>
  <c r="V49" i="16"/>
  <c r="W49" i="16"/>
  <c r="X49" i="16"/>
  <c r="AB49" i="16"/>
  <c r="AC49" i="16" s="1"/>
  <c r="I50" i="16"/>
  <c r="J50" i="16"/>
  <c r="K50" i="16" s="1"/>
  <c r="M50" i="16"/>
  <c r="N50" i="16" s="1"/>
  <c r="P50" i="16"/>
  <c r="Q50" i="16" s="1"/>
  <c r="V50" i="16"/>
  <c r="X50" i="16" s="1"/>
  <c r="W50" i="16"/>
  <c r="AB50" i="16"/>
  <c r="AC50" i="16" s="1"/>
  <c r="I51" i="16"/>
  <c r="J51" i="16" s="1"/>
  <c r="K51" i="16" s="1"/>
  <c r="M51" i="16"/>
  <c r="N51" i="16" s="1"/>
  <c r="P51" i="16"/>
  <c r="Q51" i="16" s="1"/>
  <c r="V51" i="16"/>
  <c r="W51" i="16"/>
  <c r="X51" i="16"/>
  <c r="AB51" i="16"/>
  <c r="AC51" i="16" s="1"/>
  <c r="I52" i="16"/>
  <c r="M52" i="16" s="1"/>
  <c r="N52" i="16" s="1"/>
  <c r="J52" i="16"/>
  <c r="K52" i="16" s="1"/>
  <c r="P52" i="16"/>
  <c r="Q52" i="16" s="1"/>
  <c r="V52" i="16"/>
  <c r="X52" i="16" s="1"/>
  <c r="W52" i="16"/>
  <c r="AB52" i="16"/>
  <c r="AC52" i="16" s="1"/>
  <c r="AD52" i="16"/>
  <c r="I53" i="16"/>
  <c r="J53" i="16" s="1"/>
  <c r="K53" i="16" s="1"/>
  <c r="P53" i="16"/>
  <c r="R53" i="16" s="1"/>
  <c r="Q53" i="16"/>
  <c r="V53" i="16"/>
  <c r="W53" i="16"/>
  <c r="X53" i="16"/>
  <c r="AB53" i="16"/>
  <c r="AC53" i="16" s="1"/>
  <c r="I5" i="16"/>
  <c r="J5" i="16" s="1"/>
  <c r="K5" i="16" s="1"/>
  <c r="P5" i="16"/>
  <c r="Q5" i="16" s="1"/>
  <c r="V5" i="16"/>
  <c r="W5" i="16" s="1"/>
  <c r="AB5" i="16"/>
  <c r="AC5" i="16" s="1"/>
  <c r="I6" i="16"/>
  <c r="M6" i="16" s="1"/>
  <c r="N6" i="16" s="1"/>
  <c r="P6" i="16"/>
  <c r="Q6" i="16" s="1"/>
  <c r="V6" i="16"/>
  <c r="W6" i="16" s="1"/>
  <c r="AB6" i="16"/>
  <c r="AC6" i="16" s="1"/>
  <c r="I7" i="16"/>
  <c r="M7" i="16" s="1"/>
  <c r="N7" i="16" s="1"/>
  <c r="J7" i="16"/>
  <c r="K7" i="16" s="1"/>
  <c r="P7" i="16"/>
  <c r="Q7" i="16" s="1"/>
  <c r="R7" i="16"/>
  <c r="V7" i="16"/>
  <c r="W7" i="16" s="1"/>
  <c r="AB7" i="16"/>
  <c r="AD7" i="16" s="1"/>
  <c r="AC7" i="16"/>
  <c r="I8" i="16"/>
  <c r="J8" i="16" s="1"/>
  <c r="K8" i="16" s="1"/>
  <c r="P8" i="16"/>
  <c r="Q8" i="16"/>
  <c r="R8" i="16"/>
  <c r="V8" i="16"/>
  <c r="X8" i="16" s="1"/>
  <c r="W8" i="16"/>
  <c r="AB8" i="16"/>
  <c r="AD8" i="16" s="1"/>
  <c r="I9" i="16"/>
  <c r="J9" i="16" s="1"/>
  <c r="K9" i="16" s="1"/>
  <c r="M9" i="16"/>
  <c r="N9" i="16" s="1"/>
  <c r="P9" i="16"/>
  <c r="R9" i="16" s="1"/>
  <c r="V9" i="16"/>
  <c r="W9" i="16" s="1"/>
  <c r="AB9" i="16"/>
  <c r="AC9" i="16" s="1"/>
  <c r="I10" i="16"/>
  <c r="M10" i="16" s="1"/>
  <c r="N10" i="16" s="1"/>
  <c r="P10" i="16"/>
  <c r="Q10" i="16" s="1"/>
  <c r="V10" i="16"/>
  <c r="W10" i="16" s="1"/>
  <c r="AB10" i="16"/>
  <c r="AC10" i="16"/>
  <c r="AD10" i="16"/>
  <c r="I11" i="16"/>
  <c r="M11" i="16" s="1"/>
  <c r="N11" i="16" s="1"/>
  <c r="J11" i="16"/>
  <c r="K11" i="16"/>
  <c r="P11" i="16"/>
  <c r="Q11" i="16"/>
  <c r="R11" i="16"/>
  <c r="V11" i="16"/>
  <c r="W11" i="16" s="1"/>
  <c r="AB11" i="16"/>
  <c r="AD11" i="16" s="1"/>
  <c r="AC11" i="16"/>
  <c r="I12" i="16"/>
  <c r="J12" i="16"/>
  <c r="K12" i="16" s="1"/>
  <c r="M12" i="16"/>
  <c r="N12" i="16" s="1"/>
  <c r="P12" i="16"/>
  <c r="Q12" i="16"/>
  <c r="R12" i="16"/>
  <c r="V12" i="16"/>
  <c r="X12" i="16" s="1"/>
  <c r="W12" i="16"/>
  <c r="AB12" i="16"/>
  <c r="AD12" i="16" s="1"/>
  <c r="AC12" i="16"/>
  <c r="I13" i="16"/>
  <c r="J13" i="16" s="1"/>
  <c r="K13" i="16" s="1"/>
  <c r="P13" i="16"/>
  <c r="R13" i="16" s="1"/>
  <c r="Q13" i="16"/>
  <c r="V13" i="16"/>
  <c r="W13" i="16" s="1"/>
  <c r="AB13" i="16"/>
  <c r="AC13" i="16" s="1"/>
  <c r="AD13" i="16"/>
  <c r="I14" i="16"/>
  <c r="M14" i="16" s="1"/>
  <c r="N14" i="16" s="1"/>
  <c r="P14" i="16"/>
  <c r="Q14" i="16" s="1"/>
  <c r="V14" i="16"/>
  <c r="W14" i="16" s="1"/>
  <c r="AB14" i="16"/>
  <c r="AC14" i="16" s="1"/>
  <c r="I15" i="16"/>
  <c r="M15" i="16" s="1"/>
  <c r="N15" i="16" s="1"/>
  <c r="J15" i="16"/>
  <c r="K15" i="16" s="1"/>
  <c r="P15" i="16"/>
  <c r="Q15" i="16" s="1"/>
  <c r="V15" i="16"/>
  <c r="W15" i="16"/>
  <c r="X15" i="16"/>
  <c r="AB15" i="16"/>
  <c r="AC15" i="16"/>
  <c r="AD15" i="16"/>
  <c r="M47" i="16" l="1"/>
  <c r="N47" i="16" s="1"/>
  <c r="M31" i="16"/>
  <c r="N31" i="16" s="1"/>
  <c r="AD51" i="16"/>
  <c r="M49" i="16"/>
  <c r="N49" i="16" s="1"/>
  <c r="J48" i="16"/>
  <c r="K48" i="16" s="1"/>
  <c r="R41" i="16"/>
  <c r="W38" i="16"/>
  <c r="AD36" i="16"/>
  <c r="J32" i="16"/>
  <c r="K32" i="16" s="1"/>
  <c r="R25" i="16"/>
  <c r="W22" i="16"/>
  <c r="AD20" i="16"/>
  <c r="W18" i="16"/>
  <c r="AD16" i="16"/>
  <c r="R15" i="16"/>
  <c r="AD14" i="16"/>
  <c r="AC8" i="16"/>
  <c r="W40" i="16"/>
  <c r="M27" i="16"/>
  <c r="N27" i="16" s="1"/>
  <c r="W24" i="16"/>
  <c r="R21" i="16"/>
  <c r="R17" i="16"/>
  <c r="X47" i="16"/>
  <c r="X45" i="16"/>
  <c r="M41" i="16"/>
  <c r="N41" i="16" s="1"/>
  <c r="M39" i="16"/>
  <c r="N39" i="16" s="1"/>
  <c r="M38" i="16"/>
  <c r="N38" i="16" s="1"/>
  <c r="X31" i="16"/>
  <c r="X29" i="16"/>
  <c r="M25" i="16"/>
  <c r="N25" i="16" s="1"/>
  <c r="M23" i="16"/>
  <c r="N23" i="16" s="1"/>
  <c r="M22" i="16"/>
  <c r="N22" i="16" s="1"/>
  <c r="M19" i="16"/>
  <c r="N19" i="16" s="1"/>
  <c r="M18" i="16"/>
  <c r="N18" i="16" s="1"/>
  <c r="R14" i="16"/>
  <c r="M13" i="16"/>
  <c r="N13" i="16" s="1"/>
  <c r="X11" i="16"/>
  <c r="X7" i="16"/>
  <c r="AD6" i="16"/>
  <c r="M53" i="16"/>
  <c r="N53" i="16" s="1"/>
  <c r="R52" i="16"/>
  <c r="W46" i="16"/>
  <c r="AD44" i="16"/>
  <c r="J40" i="16"/>
  <c r="K40" i="16" s="1"/>
  <c r="R33" i="16"/>
  <c r="W30" i="16"/>
  <c r="AD28" i="16"/>
  <c r="J24" i="16"/>
  <c r="K24" i="16" s="1"/>
  <c r="Q9" i="16"/>
  <c r="W48" i="16"/>
  <c r="W32" i="16"/>
  <c r="R48" i="16"/>
  <c r="AD47" i="16"/>
  <c r="R44" i="16"/>
  <c r="AD43" i="16"/>
  <c r="R40" i="16"/>
  <c r="AD39" i="16"/>
  <c r="R36" i="16"/>
  <c r="AD35" i="16"/>
  <c r="R32" i="16"/>
  <c r="AD31" i="16"/>
  <c r="R28" i="16"/>
  <c r="AD27" i="16"/>
  <c r="R24" i="16"/>
  <c r="AD23" i="16"/>
  <c r="R20" i="16"/>
  <c r="AD19" i="16"/>
  <c r="R16" i="16"/>
  <c r="R46" i="16"/>
  <c r="AD45" i="16"/>
  <c r="R42" i="16"/>
  <c r="AD41" i="16"/>
  <c r="R38" i="16"/>
  <c r="AD37" i="16"/>
  <c r="R34" i="16"/>
  <c r="AD33" i="16"/>
  <c r="R30" i="16"/>
  <c r="AD29" i="16"/>
  <c r="R26" i="16"/>
  <c r="AD25" i="16"/>
  <c r="R22" i="16"/>
  <c r="AD21" i="16"/>
  <c r="M20" i="16"/>
  <c r="N20" i="16" s="1"/>
  <c r="R18" i="16"/>
  <c r="AD17" i="16"/>
  <c r="M16" i="16"/>
  <c r="N16" i="16" s="1"/>
  <c r="AD53" i="16"/>
  <c r="R50" i="16"/>
  <c r="AD49" i="16"/>
  <c r="X20" i="16"/>
  <c r="X16" i="16"/>
  <c r="R47" i="16"/>
  <c r="R43" i="16"/>
  <c r="AD42" i="16"/>
  <c r="R39" i="16"/>
  <c r="AD38" i="16"/>
  <c r="R35" i="16"/>
  <c r="AD34" i="16"/>
  <c r="R31" i="16"/>
  <c r="AD30" i="16"/>
  <c r="R27" i="16"/>
  <c r="AD26" i="16"/>
  <c r="R23" i="16"/>
  <c r="AD22" i="16"/>
  <c r="R19" i="16"/>
  <c r="AD18" i="16"/>
  <c r="R51" i="16"/>
  <c r="AD50" i="16"/>
  <c r="AD46" i="16"/>
  <c r="X14" i="16"/>
  <c r="X10" i="16"/>
  <c r="X6" i="16"/>
  <c r="J14" i="16"/>
  <c r="K14" i="16" s="1"/>
  <c r="J10" i="16"/>
  <c r="K10" i="16" s="1"/>
  <c r="J6" i="16"/>
  <c r="K6" i="16" s="1"/>
  <c r="R5" i="16"/>
  <c r="R10" i="16"/>
  <c r="AD9" i="16"/>
  <c r="M8" i="16"/>
  <c r="N8" i="16" s="1"/>
  <c r="R6" i="16"/>
  <c r="AD5" i="16"/>
  <c r="M5" i="16"/>
  <c r="N5" i="16" s="1"/>
  <c r="X5" i="16"/>
  <c r="X13" i="16"/>
  <c r="X9" i="16"/>
  <c r="I4" i="16"/>
  <c r="M4" i="16" l="1"/>
  <c r="N4" i="16" s="1"/>
  <c r="P4" i="16"/>
  <c r="J4" i="16" l="1"/>
  <c r="E27" i="19"/>
  <c r="AB4" i="16" l="1"/>
  <c r="AC4" i="16" s="1"/>
  <c r="V4" i="16"/>
  <c r="X4" i="16" s="1"/>
  <c r="N1" i="16"/>
  <c r="W4" i="16" l="1"/>
  <c r="AD4" i="16"/>
  <c r="AZ45" i="22" l="1"/>
  <c r="AD45" i="22" s="1"/>
  <c r="AZ44" i="22"/>
  <c r="AD44" i="22" s="1"/>
  <c r="AZ43" i="22"/>
  <c r="AD43" i="22" s="1"/>
  <c r="AZ42" i="22"/>
  <c r="AD42" i="22"/>
  <c r="AZ41" i="22"/>
  <c r="AD41" i="22" s="1"/>
  <c r="AZ40" i="22"/>
  <c r="AD40" i="22" s="1"/>
  <c r="AZ39" i="22"/>
  <c r="AD39" i="22" s="1"/>
  <c r="AZ38" i="22"/>
  <c r="AD38" i="22" s="1"/>
  <c r="AZ37" i="22"/>
  <c r="AD37" i="22" s="1"/>
  <c r="AZ36" i="22"/>
  <c r="AD36" i="22" s="1"/>
  <c r="AZ35" i="22"/>
  <c r="AD35" i="22"/>
  <c r="AZ34" i="22"/>
  <c r="AD34" i="22"/>
  <c r="AZ33" i="22"/>
  <c r="AD33" i="22" s="1"/>
  <c r="Y33" i="22"/>
  <c r="X33" i="22" s="1"/>
  <c r="AZ32" i="22"/>
  <c r="AD32" i="22" s="1"/>
  <c r="Y32" i="22"/>
  <c r="AZ31" i="22"/>
  <c r="AD31" i="22" s="1"/>
  <c r="AZ30" i="22"/>
  <c r="AD30" i="22" s="1"/>
  <c r="Y30" i="22"/>
  <c r="AZ29" i="22"/>
  <c r="AD29" i="22" s="1"/>
  <c r="X29" i="22"/>
  <c r="X35" i="22" s="1"/>
  <c r="W29" i="22"/>
  <c r="W35" i="22" s="1"/>
  <c r="AZ28" i="22"/>
  <c r="AD28" i="22"/>
  <c r="AZ27" i="22"/>
  <c r="AD27" i="22"/>
  <c r="AZ26" i="22"/>
  <c r="AZ21" i="22"/>
  <c r="AD21" i="22" s="1"/>
  <c r="AZ20" i="22"/>
  <c r="AD20" i="22" s="1"/>
  <c r="AZ19" i="22"/>
  <c r="AD19" i="22" s="1"/>
  <c r="R19" i="22"/>
  <c r="K19" i="22"/>
  <c r="D19" i="22"/>
  <c r="AZ18" i="22"/>
  <c r="AD18" i="22" s="1"/>
  <c r="R18" i="22"/>
  <c r="Q18" i="22"/>
  <c r="P18" i="22"/>
  <c r="K18" i="22"/>
  <c r="J18" i="22"/>
  <c r="I18" i="22"/>
  <c r="D18" i="22"/>
  <c r="AZ17" i="22"/>
  <c r="AD17" i="22"/>
  <c r="R17" i="22"/>
  <c r="K17" i="22"/>
  <c r="D17" i="22"/>
  <c r="AZ16" i="22"/>
  <c r="AD16" i="22" s="1"/>
  <c r="R16" i="22"/>
  <c r="K16" i="22"/>
  <c r="D16" i="22"/>
  <c r="AZ15" i="22"/>
  <c r="AD15" i="22" s="1"/>
  <c r="AZ14" i="22"/>
  <c r="AD14" i="22" s="1"/>
  <c r="R14" i="22"/>
  <c r="K14" i="22"/>
  <c r="D14" i="22"/>
  <c r="AZ13" i="22"/>
  <c r="AD13" i="22" s="1"/>
  <c r="R13" i="22"/>
  <c r="K13" i="22"/>
  <c r="D13" i="22"/>
  <c r="AZ12" i="22"/>
  <c r="AD12" i="22" s="1"/>
  <c r="S12" i="22"/>
  <c r="R12" i="22"/>
  <c r="L12" i="22"/>
  <c r="K12" i="22" s="1"/>
  <c r="E12" i="22"/>
  <c r="D12" i="22" s="1"/>
  <c r="AZ11" i="22"/>
  <c r="AD11" i="22" s="1"/>
  <c r="W11" i="22"/>
  <c r="S11" i="22"/>
  <c r="R11" i="22" s="1"/>
  <c r="L11" i="22"/>
  <c r="K11" i="22" s="1"/>
  <c r="E11" i="22"/>
  <c r="D11" i="22" s="1"/>
  <c r="AZ10" i="22"/>
  <c r="AD10" i="22" s="1"/>
  <c r="W10" i="22"/>
  <c r="AZ9" i="22"/>
  <c r="AD9" i="22" s="1"/>
  <c r="Y9" i="22"/>
  <c r="S9" i="22"/>
  <c r="L9" i="22"/>
  <c r="E9" i="22"/>
  <c r="AZ8" i="22"/>
  <c r="AD8" i="22" s="1"/>
  <c r="Y8" i="22"/>
  <c r="W8" i="22"/>
  <c r="Q8" i="22"/>
  <c r="Q16" i="22" s="1"/>
  <c r="P8" i="22"/>
  <c r="P19" i="22" s="1"/>
  <c r="J8" i="22"/>
  <c r="J17" i="22" s="1"/>
  <c r="I8" i="22"/>
  <c r="I14" i="22" s="1"/>
  <c r="C8" i="22"/>
  <c r="C18" i="22" s="1"/>
  <c r="B8" i="22"/>
  <c r="B19" i="22" s="1"/>
  <c r="AZ7" i="22"/>
  <c r="AD7" i="22"/>
  <c r="AZ6" i="22"/>
  <c r="AD6" i="22" s="1"/>
  <c r="Y6" i="22"/>
  <c r="AZ5" i="22"/>
  <c r="AD5" i="22"/>
  <c r="X5" i="22"/>
  <c r="X11" i="22" s="1"/>
  <c r="W5" i="22"/>
  <c r="W9" i="22" s="1"/>
  <c r="AZ4" i="22"/>
  <c r="AD4" i="22" s="1"/>
  <c r="AZ3" i="22"/>
  <c r="AZ2" i="22"/>
  <c r="AD2" i="22"/>
  <c r="Y36" i="22" l="1"/>
  <c r="Q13" i="22"/>
  <c r="S10" i="22"/>
  <c r="S22" i="22" s="1"/>
  <c r="B14" i="22"/>
  <c r="B16" i="22"/>
  <c r="K10" i="22"/>
  <c r="K22" i="22" s="1"/>
  <c r="P14" i="22"/>
  <c r="P16" i="22"/>
  <c r="X34" i="22"/>
  <c r="L10" i="22"/>
  <c r="L22" i="22" s="1"/>
  <c r="B18" i="22"/>
  <c r="W32" i="22"/>
  <c r="R10" i="22"/>
  <c r="R22" i="22" s="1"/>
  <c r="P11" i="22"/>
  <c r="P12" i="22"/>
  <c r="B17" i="22"/>
  <c r="AD26" i="22"/>
  <c r="Y12" i="22"/>
  <c r="Y7" i="22" s="1"/>
  <c r="X7" i="22" s="1"/>
  <c r="Q19" i="22"/>
  <c r="W33" i="22"/>
  <c r="I17" i="22"/>
  <c r="B11" i="22"/>
  <c r="D10" i="22"/>
  <c r="D21" i="22" s="1"/>
  <c r="E10" i="22"/>
  <c r="C10" i="22" s="1"/>
  <c r="B12" i="22"/>
  <c r="W12" i="22"/>
  <c r="X36" i="22"/>
  <c r="W36" i="22"/>
  <c r="Y31" i="22"/>
  <c r="W31" i="22" s="1"/>
  <c r="J14" i="22"/>
  <c r="C11" i="22"/>
  <c r="Q11" i="22"/>
  <c r="C12" i="22"/>
  <c r="Q12" i="22"/>
  <c r="B13" i="22"/>
  <c r="I16" i="22"/>
  <c r="P17" i="22"/>
  <c r="X32" i="22"/>
  <c r="C13" i="22"/>
  <c r="J16" i="22"/>
  <c r="Q17" i="22"/>
  <c r="C19" i="22"/>
  <c r="W34" i="22"/>
  <c r="Q14" i="22"/>
  <c r="X9" i="22"/>
  <c r="I11" i="22"/>
  <c r="I12" i="22"/>
  <c r="I13" i="22"/>
  <c r="C17" i="22"/>
  <c r="I19" i="22"/>
  <c r="X8" i="22"/>
  <c r="AD3" i="22"/>
  <c r="J10" i="22"/>
  <c r="X10" i="22"/>
  <c r="J11" i="22"/>
  <c r="J12" i="22"/>
  <c r="J13" i="22"/>
  <c r="C14" i="22"/>
  <c r="J19" i="22"/>
  <c r="P13" i="22"/>
  <c r="C16" i="22"/>
  <c r="AU9" i="19"/>
  <c r="AS8" i="19"/>
  <c r="AR8" i="19" s="1"/>
  <c r="AS7" i="19"/>
  <c r="AS5" i="19"/>
  <c r="AR4" i="19"/>
  <c r="AQ4" i="19"/>
  <c r="AQ10" i="19" s="1"/>
  <c r="AM9" i="19"/>
  <c r="AK8" i="19"/>
  <c r="AJ8" i="19" s="1"/>
  <c r="AK7" i="19"/>
  <c r="AK5" i="19"/>
  <c r="AJ4" i="19"/>
  <c r="AI4" i="19"/>
  <c r="AI10" i="19" s="1"/>
  <c r="AK6" i="19" l="1"/>
  <c r="R21" i="22"/>
  <c r="R23" i="22"/>
  <c r="P10" i="22"/>
  <c r="P22" i="22" s="1"/>
  <c r="K23" i="22"/>
  <c r="AR7" i="19"/>
  <c r="K21" i="22"/>
  <c r="Q10" i="22"/>
  <c r="X12" i="22"/>
  <c r="P21" i="22"/>
  <c r="I10" i="22"/>
  <c r="I21" i="22" s="1"/>
  <c r="AJ7" i="19"/>
  <c r="AS6" i="19"/>
  <c r="AS17" i="19" s="1"/>
  <c r="D22" i="22"/>
  <c r="D23" i="22"/>
  <c r="E22" i="22"/>
  <c r="B10" i="22"/>
  <c r="J22" i="22"/>
  <c r="J21" i="22"/>
  <c r="J23" i="22"/>
  <c r="X14" i="22"/>
  <c r="X16" i="22"/>
  <c r="X15" i="22"/>
  <c r="Q21" i="22"/>
  <c r="Q23" i="22"/>
  <c r="Q22" i="22"/>
  <c r="C21" i="22"/>
  <c r="C23" i="22"/>
  <c r="C22" i="22"/>
  <c r="P23" i="22"/>
  <c r="I22" i="22"/>
  <c r="W39" i="22"/>
  <c r="W40" i="22"/>
  <c r="W38" i="22"/>
  <c r="W7" i="22"/>
  <c r="Y15" i="22"/>
  <c r="Y39" i="22"/>
  <c r="X31" i="22"/>
  <c r="AR10" i="19"/>
  <c r="AQ11" i="19"/>
  <c r="AR9" i="19"/>
  <c r="AQ8" i="19"/>
  <c r="AR11" i="19"/>
  <c r="AQ12" i="19"/>
  <c r="AQ9" i="19"/>
  <c r="AR12" i="19"/>
  <c r="AQ7" i="19"/>
  <c r="AK17" i="19"/>
  <c r="AK16" i="19"/>
  <c r="AK15" i="19"/>
  <c r="AJ10" i="19"/>
  <c r="AI8" i="19"/>
  <c r="AI11" i="19"/>
  <c r="AJ11" i="19"/>
  <c r="AI6" i="19"/>
  <c r="AI12" i="19"/>
  <c r="AJ6" i="19"/>
  <c r="AJ12" i="19"/>
  <c r="AJ9" i="19"/>
  <c r="AI9" i="19"/>
  <c r="AI7" i="19"/>
  <c r="I23" i="22" l="1"/>
  <c r="AS15" i="19"/>
  <c r="AS16" i="19"/>
  <c r="AR6" i="19"/>
  <c r="AR16" i="19" s="1"/>
  <c r="AQ6" i="19"/>
  <c r="AQ14" i="19" s="1"/>
  <c r="B21" i="22"/>
  <c r="B22" i="22"/>
  <c r="B23" i="22"/>
  <c r="X39" i="22"/>
  <c r="X40" i="22"/>
  <c r="X38" i="22"/>
  <c r="W16" i="22"/>
  <c r="W14" i="22"/>
  <c r="W15" i="22"/>
  <c r="AR17" i="19"/>
  <c r="AR14" i="19"/>
  <c r="AI15" i="19"/>
  <c r="AI17" i="19"/>
  <c r="AI14" i="19"/>
  <c r="AI16" i="19"/>
  <c r="AJ17" i="19"/>
  <c r="AJ14" i="19"/>
  <c r="AJ15" i="19"/>
  <c r="AJ16" i="19"/>
  <c r="D36" i="10"/>
  <c r="D37" i="10"/>
  <c r="D38" i="10"/>
  <c r="D39" i="10"/>
  <c r="D40" i="10"/>
  <c r="D41" i="10"/>
  <c r="D42" i="10"/>
  <c r="D43" i="10"/>
  <c r="H43" i="10"/>
  <c r="AQ16" i="19" l="1"/>
  <c r="AR15" i="19"/>
  <c r="AQ17" i="19"/>
  <c r="AQ15" i="19"/>
  <c r="R9" i="20" l="1"/>
  <c r="R8" i="20" s="1"/>
  <c r="R14" i="20" s="1"/>
  <c r="Q6" i="20"/>
  <c r="Q9" i="20" s="1"/>
  <c r="P6" i="20"/>
  <c r="P10" i="20" s="1"/>
  <c r="K9" i="20"/>
  <c r="J6" i="20"/>
  <c r="J10" i="20" s="1"/>
  <c r="I6" i="20"/>
  <c r="L36" i="10"/>
  <c r="L37" i="10"/>
  <c r="L38" i="10"/>
  <c r="L39" i="10"/>
  <c r="L40" i="10"/>
  <c r="L41" i="10"/>
  <c r="L42" i="10"/>
  <c r="L43" i="10"/>
  <c r="L30" i="10"/>
  <c r="Q10" i="20" l="1"/>
  <c r="P8" i="20"/>
  <c r="Q8" i="20"/>
  <c r="P9" i="20"/>
  <c r="R13" i="20"/>
  <c r="K8" i="20"/>
  <c r="I8" i="20" s="1"/>
  <c r="I9" i="20"/>
  <c r="J9" i="20"/>
  <c r="I10" i="20"/>
  <c r="D9" i="20"/>
  <c r="C6" i="20"/>
  <c r="C10" i="20" s="1"/>
  <c r="B6" i="20"/>
  <c r="B10" i="20" s="1"/>
  <c r="K9" i="18"/>
  <c r="K11" i="18" s="1"/>
  <c r="J7" i="18"/>
  <c r="J8" i="18" s="1"/>
  <c r="I7" i="18"/>
  <c r="J5" i="18"/>
  <c r="I5" i="18"/>
  <c r="C7" i="18"/>
  <c r="C8" i="18" s="1"/>
  <c r="D9" i="18"/>
  <c r="C9" i="18" s="1"/>
  <c r="B7" i="18"/>
  <c r="B8" i="18" s="1"/>
  <c r="C5" i="18"/>
  <c r="B5" i="18"/>
  <c r="AA13" i="1"/>
  <c r="AA12" i="1"/>
  <c r="Q13" i="20" l="1"/>
  <c r="Q12" i="20"/>
  <c r="Q14" i="20"/>
  <c r="P14" i="20"/>
  <c r="P13" i="20"/>
  <c r="P12" i="20"/>
  <c r="K14" i="20"/>
  <c r="I13" i="20"/>
  <c r="J8" i="20"/>
  <c r="J14" i="20" s="1"/>
  <c r="K13" i="20"/>
  <c r="I12" i="20"/>
  <c r="I14" i="20"/>
  <c r="D8" i="20"/>
  <c r="D14" i="20" s="1"/>
  <c r="C9" i="20"/>
  <c r="B9" i="20"/>
  <c r="I8" i="18"/>
  <c r="I9" i="18"/>
  <c r="I11" i="18" s="1"/>
  <c r="J9" i="18"/>
  <c r="J11" i="18" s="1"/>
  <c r="C11" i="18"/>
  <c r="B9" i="18"/>
  <c r="B11" i="18" s="1"/>
  <c r="J12" i="20" l="1"/>
  <c r="J13" i="20"/>
  <c r="B8" i="20"/>
  <c r="B14" i="20" s="1"/>
  <c r="C8" i="20"/>
  <c r="C14" i="20" s="1"/>
  <c r="D13" i="20"/>
  <c r="K12" i="1"/>
  <c r="I6" i="1"/>
  <c r="I16" i="1" s="1"/>
  <c r="J6" i="1"/>
  <c r="K9" i="1"/>
  <c r="K10" i="1"/>
  <c r="K11" i="1"/>
  <c r="K13" i="1"/>
  <c r="K14" i="1"/>
  <c r="K15" i="1"/>
  <c r="E28" i="19"/>
  <c r="D28" i="19" s="1"/>
  <c r="D24" i="19"/>
  <c r="D27" i="19" s="1"/>
  <c r="C24" i="19"/>
  <c r="C29" i="19" s="1"/>
  <c r="G29" i="19"/>
  <c r="E25" i="19"/>
  <c r="AC7" i="19"/>
  <c r="AC8" i="19"/>
  <c r="AB4" i="19"/>
  <c r="AB9" i="19" s="1"/>
  <c r="AB8" i="19"/>
  <c r="AA4" i="19"/>
  <c r="U7" i="19"/>
  <c r="U8" i="19"/>
  <c r="T8" i="19" s="1"/>
  <c r="T4" i="19"/>
  <c r="T11" i="19" s="1"/>
  <c r="S4" i="19"/>
  <c r="M7" i="19"/>
  <c r="K7" i="19" s="1"/>
  <c r="M8" i="19"/>
  <c r="L8" i="19" s="1"/>
  <c r="M6" i="19"/>
  <c r="K6" i="19" s="1"/>
  <c r="L4" i="19"/>
  <c r="K4" i="19"/>
  <c r="E7" i="19"/>
  <c r="E8" i="19"/>
  <c r="D4" i="19"/>
  <c r="C4" i="19"/>
  <c r="C8" i="19" s="1"/>
  <c r="C7" i="19"/>
  <c r="AA12" i="19"/>
  <c r="L12" i="19"/>
  <c r="K12" i="19"/>
  <c r="AA9" i="19"/>
  <c r="AA10" i="19"/>
  <c r="AA11" i="19"/>
  <c r="L9" i="19"/>
  <c r="L10" i="19"/>
  <c r="L11" i="19"/>
  <c r="K9" i="19"/>
  <c r="K10" i="19"/>
  <c r="K11" i="19"/>
  <c r="AE9" i="19"/>
  <c r="W9" i="19"/>
  <c r="O9" i="19"/>
  <c r="G9" i="19"/>
  <c r="AC5" i="19"/>
  <c r="U5" i="19"/>
  <c r="M5" i="19"/>
  <c r="E5" i="19"/>
  <c r="R7" i="1"/>
  <c r="R16" i="1" s="1"/>
  <c r="S7" i="1"/>
  <c r="AA41" i="1"/>
  <c r="AA40" i="1"/>
  <c r="K29" i="18"/>
  <c r="I36" i="18" s="1"/>
  <c r="K22" i="18"/>
  <c r="J18" i="18"/>
  <c r="J26" i="18" s="1"/>
  <c r="I18" i="18"/>
  <c r="I24" i="18" s="1"/>
  <c r="D27" i="18"/>
  <c r="A34" i="18" s="1"/>
  <c r="D26" i="18"/>
  <c r="B18" i="18"/>
  <c r="B21" i="18" s="1"/>
  <c r="A32" i="18" s="1"/>
  <c r="C16" i="18"/>
  <c r="C18" i="18" s="1"/>
  <c r="C22" i="18" s="1"/>
  <c r="D11" i="18"/>
  <c r="F54" i="1"/>
  <c r="G77" i="1"/>
  <c r="F77" i="1"/>
  <c r="E77" i="1"/>
  <c r="G76" i="1"/>
  <c r="F76" i="1"/>
  <c r="E76" i="1"/>
  <c r="G75" i="1"/>
  <c r="F75" i="1"/>
  <c r="E75" i="1"/>
  <c r="G74" i="1"/>
  <c r="E74" i="1"/>
  <c r="G73" i="1"/>
  <c r="F73" i="1"/>
  <c r="E73" i="1"/>
  <c r="G72" i="1"/>
  <c r="F72" i="1"/>
  <c r="E72" i="1"/>
  <c r="G71" i="1"/>
  <c r="F71" i="1"/>
  <c r="E71" i="1"/>
  <c r="G70" i="1"/>
  <c r="E70" i="1"/>
  <c r="D70" i="1"/>
  <c r="F70" i="1" s="1"/>
  <c r="G69" i="1"/>
  <c r="E69" i="1"/>
  <c r="F68" i="1"/>
  <c r="G63" i="1"/>
  <c r="E63" i="1"/>
  <c r="D63" i="1"/>
  <c r="G62" i="1"/>
  <c r="E62" i="1"/>
  <c r="D62" i="1"/>
  <c r="G61" i="1"/>
  <c r="E61" i="1"/>
  <c r="D61" i="1"/>
  <c r="G60" i="1"/>
  <c r="E60" i="1"/>
  <c r="G59" i="1"/>
  <c r="E59" i="1"/>
  <c r="D59" i="1"/>
  <c r="G58" i="1"/>
  <c r="E58" i="1"/>
  <c r="D58" i="1"/>
  <c r="G57" i="1"/>
  <c r="E57" i="1"/>
  <c r="D57" i="1"/>
  <c r="G56" i="1"/>
  <c r="E56" i="1"/>
  <c r="D56" i="1"/>
  <c r="G55" i="1"/>
  <c r="E55" i="1"/>
  <c r="K3" i="16"/>
  <c r="AL19" i="9"/>
  <c r="AJ19" i="9"/>
  <c r="AI19" i="9"/>
  <c r="AF19" i="9"/>
  <c r="AE19" i="9"/>
  <c r="Q19" i="9"/>
  <c r="P19" i="9"/>
  <c r="X19" i="9" s="1"/>
  <c r="N19" i="9"/>
  <c r="R19" i="9" s="1"/>
  <c r="Z19" i="9" s="1"/>
  <c r="F19" i="9"/>
  <c r="AL18" i="9"/>
  <c r="AJ18" i="9"/>
  <c r="AI18" i="9"/>
  <c r="AF18" i="9"/>
  <c r="AE18" i="9"/>
  <c r="Q18" i="9"/>
  <c r="Y18" i="9" s="1"/>
  <c r="P18" i="9"/>
  <c r="X18" i="9" s="1"/>
  <c r="N18" i="9"/>
  <c r="R18" i="9" s="1"/>
  <c r="Z18" i="9" s="1"/>
  <c r="F18" i="9"/>
  <c r="AL17" i="9"/>
  <c r="AJ17" i="9"/>
  <c r="AI17" i="9"/>
  <c r="AM17" i="9" s="1"/>
  <c r="AF17" i="9"/>
  <c r="AE17" i="9"/>
  <c r="Q17" i="9"/>
  <c r="AH17" i="9" s="1"/>
  <c r="P17" i="9"/>
  <c r="X17" i="9"/>
  <c r="N17" i="9"/>
  <c r="R17" i="9"/>
  <c r="Z17" i="9" s="1"/>
  <c r="F17" i="9"/>
  <c r="AL16" i="9"/>
  <c r="AJ16" i="9"/>
  <c r="AI16" i="9"/>
  <c r="AF16" i="9"/>
  <c r="AE16" i="9"/>
  <c r="Q16" i="9"/>
  <c r="P16" i="9"/>
  <c r="X16" i="9" s="1"/>
  <c r="N16" i="9"/>
  <c r="R16" i="9" s="1"/>
  <c r="F16" i="9"/>
  <c r="AL15" i="9"/>
  <c r="AJ15" i="9"/>
  <c r="AI15" i="9"/>
  <c r="AF15" i="9"/>
  <c r="AE15" i="9"/>
  <c r="Q15" i="9"/>
  <c r="P15" i="9"/>
  <c r="N15" i="9"/>
  <c r="R15" i="9" s="1"/>
  <c r="F15" i="9"/>
  <c r="S19" i="9"/>
  <c r="AA19" i="9" s="1"/>
  <c r="AH18" i="9"/>
  <c r="F36" i="10"/>
  <c r="N36" i="10" s="1"/>
  <c r="F37" i="10"/>
  <c r="N37" i="10" s="1"/>
  <c r="F38" i="10"/>
  <c r="N38" i="10" s="1"/>
  <c r="F39" i="10"/>
  <c r="N39" i="10" s="1"/>
  <c r="F40" i="10"/>
  <c r="N40" i="10" s="1"/>
  <c r="F41" i="10"/>
  <c r="N41" i="10" s="1"/>
  <c r="F42" i="10"/>
  <c r="N42" i="10" s="1"/>
  <c r="F43" i="10"/>
  <c r="N43" i="10" s="1"/>
  <c r="F30" i="10"/>
  <c r="D30" i="10"/>
  <c r="D31" i="10" s="1"/>
  <c r="D40" i="1"/>
  <c r="D39" i="1"/>
  <c r="D38" i="1"/>
  <c r="D37" i="1"/>
  <c r="D36" i="1"/>
  <c r="D35" i="1"/>
  <c r="D34" i="1"/>
  <c r="C31" i="1"/>
  <c r="B31" i="1"/>
  <c r="B41" i="1" s="1"/>
  <c r="K37" i="1"/>
  <c r="D12" i="1"/>
  <c r="AN19" i="10"/>
  <c r="AV19" i="10" s="1"/>
  <c r="AN18" i="10"/>
  <c r="AV18" i="10" s="1"/>
  <c r="AN17" i="10"/>
  <c r="AV17" i="10" s="1"/>
  <c r="AN16" i="10"/>
  <c r="AV16" i="10" s="1"/>
  <c r="AN15" i="10"/>
  <c r="AV15" i="10" s="1"/>
  <c r="AN14" i="10"/>
  <c r="AV14" i="10" s="1"/>
  <c r="AN13" i="10"/>
  <c r="AV13" i="10" s="1"/>
  <c r="AN12" i="10"/>
  <c r="AV12" i="10" s="1"/>
  <c r="AN11" i="10"/>
  <c r="AV11" i="10" s="1"/>
  <c r="AN10" i="10"/>
  <c r="AV10" i="10" s="1"/>
  <c r="AN9" i="10"/>
  <c r="AV9" i="10" s="1"/>
  <c r="AN8" i="10"/>
  <c r="AN7" i="10"/>
  <c r="AV7" i="10" s="1"/>
  <c r="AN6" i="10"/>
  <c r="AL19" i="10"/>
  <c r="AL18" i="10"/>
  <c r="AL17" i="10"/>
  <c r="AL16" i="10"/>
  <c r="AL15" i="10"/>
  <c r="AL14" i="10"/>
  <c r="AL13" i="10"/>
  <c r="AL12" i="10"/>
  <c r="AL11" i="10"/>
  <c r="AL10" i="10"/>
  <c r="AL9" i="10"/>
  <c r="AL8" i="10"/>
  <c r="AL7" i="10"/>
  <c r="AL6" i="10"/>
  <c r="W19" i="10"/>
  <c r="AE19" i="10" s="1"/>
  <c r="W18" i="10"/>
  <c r="AE18" i="10" s="1"/>
  <c r="W17" i="10"/>
  <c r="AE17" i="10" s="1"/>
  <c r="W16" i="10"/>
  <c r="AE16" i="10" s="1"/>
  <c r="W15" i="10"/>
  <c r="AE15" i="10" s="1"/>
  <c r="W14" i="10"/>
  <c r="AE14" i="10" s="1"/>
  <c r="W13" i="10"/>
  <c r="AE13" i="10" s="1"/>
  <c r="W12" i="10"/>
  <c r="W11" i="10"/>
  <c r="AE11" i="10" s="1"/>
  <c r="W10" i="10"/>
  <c r="AE10" i="10" s="1"/>
  <c r="W9" i="10"/>
  <c r="AE9" i="10" s="1"/>
  <c r="W8" i="10"/>
  <c r="W7" i="10"/>
  <c r="AE7" i="10" s="1"/>
  <c r="W6" i="10"/>
  <c r="AE6" i="10" s="1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T40" i="1"/>
  <c r="T39" i="1"/>
  <c r="T38" i="1"/>
  <c r="T37" i="1"/>
  <c r="T36" i="1"/>
  <c r="T35" i="1"/>
  <c r="S32" i="1"/>
  <c r="S41" i="1" s="1"/>
  <c r="R32" i="1"/>
  <c r="AA7" i="10"/>
  <c r="AC6" i="10"/>
  <c r="F13" i="9"/>
  <c r="AL7" i="9"/>
  <c r="AL8" i="9"/>
  <c r="AL9" i="9"/>
  <c r="AL10" i="9"/>
  <c r="AL11" i="9"/>
  <c r="AL12" i="9"/>
  <c r="AL13" i="9"/>
  <c r="AL14" i="9"/>
  <c r="AL20" i="9"/>
  <c r="AL21" i="9"/>
  <c r="AL22" i="9"/>
  <c r="AL23" i="9"/>
  <c r="AL24" i="9"/>
  <c r="AL25" i="9"/>
  <c r="AL26" i="9"/>
  <c r="AL27" i="9"/>
  <c r="AL6" i="9"/>
  <c r="AI13" i="9"/>
  <c r="AM13" i="9" s="1"/>
  <c r="AI14" i="9"/>
  <c r="AK14" i="9" s="1"/>
  <c r="AI20" i="9"/>
  <c r="AK20" i="9" s="1"/>
  <c r="AI21" i="9"/>
  <c r="AI22" i="9"/>
  <c r="AI23" i="9"/>
  <c r="AI24" i="9"/>
  <c r="AM24" i="9" s="1"/>
  <c r="AI25" i="9"/>
  <c r="AI26" i="9"/>
  <c r="AI27" i="9"/>
  <c r="AM27" i="9" s="1"/>
  <c r="AI6" i="9"/>
  <c r="AM6" i="9" s="1"/>
  <c r="AI7" i="9"/>
  <c r="AI8" i="9"/>
  <c r="AI9" i="9"/>
  <c r="AI10" i="9"/>
  <c r="AI11" i="9"/>
  <c r="AI12" i="9"/>
  <c r="AJ7" i="9"/>
  <c r="AJ8" i="9"/>
  <c r="AJ9" i="9"/>
  <c r="AJ10" i="9"/>
  <c r="AJ11" i="9"/>
  <c r="AJ12" i="9"/>
  <c r="AJ13" i="9"/>
  <c r="AJ14" i="9"/>
  <c r="AJ20" i="9"/>
  <c r="AJ21" i="9"/>
  <c r="AJ22" i="9"/>
  <c r="AJ23" i="9"/>
  <c r="AJ24" i="9"/>
  <c r="AJ25" i="9"/>
  <c r="AJ26" i="9"/>
  <c r="AJ27" i="9"/>
  <c r="AJ6" i="9"/>
  <c r="AF7" i="9"/>
  <c r="AF8" i="9"/>
  <c r="AF9" i="9"/>
  <c r="AF10" i="9"/>
  <c r="AF11" i="9"/>
  <c r="AF12" i="9"/>
  <c r="AF13" i="9"/>
  <c r="AF14" i="9"/>
  <c r="AF20" i="9"/>
  <c r="AF21" i="9"/>
  <c r="AF22" i="9"/>
  <c r="AF23" i="9"/>
  <c r="AF24" i="9"/>
  <c r="AF25" i="9"/>
  <c r="AF26" i="9"/>
  <c r="AF27" i="9"/>
  <c r="AF6" i="9"/>
  <c r="AE7" i="9"/>
  <c r="AE8" i="9"/>
  <c r="AE9" i="9"/>
  <c r="AE10" i="9"/>
  <c r="AK10" i="9" s="1"/>
  <c r="AE11" i="9"/>
  <c r="AE12" i="9"/>
  <c r="AE13" i="9"/>
  <c r="AE14" i="9"/>
  <c r="AE20" i="9"/>
  <c r="AE21" i="9"/>
  <c r="AE22" i="9"/>
  <c r="AE23" i="9"/>
  <c r="AM23" i="9" s="1"/>
  <c r="AE24" i="9"/>
  <c r="AE25" i="9"/>
  <c r="AK25" i="9" s="1"/>
  <c r="AE26" i="9"/>
  <c r="AE27" i="9"/>
  <c r="AE6" i="9"/>
  <c r="Q6" i="9"/>
  <c r="AH6" i="9" s="1"/>
  <c r="Q7" i="9"/>
  <c r="AH7" i="9"/>
  <c r="Q8" i="9"/>
  <c r="AH8" i="9"/>
  <c r="Q9" i="9"/>
  <c r="AH9" i="9" s="1"/>
  <c r="Q10" i="9"/>
  <c r="AH10" i="9" s="1"/>
  <c r="Q11" i="9"/>
  <c r="AH11" i="9"/>
  <c r="Q13" i="9"/>
  <c r="AH13" i="9"/>
  <c r="Q14" i="9"/>
  <c r="AH14" i="9" s="1"/>
  <c r="Q20" i="9"/>
  <c r="AH20" i="9" s="1"/>
  <c r="Q21" i="9"/>
  <c r="Y21" i="9" s="1"/>
  <c r="AH21" i="9"/>
  <c r="Q22" i="9"/>
  <c r="AH22" i="9"/>
  <c r="Q23" i="9"/>
  <c r="Y23" i="9" s="1"/>
  <c r="Q24" i="9"/>
  <c r="AH24" i="9" s="1"/>
  <c r="Q25" i="9"/>
  <c r="AH25" i="9"/>
  <c r="Q26" i="9"/>
  <c r="Y26" i="9" s="1"/>
  <c r="AH26" i="9"/>
  <c r="Q27" i="9"/>
  <c r="AH27" i="9" s="1"/>
  <c r="Q12" i="9"/>
  <c r="AH12" i="9" s="1"/>
  <c r="P23" i="9"/>
  <c r="P24" i="9"/>
  <c r="X24" i="9" s="1"/>
  <c r="P25" i="9"/>
  <c r="P26" i="9"/>
  <c r="X26" i="9" s="1"/>
  <c r="F9" i="9"/>
  <c r="F10" i="9"/>
  <c r="F11" i="9"/>
  <c r="F12" i="9"/>
  <c r="F14" i="9"/>
  <c r="F20" i="9"/>
  <c r="F21" i="9"/>
  <c r="F22" i="9"/>
  <c r="F23" i="9"/>
  <c r="F24" i="9"/>
  <c r="F25" i="9"/>
  <c r="F26" i="9"/>
  <c r="F27" i="9"/>
  <c r="F6" i="9"/>
  <c r="F7" i="9"/>
  <c r="F8" i="9"/>
  <c r="AV20" i="10"/>
  <c r="AU19" i="10"/>
  <c r="AT19" i="10"/>
  <c r="AS19" i="10"/>
  <c r="AR19" i="10"/>
  <c r="AQ19" i="10"/>
  <c r="AP19" i="10"/>
  <c r="AU18" i="10"/>
  <c r="AT18" i="10"/>
  <c r="AS18" i="10"/>
  <c r="AR18" i="10"/>
  <c r="AQ18" i="10"/>
  <c r="AP18" i="10"/>
  <c r="AU17" i="10"/>
  <c r="AT17" i="10"/>
  <c r="AS17" i="10"/>
  <c r="AR17" i="10"/>
  <c r="AQ17" i="10"/>
  <c r="AP17" i="10"/>
  <c r="AU16" i="10"/>
  <c r="AT16" i="10"/>
  <c r="AS16" i="10"/>
  <c r="AR16" i="10"/>
  <c r="AQ16" i="10"/>
  <c r="AP16" i="10"/>
  <c r="AU15" i="10"/>
  <c r="AT15" i="10"/>
  <c r="AS15" i="10"/>
  <c r="AR15" i="10"/>
  <c r="AQ15" i="10"/>
  <c r="AP15" i="10"/>
  <c r="AU14" i="10"/>
  <c r="AT14" i="10"/>
  <c r="AS14" i="10"/>
  <c r="AR14" i="10"/>
  <c r="AQ14" i="10"/>
  <c r="AP14" i="10"/>
  <c r="AQ8" i="10"/>
  <c r="AV8" i="10"/>
  <c r="AV6" i="10"/>
  <c r="AV5" i="10"/>
  <c r="AQ5" i="10"/>
  <c r="AE20" i="10"/>
  <c r="AD19" i="10"/>
  <c r="AC19" i="10"/>
  <c r="AB19" i="10"/>
  <c r="AA19" i="10"/>
  <c r="Z19" i="10"/>
  <c r="Y19" i="10"/>
  <c r="AD18" i="10"/>
  <c r="AC18" i="10"/>
  <c r="AB18" i="10"/>
  <c r="AA18" i="10"/>
  <c r="Z18" i="10"/>
  <c r="Y18" i="10"/>
  <c r="AD17" i="10"/>
  <c r="AC17" i="10"/>
  <c r="AB17" i="10"/>
  <c r="AA17" i="10"/>
  <c r="Z17" i="10"/>
  <c r="Y17" i="10"/>
  <c r="AD16" i="10"/>
  <c r="AC16" i="10"/>
  <c r="AB16" i="10"/>
  <c r="AA16" i="10"/>
  <c r="Z16" i="10"/>
  <c r="Y16" i="10"/>
  <c r="AD15" i="10"/>
  <c r="AC15" i="10"/>
  <c r="AB15" i="10"/>
  <c r="AA15" i="10"/>
  <c r="Z15" i="10"/>
  <c r="Y15" i="10"/>
  <c r="AD14" i="10"/>
  <c r="AC14" i="10"/>
  <c r="AB14" i="10"/>
  <c r="AA14" i="10"/>
  <c r="Z14" i="10"/>
  <c r="Y14" i="10"/>
  <c r="Z12" i="10"/>
  <c r="AE12" i="10"/>
  <c r="AA11" i="10"/>
  <c r="AC10" i="10"/>
  <c r="AE8" i="10"/>
  <c r="AE5" i="10"/>
  <c r="Z5" i="10"/>
  <c r="L14" i="10"/>
  <c r="L15" i="10"/>
  <c r="L16" i="10"/>
  <c r="L17" i="10"/>
  <c r="L18" i="10"/>
  <c r="L19" i="10"/>
  <c r="N29" i="10"/>
  <c r="H19" i="10"/>
  <c r="F19" i="10"/>
  <c r="N19" i="10" s="1"/>
  <c r="H18" i="10"/>
  <c r="F18" i="10"/>
  <c r="N18" i="10" s="1"/>
  <c r="H17" i="10"/>
  <c r="F17" i="10"/>
  <c r="N17" i="10" s="1"/>
  <c r="H16" i="10"/>
  <c r="F16" i="10"/>
  <c r="N16" i="10" s="1"/>
  <c r="H15" i="10"/>
  <c r="F15" i="10"/>
  <c r="N15" i="10" s="1"/>
  <c r="F14" i="10"/>
  <c r="N14" i="10" s="1"/>
  <c r="F13" i="10"/>
  <c r="N13" i="10" s="1"/>
  <c r="F12" i="10"/>
  <c r="N12" i="10" s="1"/>
  <c r="F11" i="10"/>
  <c r="N11" i="10" s="1"/>
  <c r="F10" i="10"/>
  <c r="N10" i="10" s="1"/>
  <c r="F9" i="10"/>
  <c r="N9" i="10" s="1"/>
  <c r="F8" i="10"/>
  <c r="N8" i="10" s="1"/>
  <c r="F7" i="10"/>
  <c r="N7" i="10" s="1"/>
  <c r="F6" i="10"/>
  <c r="N6" i="10" s="1"/>
  <c r="N5" i="10"/>
  <c r="D19" i="10"/>
  <c r="D18" i="10"/>
  <c r="D17" i="10"/>
  <c r="D16" i="10"/>
  <c r="D15" i="10"/>
  <c r="D14" i="10"/>
  <c r="AK9" i="9"/>
  <c r="AK8" i="9"/>
  <c r="AK21" i="9"/>
  <c r="Z8" i="10"/>
  <c r="AK7" i="9"/>
  <c r="AK11" i="9"/>
  <c r="AQ12" i="10"/>
  <c r="AT6" i="10"/>
  <c r="AR7" i="10"/>
  <c r="AR11" i="10"/>
  <c r="AT10" i="10"/>
  <c r="AT7" i="10"/>
  <c r="AR8" i="10"/>
  <c r="AT11" i="10"/>
  <c r="AR12" i="10"/>
  <c r="AP13" i="10"/>
  <c r="AT8" i="10"/>
  <c r="AR9" i="10"/>
  <c r="AT12" i="10"/>
  <c r="AR13" i="10"/>
  <c r="AQ9" i="10"/>
  <c r="AQ13" i="10"/>
  <c r="AQ6" i="10"/>
  <c r="AQ10" i="10"/>
  <c r="AR6" i="10"/>
  <c r="AT9" i="10"/>
  <c r="AR10" i="10"/>
  <c r="AT13" i="10"/>
  <c r="AQ7" i="10"/>
  <c r="AQ11" i="10"/>
  <c r="AC7" i="10"/>
  <c r="AA8" i="10"/>
  <c r="AC11" i="10"/>
  <c r="AA12" i="10"/>
  <c r="Y13" i="10"/>
  <c r="Z13" i="10"/>
  <c r="Z9" i="10"/>
  <c r="AC8" i="10"/>
  <c r="AA9" i="10"/>
  <c r="AC12" i="10"/>
  <c r="AA13" i="10"/>
  <c r="Z6" i="10"/>
  <c r="Z10" i="10"/>
  <c r="AA6" i="10"/>
  <c r="AC9" i="10"/>
  <c r="AA10" i="10"/>
  <c r="AC13" i="10"/>
  <c r="Z11" i="10"/>
  <c r="Z7" i="10"/>
  <c r="AB13" i="10"/>
  <c r="AD13" i="10"/>
  <c r="AS13" i="10"/>
  <c r="AU13" i="10"/>
  <c r="AP12" i="10"/>
  <c r="Y12" i="10"/>
  <c r="AB12" i="10"/>
  <c r="Y11" i="10"/>
  <c r="AS12" i="10"/>
  <c r="AP11" i="10"/>
  <c r="AU12" i="10"/>
  <c r="AD12" i="10"/>
  <c r="AS11" i="10"/>
  <c r="AP10" i="10"/>
  <c r="AB11" i="10"/>
  <c r="Y10" i="10"/>
  <c r="AD11" i="10"/>
  <c r="AS10" i="10"/>
  <c r="AP9" i="10"/>
  <c r="AU11" i="10"/>
  <c r="AB10" i="10"/>
  <c r="Y9" i="10"/>
  <c r="J7" i="10"/>
  <c r="I9" i="10"/>
  <c r="J6" i="10"/>
  <c r="N7" i="9"/>
  <c r="R7" i="9" s="1"/>
  <c r="P7" i="9"/>
  <c r="X7" i="9" s="1"/>
  <c r="N8" i="9"/>
  <c r="R8" i="9" s="1"/>
  <c r="Z8" i="9" s="1"/>
  <c r="P8" i="9"/>
  <c r="X8" i="9" s="1"/>
  <c r="N9" i="9"/>
  <c r="P9" i="9"/>
  <c r="N10" i="9"/>
  <c r="R10" i="9" s="1"/>
  <c r="P10" i="9"/>
  <c r="N11" i="9"/>
  <c r="P11" i="9"/>
  <c r="X11" i="9" s="1"/>
  <c r="N12" i="9"/>
  <c r="P12" i="9"/>
  <c r="X12" i="9" s="1"/>
  <c r="N13" i="9"/>
  <c r="R13" i="9" s="1"/>
  <c r="P13" i="9"/>
  <c r="N14" i="9"/>
  <c r="R14" i="9" s="1"/>
  <c r="P14" i="9"/>
  <c r="N20" i="9"/>
  <c r="R20" i="9" s="1"/>
  <c r="Z20" i="9" s="1"/>
  <c r="P20" i="9"/>
  <c r="X20" i="9" s="1"/>
  <c r="N21" i="9"/>
  <c r="R21" i="9" s="1"/>
  <c r="S21" i="9" s="1"/>
  <c r="AA21" i="9" s="1"/>
  <c r="P21" i="9"/>
  <c r="X21" i="9" s="1"/>
  <c r="N22" i="9"/>
  <c r="R22" i="9" s="1"/>
  <c r="Z22" i="9" s="1"/>
  <c r="P22" i="9"/>
  <c r="X22" i="9" s="1"/>
  <c r="N23" i="9"/>
  <c r="R23" i="9" s="1"/>
  <c r="N24" i="9"/>
  <c r="N25" i="9"/>
  <c r="N26" i="9"/>
  <c r="R26" i="9" s="1"/>
  <c r="N27" i="9"/>
  <c r="P27" i="9" s="1"/>
  <c r="X27" i="9" s="1"/>
  <c r="N6" i="9"/>
  <c r="R6" i="9" s="1"/>
  <c r="N44" i="10"/>
  <c r="N20" i="10"/>
  <c r="K43" i="10"/>
  <c r="J43" i="10"/>
  <c r="I43" i="10"/>
  <c r="J42" i="10"/>
  <c r="I42" i="10"/>
  <c r="J41" i="10"/>
  <c r="I41" i="10"/>
  <c r="J40" i="10"/>
  <c r="I40" i="10"/>
  <c r="J39" i="10"/>
  <c r="I39" i="10"/>
  <c r="J38" i="10"/>
  <c r="I38" i="10"/>
  <c r="J37" i="10"/>
  <c r="I37" i="10"/>
  <c r="J36" i="10"/>
  <c r="I36" i="10"/>
  <c r="J35" i="10"/>
  <c r="J34" i="10"/>
  <c r="J33" i="10"/>
  <c r="J32" i="10"/>
  <c r="J31" i="10"/>
  <c r="J30" i="10"/>
  <c r="I29" i="10"/>
  <c r="I7" i="10"/>
  <c r="I14" i="10"/>
  <c r="I15" i="10"/>
  <c r="I16" i="10"/>
  <c r="I17" i="10"/>
  <c r="I18" i="10"/>
  <c r="I19" i="10"/>
  <c r="M15" i="10"/>
  <c r="M16" i="10"/>
  <c r="M17" i="10"/>
  <c r="M18" i="10"/>
  <c r="M19" i="10"/>
  <c r="J10" i="10"/>
  <c r="J14" i="10"/>
  <c r="J15" i="10"/>
  <c r="J16" i="10"/>
  <c r="J17" i="10"/>
  <c r="J18" i="10"/>
  <c r="J19" i="10"/>
  <c r="K15" i="10"/>
  <c r="H14" i="10"/>
  <c r="K14" i="10"/>
  <c r="H13" i="10"/>
  <c r="K16" i="10"/>
  <c r="K17" i="10"/>
  <c r="K18" i="10"/>
  <c r="K19" i="10"/>
  <c r="I11" i="10"/>
  <c r="I12" i="10"/>
  <c r="I6" i="10"/>
  <c r="M14" i="10"/>
  <c r="D13" i="10"/>
  <c r="J12" i="10"/>
  <c r="D12" i="10"/>
  <c r="L13" i="10"/>
  <c r="L12" i="10"/>
  <c r="D11" i="10"/>
  <c r="D10" i="10"/>
  <c r="L11" i="10"/>
  <c r="L10" i="10"/>
  <c r="L9" i="10"/>
  <c r="D9" i="10"/>
  <c r="J11" i="10"/>
  <c r="J9" i="10"/>
  <c r="D8" i="10"/>
  <c r="D7" i="10"/>
  <c r="L8" i="10"/>
  <c r="D6" i="10"/>
  <c r="L7" i="10"/>
  <c r="L6" i="10"/>
  <c r="AS9" i="10"/>
  <c r="AP8" i="10"/>
  <c r="AU10" i="10"/>
  <c r="AB9" i="10"/>
  <c r="Y8" i="10"/>
  <c r="AD10" i="10"/>
  <c r="I13" i="10"/>
  <c r="J8" i="10"/>
  <c r="J13" i="10"/>
  <c r="K13" i="10"/>
  <c r="H12" i="10"/>
  <c r="I5" i="10"/>
  <c r="I8" i="10"/>
  <c r="I10" i="10"/>
  <c r="AU9" i="10"/>
  <c r="AS8" i="10"/>
  <c r="AP7" i="10"/>
  <c r="AB8" i="10"/>
  <c r="Y7" i="10"/>
  <c r="AD9" i="10"/>
  <c r="K12" i="10"/>
  <c r="H11" i="10"/>
  <c r="M13" i="10"/>
  <c r="K40" i="1"/>
  <c r="K39" i="1"/>
  <c r="K36" i="1"/>
  <c r="K38" i="1"/>
  <c r="K35" i="1"/>
  <c r="K34" i="1"/>
  <c r="J31" i="1"/>
  <c r="J41" i="1" s="1"/>
  <c r="I31" i="1"/>
  <c r="I41" i="1" s="1"/>
  <c r="D15" i="1"/>
  <c r="D14" i="1"/>
  <c r="D13" i="1"/>
  <c r="D10" i="1"/>
  <c r="AA37" i="1"/>
  <c r="AA39" i="1"/>
  <c r="AA36" i="1"/>
  <c r="AA35" i="1"/>
  <c r="Z32" i="1"/>
  <c r="Y32" i="1"/>
  <c r="Y38" i="1" s="1"/>
  <c r="AA15" i="1"/>
  <c r="AA14" i="1"/>
  <c r="AA11" i="1"/>
  <c r="AA10" i="1"/>
  <c r="Z7" i="1"/>
  <c r="Y7" i="1"/>
  <c r="T13" i="1"/>
  <c r="T11" i="1"/>
  <c r="T15" i="1"/>
  <c r="T14" i="1"/>
  <c r="T10" i="1"/>
  <c r="T12" i="1"/>
  <c r="AU8" i="10"/>
  <c r="AS7" i="10"/>
  <c r="AP6" i="10"/>
  <c r="AD8" i="10"/>
  <c r="AB7" i="10"/>
  <c r="Y6" i="10"/>
  <c r="K11" i="10"/>
  <c r="H10" i="10"/>
  <c r="M12" i="10"/>
  <c r="AD7" i="10"/>
  <c r="AU7" i="10"/>
  <c r="AS6" i="10"/>
  <c r="AP5" i="10"/>
  <c r="AU5" i="10"/>
  <c r="AB6" i="10"/>
  <c r="Y5" i="10"/>
  <c r="AD5" i="10"/>
  <c r="M11" i="10"/>
  <c r="K10" i="10"/>
  <c r="H9" i="10"/>
  <c r="AU6" i="10"/>
  <c r="AD6" i="10"/>
  <c r="M10" i="10"/>
  <c r="D11" i="1"/>
  <c r="C6" i="1"/>
  <c r="C16" i="1" s="1"/>
  <c r="B6" i="1"/>
  <c r="B16" i="1" s="1"/>
  <c r="D9" i="1"/>
  <c r="R25" i="9"/>
  <c r="Z25" i="9" s="1"/>
  <c r="X14" i="9"/>
  <c r="AK27" i="9"/>
  <c r="AK23" i="9"/>
  <c r="AK22" i="9"/>
  <c r="Y22" i="9"/>
  <c r="R12" i="9"/>
  <c r="R11" i="9"/>
  <c r="S11" i="9" s="1"/>
  <c r="AA11" i="9" s="1"/>
  <c r="R9" i="9"/>
  <c r="Z9" i="9" s="1"/>
  <c r="AM7" i="9"/>
  <c r="Y20" i="9"/>
  <c r="Y7" i="9"/>
  <c r="Y27" i="9"/>
  <c r="AM21" i="9"/>
  <c r="AM12" i="9"/>
  <c r="AM22" i="9"/>
  <c r="AM8" i="9"/>
  <c r="AM11" i="9"/>
  <c r="AM10" i="9"/>
  <c r="R24" i="9"/>
  <c r="S24" i="9" s="1"/>
  <c r="AA24" i="9" s="1"/>
  <c r="AM9" i="9"/>
  <c r="T27" i="9"/>
  <c r="AB27" i="9" s="1"/>
  <c r="Y11" i="9"/>
  <c r="X10" i="9"/>
  <c r="Y8" i="9"/>
  <c r="X13" i="9"/>
  <c r="Y13" i="9"/>
  <c r="Y25" i="9"/>
  <c r="X25" i="9"/>
  <c r="X23" i="9"/>
  <c r="X9" i="9"/>
  <c r="K9" i="10"/>
  <c r="H8" i="10"/>
  <c r="M9" i="10"/>
  <c r="K8" i="10"/>
  <c r="H7" i="10"/>
  <c r="K7" i="10"/>
  <c r="H6" i="10"/>
  <c r="M8" i="10"/>
  <c r="K6" i="10"/>
  <c r="H5" i="10"/>
  <c r="M7" i="10"/>
  <c r="M6" i="10"/>
  <c r="M5" i="10"/>
  <c r="Y12" i="9"/>
  <c r="AM26" i="9" l="1"/>
  <c r="AB11" i="19"/>
  <c r="T25" i="9"/>
  <c r="AB25" i="9" s="1"/>
  <c r="AM20" i="9"/>
  <c r="AK19" i="9"/>
  <c r="C12" i="19"/>
  <c r="E6" i="19"/>
  <c r="D6" i="19" s="1"/>
  <c r="S8" i="19"/>
  <c r="AC6" i="19"/>
  <c r="AM14" i="9"/>
  <c r="Y9" i="9"/>
  <c r="R27" i="9"/>
  <c r="AK17" i="9"/>
  <c r="C11" i="19"/>
  <c r="T10" i="19"/>
  <c r="C10" i="19"/>
  <c r="T9" i="19"/>
  <c r="T12" i="19"/>
  <c r="Y10" i="9"/>
  <c r="AM25" i="9"/>
  <c r="Z11" i="9"/>
  <c r="AK26" i="9"/>
  <c r="AK6" i="9"/>
  <c r="Z14" i="9"/>
  <c r="S14" i="9"/>
  <c r="AA14" i="9" s="1"/>
  <c r="T14" i="9"/>
  <c r="T10" i="9"/>
  <c r="AB10" i="9" s="1"/>
  <c r="Z10" i="9"/>
  <c r="S7" i="9"/>
  <c r="AA7" i="9" s="1"/>
  <c r="Z7" i="9"/>
  <c r="Y24" i="9"/>
  <c r="T9" i="9"/>
  <c r="AK24" i="9"/>
  <c r="T13" i="9"/>
  <c r="U13" i="9" s="1"/>
  <c r="AC13" i="9" s="1"/>
  <c r="S16" i="9"/>
  <c r="AA16" i="9" s="1"/>
  <c r="Z16" i="9"/>
  <c r="T22" i="9"/>
  <c r="AB22" i="9" s="1"/>
  <c r="Y14" i="9"/>
  <c r="S22" i="9"/>
  <c r="AA22" i="9" s="1"/>
  <c r="AM19" i="9"/>
  <c r="M15" i="19"/>
  <c r="T19" i="9"/>
  <c r="AB19" i="9" s="1"/>
  <c r="C9" i="19"/>
  <c r="U27" i="9"/>
  <c r="AC27" i="9" s="1"/>
  <c r="T12" i="9"/>
  <c r="AB12" i="9" s="1"/>
  <c r="AH23" i="9"/>
  <c r="AK15" i="9"/>
  <c r="AM18" i="9"/>
  <c r="S25" i="9"/>
  <c r="AA25" i="9" s="1"/>
  <c r="T21" i="9"/>
  <c r="U21" i="9" s="1"/>
  <c r="AC21" i="9" s="1"/>
  <c r="AK13" i="9"/>
  <c r="AM15" i="9"/>
  <c r="AK18" i="9"/>
  <c r="J24" i="18"/>
  <c r="AK12" i="9"/>
  <c r="U25" i="9"/>
  <c r="AC25" i="9" s="1"/>
  <c r="S15" i="9"/>
  <c r="AA15" i="9" s="1"/>
  <c r="Z15" i="9"/>
  <c r="Y17" i="9"/>
  <c r="AB12" i="19"/>
  <c r="K8" i="19"/>
  <c r="K16" i="19" s="1"/>
  <c r="L7" i="19"/>
  <c r="AA6" i="19"/>
  <c r="AB7" i="19"/>
  <c r="AB10" i="19"/>
  <c r="AA8" i="19"/>
  <c r="AA7" i="19"/>
  <c r="AA17" i="19" s="1"/>
  <c r="H42" i="10"/>
  <c r="M43" i="10"/>
  <c r="F31" i="10"/>
  <c r="L31" i="10"/>
  <c r="I30" i="10"/>
  <c r="M20" i="10"/>
  <c r="AU20" i="10"/>
  <c r="I31" i="10"/>
  <c r="D32" i="10"/>
  <c r="AD20" i="10"/>
  <c r="N30" i="10"/>
  <c r="D29" i="19"/>
  <c r="C30" i="19"/>
  <c r="D30" i="19"/>
  <c r="P6" i="9"/>
  <c r="T6" i="9" s="1"/>
  <c r="AB6" i="9" s="1"/>
  <c r="Y6" i="9"/>
  <c r="Z6" i="9"/>
  <c r="S6" i="9"/>
  <c r="AA6" i="9" s="1"/>
  <c r="B13" i="20"/>
  <c r="B12" i="20"/>
  <c r="C12" i="20"/>
  <c r="C13" i="20"/>
  <c r="J25" i="18"/>
  <c r="J19" i="18"/>
  <c r="I25" i="18"/>
  <c r="I26" i="18"/>
  <c r="I22" i="18"/>
  <c r="I34" i="18" s="1"/>
  <c r="J22" i="18"/>
  <c r="B24" i="18"/>
  <c r="C24" i="18"/>
  <c r="B19" i="18"/>
  <c r="A29" i="18" s="1"/>
  <c r="B22" i="18"/>
  <c r="J23" i="18"/>
  <c r="J21" i="18"/>
  <c r="B23" i="18"/>
  <c r="K28" i="18"/>
  <c r="Z40" i="1"/>
  <c r="Z38" i="1"/>
  <c r="I10" i="1"/>
  <c r="Y41" i="1"/>
  <c r="D69" i="1"/>
  <c r="F69" i="1" s="1"/>
  <c r="J38" i="1"/>
  <c r="R14" i="1"/>
  <c r="Z41" i="1"/>
  <c r="Y13" i="1"/>
  <c r="Y12" i="1"/>
  <c r="Z12" i="1"/>
  <c r="Z13" i="1"/>
  <c r="Z42" i="1"/>
  <c r="S10" i="1"/>
  <c r="R39" i="1"/>
  <c r="S16" i="1"/>
  <c r="Z11" i="1"/>
  <c r="Z36" i="1"/>
  <c r="C35" i="1"/>
  <c r="S15" i="1"/>
  <c r="I14" i="1"/>
  <c r="J14" i="1"/>
  <c r="C38" i="1"/>
  <c r="R11" i="1"/>
  <c r="J40" i="1"/>
  <c r="J35" i="1"/>
  <c r="C41" i="1"/>
  <c r="C36" i="1"/>
  <c r="K33" i="1"/>
  <c r="K46" i="1" s="1"/>
  <c r="J39" i="1"/>
  <c r="C39" i="1"/>
  <c r="R10" i="1"/>
  <c r="Z37" i="1"/>
  <c r="R38" i="1"/>
  <c r="S14" i="1"/>
  <c r="R13" i="1"/>
  <c r="I15" i="1"/>
  <c r="Z39" i="1"/>
  <c r="R12" i="1"/>
  <c r="Z10" i="1"/>
  <c r="B9" i="1"/>
  <c r="J37" i="1"/>
  <c r="B11" i="1"/>
  <c r="R15" i="1"/>
  <c r="I34" i="1"/>
  <c r="S38" i="1"/>
  <c r="S36" i="1"/>
  <c r="I38" i="1"/>
  <c r="R41" i="1"/>
  <c r="S37" i="1"/>
  <c r="C13" i="1"/>
  <c r="I36" i="1"/>
  <c r="S35" i="1"/>
  <c r="S39" i="1"/>
  <c r="I13" i="1"/>
  <c r="S12" i="1"/>
  <c r="S40" i="1"/>
  <c r="I11" i="1"/>
  <c r="B13" i="1"/>
  <c r="S13" i="1"/>
  <c r="Z35" i="1"/>
  <c r="I9" i="1"/>
  <c r="J10" i="1"/>
  <c r="AA9" i="1"/>
  <c r="Z9" i="1" s="1"/>
  <c r="B15" i="1"/>
  <c r="Y36" i="1"/>
  <c r="I39" i="1"/>
  <c r="B39" i="1"/>
  <c r="C40" i="1"/>
  <c r="D55" i="1"/>
  <c r="J13" i="1"/>
  <c r="C15" i="1"/>
  <c r="Z16" i="1"/>
  <c r="B14" i="1"/>
  <c r="B12" i="1"/>
  <c r="Z15" i="1"/>
  <c r="Y35" i="1"/>
  <c r="I40" i="1"/>
  <c r="B40" i="1"/>
  <c r="D8" i="1"/>
  <c r="B8" i="1" s="1"/>
  <c r="Y10" i="1"/>
  <c r="Z14" i="1"/>
  <c r="T9" i="1"/>
  <c r="T21" i="1" s="1"/>
  <c r="B10" i="1"/>
  <c r="I12" i="1"/>
  <c r="D33" i="1"/>
  <c r="D45" i="1" s="1"/>
  <c r="T23" i="9"/>
  <c r="Z23" i="9"/>
  <c r="S23" i="9"/>
  <c r="AA23" i="9" s="1"/>
  <c r="U9" i="9"/>
  <c r="AC9" i="9" s="1"/>
  <c r="AB9" i="9"/>
  <c r="S26" i="9"/>
  <c r="AA26" i="9" s="1"/>
  <c r="Z26" i="9"/>
  <c r="T26" i="9"/>
  <c r="S20" i="9"/>
  <c r="AA20" i="9" s="1"/>
  <c r="T7" i="9"/>
  <c r="S10" i="9"/>
  <c r="AA10" i="9" s="1"/>
  <c r="J34" i="1"/>
  <c r="J36" i="1"/>
  <c r="Z12" i="9"/>
  <c r="Z21" i="9"/>
  <c r="C14" i="1"/>
  <c r="C34" i="1"/>
  <c r="Y15" i="9"/>
  <c r="AH15" i="9"/>
  <c r="S12" i="9"/>
  <c r="AA12" i="9" s="1"/>
  <c r="T11" i="9"/>
  <c r="T20" i="9"/>
  <c r="C11" i="1"/>
  <c r="Y14" i="1"/>
  <c r="T8" i="9"/>
  <c r="Z24" i="9"/>
  <c r="S13" i="9"/>
  <c r="AA13" i="9" s="1"/>
  <c r="S9" i="9"/>
  <c r="AA9" i="9" s="1"/>
  <c r="C9" i="1"/>
  <c r="Y40" i="1"/>
  <c r="I35" i="1"/>
  <c r="Y39" i="1"/>
  <c r="I37" i="1"/>
  <c r="R40" i="1"/>
  <c r="R35" i="1"/>
  <c r="R37" i="1"/>
  <c r="B37" i="1"/>
  <c r="U19" i="9"/>
  <c r="AC19" i="9" s="1"/>
  <c r="T17" i="9"/>
  <c r="S17" i="9"/>
  <c r="AA17" i="9" s="1"/>
  <c r="Z13" i="9"/>
  <c r="F32" i="10"/>
  <c r="AH16" i="9"/>
  <c r="Y16" i="9"/>
  <c r="U22" i="9"/>
  <c r="AC22" i="9" s="1"/>
  <c r="S8" i="9"/>
  <c r="AA8" i="9" s="1"/>
  <c r="Y11" i="1"/>
  <c r="Y42" i="1"/>
  <c r="R36" i="1"/>
  <c r="T34" i="1"/>
  <c r="R34" i="1" s="1"/>
  <c r="AK16" i="9"/>
  <c r="AM16" i="9"/>
  <c r="Y19" i="9"/>
  <c r="AH19" i="9"/>
  <c r="C10" i="1"/>
  <c r="C12" i="1"/>
  <c r="S11" i="1"/>
  <c r="Y16" i="1"/>
  <c r="Y15" i="1"/>
  <c r="Y37" i="1"/>
  <c r="T16" i="9"/>
  <c r="X15" i="9"/>
  <c r="T15" i="9"/>
  <c r="T24" i="9"/>
  <c r="B34" i="1"/>
  <c r="B36" i="1"/>
  <c r="B38" i="1"/>
  <c r="B35" i="1"/>
  <c r="S18" i="9"/>
  <c r="AA18" i="9" s="1"/>
  <c r="T18" i="9"/>
  <c r="K14" i="19"/>
  <c r="K17" i="19"/>
  <c r="K15" i="19"/>
  <c r="AA16" i="19"/>
  <c r="AA15" i="19"/>
  <c r="I23" i="18"/>
  <c r="I21" i="18"/>
  <c r="C21" i="18"/>
  <c r="K4" i="16"/>
  <c r="C23" i="18"/>
  <c r="I19" i="18"/>
  <c r="I31" i="18" s="1"/>
  <c r="C37" i="1"/>
  <c r="T7" i="19"/>
  <c r="U6" i="19"/>
  <c r="S6" i="19" s="1"/>
  <c r="AC17" i="19"/>
  <c r="AC15" i="19"/>
  <c r="AB6" i="19"/>
  <c r="AC16" i="19"/>
  <c r="C19" i="18"/>
  <c r="M16" i="19"/>
  <c r="M17" i="19"/>
  <c r="D11" i="19"/>
  <c r="D7" i="19"/>
  <c r="D12" i="19"/>
  <c r="D9" i="19"/>
  <c r="D10" i="19"/>
  <c r="D8" i="19"/>
  <c r="L6" i="19"/>
  <c r="S7" i="19"/>
  <c r="J16" i="1"/>
  <c r="J11" i="1"/>
  <c r="K8" i="1"/>
  <c r="S12" i="19"/>
  <c r="C28" i="19"/>
  <c r="J12" i="1"/>
  <c r="C27" i="19"/>
  <c r="J15" i="1"/>
  <c r="E26" i="19"/>
  <c r="C26" i="19" s="1"/>
  <c r="J9" i="1"/>
  <c r="S11" i="19"/>
  <c r="S10" i="19"/>
  <c r="S9" i="19"/>
  <c r="E15" i="19" l="1"/>
  <c r="C6" i="19"/>
  <c r="E16" i="19"/>
  <c r="AB21" i="9"/>
  <c r="E17" i="19"/>
  <c r="AB13" i="9"/>
  <c r="Z27" i="9"/>
  <c r="S27" i="9"/>
  <c r="AA27" i="9" s="1"/>
  <c r="U10" i="9"/>
  <c r="AC10" i="9" s="1"/>
  <c r="J28" i="18"/>
  <c r="U12" i="9"/>
  <c r="AC12" i="9" s="1"/>
  <c r="U14" i="9"/>
  <c r="AC14" i="9" s="1"/>
  <c r="AB14" i="9"/>
  <c r="AA14" i="19"/>
  <c r="J29" i="18"/>
  <c r="K42" i="10"/>
  <c r="H41" i="10" s="1"/>
  <c r="L33" i="10"/>
  <c r="N31" i="10"/>
  <c r="L32" i="10"/>
  <c r="D33" i="10"/>
  <c r="X6" i="9"/>
  <c r="U6" i="9"/>
  <c r="AC6" i="9" s="1"/>
  <c r="I28" i="18"/>
  <c r="C27" i="18"/>
  <c r="I29" i="18"/>
  <c r="I32" i="18" s="1"/>
  <c r="B26" i="18"/>
  <c r="C26" i="18"/>
  <c r="B27" i="18"/>
  <c r="A30" i="18" s="1"/>
  <c r="T20" i="1"/>
  <c r="K45" i="1"/>
  <c r="J33" i="1"/>
  <c r="J44" i="1" s="1"/>
  <c r="K44" i="1"/>
  <c r="I33" i="1"/>
  <c r="I45" i="1" s="1"/>
  <c r="T19" i="1"/>
  <c r="S9" i="1"/>
  <c r="S21" i="1" s="1"/>
  <c r="C8" i="1"/>
  <c r="C20" i="1" s="1"/>
  <c r="C33" i="1"/>
  <c r="C43" i="1" s="1"/>
  <c r="D44" i="1"/>
  <c r="Y9" i="1"/>
  <c r="Y19" i="1" s="1"/>
  <c r="R9" i="1"/>
  <c r="R21" i="1" s="1"/>
  <c r="AA21" i="1"/>
  <c r="D46" i="1"/>
  <c r="AA20" i="1"/>
  <c r="D21" i="1"/>
  <c r="D20" i="1"/>
  <c r="D19" i="1"/>
  <c r="AA19" i="1"/>
  <c r="B33" i="1"/>
  <c r="B43" i="1" s="1"/>
  <c r="R44" i="1"/>
  <c r="R45" i="1"/>
  <c r="R43" i="1"/>
  <c r="R46" i="1"/>
  <c r="L15" i="19"/>
  <c r="L17" i="19"/>
  <c r="L16" i="19"/>
  <c r="L14" i="19"/>
  <c r="U7" i="9"/>
  <c r="AC7" i="9" s="1"/>
  <c r="AB7" i="9"/>
  <c r="Z20" i="1"/>
  <c r="Z21" i="1"/>
  <c r="Z18" i="1"/>
  <c r="Z19" i="1"/>
  <c r="U26" i="9"/>
  <c r="AC26" i="9" s="1"/>
  <c r="AB26" i="9"/>
  <c r="E34" i="19"/>
  <c r="E35" i="19"/>
  <c r="E33" i="19"/>
  <c r="S17" i="19"/>
  <c r="S14" i="19"/>
  <c r="S15" i="19"/>
  <c r="S16" i="19"/>
  <c r="U24" i="9"/>
  <c r="AC24" i="9" s="1"/>
  <c r="AB24" i="9"/>
  <c r="AB16" i="19"/>
  <c r="AB17" i="19"/>
  <c r="AB15" i="19"/>
  <c r="AB14" i="19"/>
  <c r="U18" i="9"/>
  <c r="AC18" i="9" s="1"/>
  <c r="AB18" i="9"/>
  <c r="AB15" i="9"/>
  <c r="U15" i="9"/>
  <c r="AC15" i="9" s="1"/>
  <c r="AB20" i="9"/>
  <c r="U20" i="9"/>
  <c r="AC20" i="9" s="1"/>
  <c r="U23" i="9"/>
  <c r="AC23" i="9" s="1"/>
  <c r="AB23" i="9"/>
  <c r="C33" i="19"/>
  <c r="C32" i="19"/>
  <c r="C34" i="19"/>
  <c r="C35" i="19"/>
  <c r="I8" i="1"/>
  <c r="J8" i="1"/>
  <c r="K21" i="1"/>
  <c r="K19" i="1"/>
  <c r="K20" i="1"/>
  <c r="C16" i="19"/>
  <c r="C17" i="19"/>
  <c r="C15" i="19"/>
  <c r="C14" i="19"/>
  <c r="U11" i="9"/>
  <c r="AC11" i="9" s="1"/>
  <c r="AB11" i="9"/>
  <c r="AB16" i="9"/>
  <c r="U16" i="9"/>
  <c r="AC16" i="9" s="1"/>
  <c r="T6" i="19"/>
  <c r="U16" i="19"/>
  <c r="U15" i="19"/>
  <c r="U17" i="19"/>
  <c r="T45" i="1"/>
  <c r="T46" i="1"/>
  <c r="S34" i="1"/>
  <c r="T44" i="1"/>
  <c r="AB17" i="9"/>
  <c r="U17" i="9"/>
  <c r="AC17" i="9" s="1"/>
  <c r="AB8" i="9"/>
  <c r="U8" i="9"/>
  <c r="AC8" i="9" s="1"/>
  <c r="D26" i="19"/>
  <c r="D17" i="19"/>
  <c r="D15" i="19"/>
  <c r="D16" i="19"/>
  <c r="D14" i="19"/>
  <c r="F33" i="10"/>
  <c r="I32" i="10"/>
  <c r="N32" i="10"/>
  <c r="B19" i="1"/>
  <c r="B18" i="1"/>
  <c r="B20" i="1"/>
  <c r="B21" i="1"/>
  <c r="L34" i="10" l="1"/>
  <c r="K41" i="10"/>
  <c r="H40" i="10" s="1"/>
  <c r="M42" i="10"/>
  <c r="D34" i="10"/>
  <c r="J45" i="1"/>
  <c r="C21" i="1"/>
  <c r="J43" i="1"/>
  <c r="C19" i="1"/>
  <c r="I43" i="1"/>
  <c r="I44" i="1"/>
  <c r="J46" i="1"/>
  <c r="Y21" i="1"/>
  <c r="I46" i="1"/>
  <c r="S20" i="1"/>
  <c r="S18" i="1"/>
  <c r="S19" i="1"/>
  <c r="R19" i="1"/>
  <c r="B46" i="1"/>
  <c r="Y20" i="1"/>
  <c r="Y18" i="1"/>
  <c r="R20" i="1"/>
  <c r="R18" i="1"/>
  <c r="C18" i="1"/>
  <c r="B45" i="1"/>
  <c r="B44" i="1"/>
  <c r="C44" i="1"/>
  <c r="C46" i="1"/>
  <c r="C45" i="1"/>
  <c r="I18" i="1"/>
  <c r="I21" i="1"/>
  <c r="I19" i="1"/>
  <c r="I20" i="1"/>
  <c r="D35" i="19"/>
  <c r="D34" i="19"/>
  <c r="D32" i="19"/>
  <c r="D33" i="19"/>
  <c r="T14" i="19"/>
  <c r="T16" i="19"/>
  <c r="T15" i="19"/>
  <c r="T17" i="19"/>
  <c r="F34" i="10"/>
  <c r="F35" i="10" s="1"/>
  <c r="N33" i="10"/>
  <c r="I33" i="10"/>
  <c r="S45" i="1"/>
  <c r="S46" i="1"/>
  <c r="S44" i="1"/>
  <c r="S43" i="1"/>
  <c r="J18" i="1"/>
  <c r="J21" i="1"/>
  <c r="J19" i="1"/>
  <c r="J20" i="1"/>
  <c r="N35" i="10" l="1"/>
  <c r="I35" i="10"/>
  <c r="D35" i="10"/>
  <c r="L35" i="10"/>
  <c r="K40" i="10"/>
  <c r="H39" i="10" s="1"/>
  <c r="M41" i="10"/>
  <c r="I34" i="10"/>
  <c r="N34" i="10"/>
  <c r="K39" i="10" l="1"/>
  <c r="H38" i="10" s="1"/>
  <c r="M40" i="10"/>
  <c r="K38" i="10" l="1"/>
  <c r="H37" i="10" s="1"/>
  <c r="M39" i="10"/>
  <c r="K37" i="10" l="1"/>
  <c r="H36" i="10" s="1"/>
  <c r="M38" i="10"/>
  <c r="K36" i="10" l="1"/>
  <c r="H35" i="10" s="1"/>
  <c r="M37" i="10"/>
  <c r="AA34" i="1"/>
  <c r="Y34" i="1" s="1"/>
  <c r="K35" i="10" l="1"/>
  <c r="H34" i="10" s="1"/>
  <c r="M36" i="10"/>
  <c r="AA46" i="1"/>
  <c r="AA45" i="1"/>
  <c r="AA47" i="1"/>
  <c r="Z34" i="1"/>
  <c r="Z46" i="1" s="1"/>
  <c r="Y46" i="1"/>
  <c r="Y45" i="1"/>
  <c r="Y47" i="1"/>
  <c r="Y44" i="1"/>
  <c r="Z45" i="1" l="1"/>
  <c r="K34" i="10"/>
  <c r="H33" i="10" s="1"/>
  <c r="M35" i="10"/>
  <c r="Z44" i="1"/>
  <c r="Z47" i="1"/>
  <c r="M34" i="10" l="1"/>
  <c r="K33" i="10"/>
  <c r="H32" i="10" s="1"/>
  <c r="M33" i="10" l="1"/>
  <c r="K32" i="10"/>
  <c r="H31" i="10" s="1"/>
  <c r="M32" i="10"/>
  <c r="K31" i="10" l="1"/>
  <c r="H30" i="10" s="1"/>
  <c r="M31" i="10"/>
  <c r="K30" i="10" l="1"/>
  <c r="H29" i="10" s="1"/>
  <c r="M29" i="10" s="1"/>
  <c r="M30" i="10"/>
  <c r="M44" i="10" l="1"/>
  <c r="Q4" i="16" l="1"/>
  <c r="R4" i="16"/>
</calcChain>
</file>

<file path=xl/sharedStrings.xml><?xml version="1.0" encoding="utf-8"?>
<sst xmlns="http://schemas.openxmlformats.org/spreadsheetml/2006/main" count="1413" uniqueCount="349">
  <si>
    <t>10 mM dNTPs</t>
  </si>
  <si>
    <t>5× Q5 reaction buffer</t>
  </si>
  <si>
    <t>Reactions</t>
  </si>
  <si>
    <t>Excess</t>
  </si>
  <si>
    <t>Total:</t>
  </si>
  <si>
    <t>DMSO</t>
  </si>
  <si>
    <t>50% PEG3350</t>
  </si>
  <si>
    <t>1 ref</t>
  </si>
  <si>
    <r>
      <t>diH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</si>
  <si>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t>PEG/LiOAc/ssDNA</t>
  </si>
  <si>
    <t>µL</t>
  </si>
  <si>
    <t>10× Ligase Buffer</t>
  </si>
  <si>
    <t>–</t>
  </si>
  <si>
    <r>
      <t>diH</t>
    </r>
    <r>
      <rPr>
        <b/>
        <vertAlign val="subscript"/>
        <sz val="11"/>
        <color theme="2" tint="-0.749992370372631"/>
        <rFont val="Calibri"/>
        <family val="2"/>
        <scheme val="minor"/>
      </rPr>
      <t>2</t>
    </r>
    <r>
      <rPr>
        <b/>
        <sz val="11"/>
        <color theme="2" tint="-0.749992370372631"/>
        <rFont val="Calibri"/>
        <family val="2"/>
        <scheme val="minor"/>
      </rPr>
      <t>O</t>
    </r>
  </si>
  <si>
    <t>µM</t>
  </si>
  <si>
    <t>×</t>
  </si>
  <si>
    <t>%</t>
  </si>
  <si>
    <t>M</t>
  </si>
  <si>
    <t>U/mL</t>
  </si>
  <si>
    <t>dNTPs</t>
  </si>
  <si>
    <t>Primer 1</t>
  </si>
  <si>
    <t>Primer 2</t>
  </si>
  <si>
    <t>ng/µL</t>
  </si>
  <si>
    <t>Template</t>
  </si>
  <si>
    <t>0–5</t>
  </si>
  <si>
    <t>pg/µL</t>
  </si>
  <si>
    <t>0.02–20</t>
  </si>
  <si>
    <t>[Stock]</t>
  </si>
  <si>
    <t>1)</t>
  </si>
  <si>
    <t>2)</t>
  </si>
  <si>
    <t>3)</t>
  </si>
  <si>
    <t>4)</t>
  </si>
  <si>
    <t>5)</t>
  </si>
  <si>
    <t>6)</t>
  </si>
  <si>
    <t>7)</t>
  </si>
  <si>
    <t>8)</t>
  </si>
  <si>
    <t>9)</t>
  </si>
  <si>
    <t>10)</t>
  </si>
  <si>
    <t>-</t>
  </si>
  <si>
    <t>mol</t>
  </si>
  <si>
    <r>
      <rPr>
        <b/>
        <i/>
        <sz val="12"/>
        <color theme="4" tint="-0.249977111117893"/>
        <rFont val="Calibri Light"/>
        <family val="2"/>
        <scheme val="major"/>
      </rPr>
      <t>V</t>
    </r>
    <r>
      <rPr>
        <b/>
        <vertAlign val="subscript"/>
        <sz val="12"/>
        <color theme="4" tint="-0.249977111117893"/>
        <rFont val="Calibri Light"/>
        <family val="2"/>
        <scheme val="major"/>
      </rPr>
      <t>component</t>
    </r>
  </si>
  <si>
    <t>11)</t>
  </si>
  <si>
    <t>12)</t>
  </si>
  <si>
    <t>13)</t>
  </si>
  <si>
    <t>14)</t>
  </si>
  <si>
    <t>15)</t>
  </si>
  <si>
    <t>16)</t>
  </si>
  <si>
    <t>17)</t>
  </si>
  <si>
    <t>18)</t>
  </si>
  <si>
    <t>19)</t>
  </si>
  <si>
    <t>20)</t>
  </si>
  <si>
    <t>Culture Volume</t>
  </si>
  <si>
    <t>mL</t>
  </si>
  <si>
    <t>(5 mL/3 rxns)</t>
  </si>
  <si>
    <r>
      <t xml:space="preserve">(i.e. 20 µL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I digest rxn of 8 µL integration plasmid, or 8 µL </t>
    </r>
    <r>
      <rPr>
        <i/>
        <sz val="11"/>
        <color theme="1"/>
        <rFont val="Calibri"/>
        <family val="2"/>
        <scheme val="minor"/>
      </rPr>
      <t>CEN6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>ARS4</t>
    </r>
    <r>
      <rPr>
        <sz val="11"/>
        <color theme="1"/>
        <rFont val="Calibri"/>
        <family val="2"/>
        <scheme val="minor"/>
      </rPr>
      <t xml:space="preserve"> plasmid)</t>
    </r>
  </si>
  <si>
    <t>(e.g. ± µL repair DNA PCR product</t>
  </si>
  <si>
    <t>Enzyme 1</t>
  </si>
  <si>
    <t>Enzyme 2</t>
  </si>
  <si>
    <t>Enzyme 3</t>
  </si>
  <si>
    <t>DNA</t>
  </si>
  <si>
    <t>* For mixed primers, set one ref volume to 0.</t>
  </si>
  <si>
    <t>10× rxn buffer</t>
  </si>
  <si>
    <r>
      <t xml:space="preserve">SPB </t>
    </r>
    <r>
      <rPr>
        <i/>
        <sz val="14"/>
        <color theme="1"/>
        <rFont val="Calibri"/>
        <family val="2"/>
        <scheme val="minor"/>
      </rPr>
      <t>S. cerevisiae</t>
    </r>
    <r>
      <rPr>
        <sz val="14"/>
        <color theme="1"/>
        <rFont val="Calibri"/>
        <family val="2"/>
        <scheme val="minor"/>
      </rPr>
      <t xml:space="preserve"> Transformation</t>
    </r>
  </si>
  <si>
    <t>Transformation DNA</t>
  </si>
  <si>
    <t>50% PEG-3350</t>
  </si>
  <si>
    <t>(e.g. ± 20 µL repair DNA PCR product</t>
  </si>
  <si>
    <r>
      <t xml:space="preserve">(e.g. 20 µL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>I digest rxn of 8 µL integration plasmid, or 0.5 µL replicative plasmid)</t>
    </r>
  </si>
  <si>
    <t>2 g/L ssDNA</t>
  </si>
  <si>
    <t>1 M LiOAc</t>
  </si>
  <si>
    <t>Choose one:</t>
  </si>
  <si>
    <t>Desired:</t>
  </si>
  <si>
    <t>MW</t>
  </si>
  <si>
    <t>Unit</t>
  </si>
  <si>
    <t>mass (g)</t>
  </si>
  <si>
    <r>
      <t>vol</t>
    </r>
    <r>
      <rPr>
        <b/>
        <vertAlign val="subscript"/>
        <sz val="12"/>
        <color theme="1"/>
        <rFont val="Calibri"/>
        <family val="2"/>
        <scheme val="minor"/>
      </rPr>
      <t>stock</t>
    </r>
  </si>
  <si>
    <t>Factor</t>
  </si>
  <si>
    <t>mM</t>
  </si>
  <si>
    <t>[stock]</t>
  </si>
  <si>
    <t>L</t>
  </si>
  <si>
    <t>g/mol</t>
  </si>
  <si>
    <t>Output:</t>
  </si>
  <si>
    <t>Scaled Output:</t>
  </si>
  <si>
    <t>Compound Name</t>
  </si>
  <si>
    <t>200 µM</t>
  </si>
  <si>
    <t>0–5%</t>
  </si>
  <si>
    <t>0.5 µM</t>
  </si>
  <si>
    <t>1 pg–1 µg</t>
  </si>
  <si>
    <t>1×</t>
  </si>
  <si>
    <t>Stock [Primers]</t>
  </si>
  <si>
    <t>Final [DMSO]</t>
  </si>
  <si>
    <t xml:space="preserve">Total – DNA: </t>
  </si>
  <si>
    <r>
      <t xml:space="preserve">PCR Component Calculator: stock </t>
    </r>
    <r>
      <rPr>
        <i/>
        <sz val="14"/>
        <color theme="9" tint="-0.499984740745262"/>
        <rFont val="Calibri Light"/>
        <family val="2"/>
        <scheme val="major"/>
      </rPr>
      <t>c</t>
    </r>
    <r>
      <rPr>
        <i/>
        <vertAlign val="subscript"/>
        <sz val="14"/>
        <color theme="9" tint="-0.499984740745262"/>
        <rFont val="Calibri Light"/>
        <family val="2"/>
        <scheme val="major"/>
      </rPr>
      <t>i</t>
    </r>
    <r>
      <rPr>
        <sz val="14"/>
        <color theme="9" tint="-0.499984740745262"/>
        <rFont val="Calibri Light"/>
        <family val="2"/>
        <scheme val="major"/>
      </rPr>
      <t xml:space="preserve"> input, </t>
    </r>
    <r>
      <rPr>
        <i/>
        <sz val="14"/>
        <color theme="9" tint="-0.499984740745262"/>
        <rFont val="Calibri Light"/>
        <family val="2"/>
        <scheme val="major"/>
      </rPr>
      <t>V</t>
    </r>
    <r>
      <rPr>
        <i/>
        <vertAlign val="subscript"/>
        <sz val="14"/>
        <color theme="9" tint="-0.499984740745262"/>
        <rFont val="Calibri Light"/>
        <family val="2"/>
        <scheme val="major"/>
      </rPr>
      <t>i</t>
    </r>
    <r>
      <rPr>
        <sz val="14"/>
        <color theme="9" tint="-0.499984740745262"/>
        <rFont val="Calibri Light"/>
        <family val="2"/>
        <scheme val="major"/>
      </rPr>
      <t xml:space="preserve"> output</t>
    </r>
  </si>
  <si>
    <r>
      <t xml:space="preserve">PCR Component Calculator, </t>
    </r>
    <r>
      <rPr>
        <i/>
        <sz val="14"/>
        <color theme="9" tint="-0.499984740745262"/>
        <rFont val="Calibri Light"/>
        <family val="2"/>
        <scheme val="major"/>
      </rPr>
      <t>V</t>
    </r>
    <r>
      <rPr>
        <i/>
        <vertAlign val="subscript"/>
        <sz val="14"/>
        <color theme="9" tint="-0.499984740745262"/>
        <rFont val="Calibri Light"/>
        <family val="2"/>
        <scheme val="major"/>
      </rPr>
      <t>i</t>
    </r>
    <r>
      <rPr>
        <sz val="14"/>
        <color theme="9" tint="-0.499984740745262"/>
        <rFont val="Calibri Light"/>
        <family val="2"/>
        <scheme val="major"/>
      </rPr>
      <t xml:space="preserve"> input and </t>
    </r>
    <r>
      <rPr>
        <i/>
        <sz val="14"/>
        <color theme="9" tint="-0.499984740745262"/>
        <rFont val="Calibri Light"/>
        <family val="2"/>
        <scheme val="major"/>
      </rPr>
      <t>c</t>
    </r>
    <r>
      <rPr>
        <i/>
        <vertAlign val="subscript"/>
        <sz val="14"/>
        <color theme="9" tint="-0.499984740745262"/>
        <rFont val="Calibri Light"/>
        <family val="2"/>
        <scheme val="major"/>
      </rPr>
      <t>i</t>
    </r>
    <r>
      <rPr>
        <sz val="14"/>
        <color theme="9" tint="-0.499984740745262"/>
        <rFont val="Calibri Light"/>
        <family val="2"/>
        <scheme val="major"/>
      </rPr>
      <t xml:space="preserve"> output</t>
    </r>
  </si>
  <si>
    <t>Reaction buffer</t>
  </si>
  <si>
    <t>DNA Polymerase</t>
  </si>
  <si>
    <t>pg–µg plasmid, µg–ng genome</t>
  </si>
  <si>
    <t xml:space="preserve">Total – PCR pdt &amp; Oligo Anl: </t>
  </si>
  <si>
    <t>Each:</t>
  </si>
  <si>
    <r>
      <t>diH</t>
    </r>
    <r>
      <rPr>
        <b/>
        <vertAlign val="subscript"/>
        <sz val="11"/>
        <color theme="1" tint="0.34998626667073579"/>
        <rFont val="Calibri"/>
        <family val="2"/>
        <scheme val="minor"/>
      </rPr>
      <t>2</t>
    </r>
    <r>
      <rPr>
        <b/>
        <sz val="11"/>
        <color theme="1" tint="0.34998626667073579"/>
        <rFont val="Calibri"/>
        <family val="2"/>
        <scheme val="minor"/>
      </rPr>
      <t>O</t>
    </r>
  </si>
  <si>
    <t>no</t>
  </si>
  <si>
    <t>BSA?</t>
  </si>
  <si>
    <r>
      <t xml:space="preserve">WCD/RC </t>
    </r>
    <r>
      <rPr>
        <i/>
        <sz val="14"/>
        <color theme="1"/>
        <rFont val="Calibri"/>
        <family val="2"/>
        <scheme val="minor"/>
      </rPr>
      <t>S. cerevisiae</t>
    </r>
    <r>
      <rPr>
        <sz val="14"/>
        <color theme="1"/>
        <rFont val="Calibri"/>
        <family val="2"/>
        <scheme val="minor"/>
      </rPr>
      <t xml:space="preserve"> Transformation</t>
    </r>
  </si>
  <si>
    <t>PEG/LiOAc/ssDNA:</t>
  </si>
  <si>
    <t>Total–Template:</t>
  </si>
  <si>
    <t>Total–Primers:</t>
  </si>
  <si>
    <t>Total–Template &amp; Primers:</t>
  </si>
  <si>
    <t>Total–DNA:</t>
  </si>
  <si>
    <t>Total–Enz:</t>
  </si>
  <si>
    <t>Total–DNA/Enz:</t>
  </si>
  <si>
    <t>0.2 µM</t>
  </si>
  <si>
    <t>1 pg – 1 µg template</t>
  </si>
  <si>
    <t>Primer F</t>
  </si>
  <si>
    <t>Primer R</t>
  </si>
  <si>
    <t>Cells/template</t>
  </si>
  <si>
    <r>
      <rPr>
        <b/>
        <sz val="11"/>
        <color theme="0" tint="-4.9989318521683403E-2"/>
        <rFont val="Calibri"/>
        <family val="2"/>
        <scheme val="minor"/>
      </rPr>
      <t xml:space="preserve">2 U/µL </t>
    </r>
    <r>
      <rPr>
        <b/>
        <sz val="11"/>
        <color theme="1" tint="0.34998626667073579"/>
        <rFont val="Calibri"/>
        <family val="2"/>
        <scheme val="minor"/>
      </rPr>
      <t>Q5 DNA polymerase</t>
    </r>
  </si>
  <si>
    <t>0.2 mM</t>
  </si>
  <si>
    <t>0.5 µL/50 µL rxn;
0.02 U/µL rxn</t>
  </si>
  <si>
    <t>Target</t>
  </si>
  <si>
    <t>0.25 µL/25 µL rxn;
0.025 U/µL rxn</t>
  </si>
  <si>
    <r>
      <t xml:space="preserve">Custom </t>
    </r>
    <r>
      <rPr>
        <i/>
        <sz val="12"/>
        <color theme="2" tint="-0.749992370372631"/>
        <rFont val="Segoe UI"/>
        <family val="2"/>
      </rPr>
      <t>Taq</t>
    </r>
    <r>
      <rPr>
        <sz val="12"/>
        <color theme="2" tint="-0.749992370372631"/>
        <rFont val="Segoe UI"/>
        <family val="2"/>
      </rPr>
      <t>Pol Genotyping PCR</t>
    </r>
  </si>
  <si>
    <t>mmol</t>
  </si>
  <si>
    <t>Excess:</t>
  </si>
  <si>
    <t>Singular volume</t>
  </si>
  <si>
    <t>Dilution Factor</t>
  </si>
  <si>
    <t>Dilute:</t>
  </si>
  <si>
    <r>
      <t xml:space="preserve">Label
</t>
    </r>
    <r>
      <rPr>
        <sz val="6"/>
        <color theme="1"/>
        <rFont val="Calibri"/>
        <family val="2"/>
        <scheme val="minor"/>
      </rPr>
      <t>(opt)</t>
    </r>
  </si>
  <si>
    <t>Ex: dilute from stock for 96-well</t>
  </si>
  <si>
    <r>
      <t xml:space="preserve">Unit
</t>
    </r>
    <r>
      <rPr>
        <b/>
        <sz val="8"/>
        <color theme="2" tint="-0.249977111117893"/>
        <rFont val="Calibri"/>
        <family val="2"/>
        <scheme val="minor"/>
      </rPr>
      <t>α/β</t>
    </r>
  </si>
  <si>
    <r>
      <t>conc</t>
    </r>
    <r>
      <rPr>
        <b/>
        <sz val="8"/>
        <color theme="1"/>
        <rFont val="Calibri"/>
        <family val="2"/>
        <scheme val="minor"/>
      </rPr>
      <t xml:space="preserve"> (</t>
    </r>
    <r>
      <rPr>
        <b/>
        <i/>
        <sz val="8"/>
        <color theme="1"/>
        <rFont val="Calibri"/>
        <family val="2"/>
        <scheme val="minor"/>
      </rPr>
      <t>M</t>
    </r>
    <r>
      <rPr>
        <b/>
        <sz val="8"/>
        <color theme="2" tint="-0.249977111117893"/>
        <rFont val="Calibri"/>
        <family val="2"/>
        <scheme val="minor"/>
      </rPr>
      <t xml:space="preserve"> or α/β</t>
    </r>
    <r>
      <rPr>
        <b/>
        <sz val="8"/>
        <color theme="1"/>
        <rFont val="Calibri"/>
        <family val="2"/>
        <scheme val="minor"/>
      </rPr>
      <t>)</t>
    </r>
  </si>
  <si>
    <r>
      <t>vol</t>
    </r>
    <r>
      <rPr>
        <b/>
        <sz val="8"/>
        <color theme="2" tint="-0.249977111117893"/>
        <rFont val="Calibri"/>
        <family val="2"/>
        <scheme val="minor"/>
      </rPr>
      <t xml:space="preserve"> </t>
    </r>
    <r>
      <rPr>
        <b/>
        <sz val="8"/>
        <rFont val="Calibri"/>
        <family val="2"/>
        <scheme val="minor"/>
      </rPr>
      <t xml:space="preserve">(L </t>
    </r>
    <r>
      <rPr>
        <b/>
        <sz val="8"/>
        <color theme="2" tint="-0.249977111117893"/>
        <rFont val="Calibri"/>
        <family val="2"/>
        <scheme val="minor"/>
      </rPr>
      <t>or β</t>
    </r>
    <r>
      <rPr>
        <b/>
        <sz val="8"/>
        <rFont val="Calibri"/>
        <family val="2"/>
        <scheme val="minor"/>
      </rPr>
      <t>)</t>
    </r>
  </si>
  <si>
    <r>
      <t>amt</t>
    </r>
    <r>
      <rPr>
        <b/>
        <sz val="8"/>
        <color theme="1"/>
        <rFont val="Calibri"/>
        <family val="2"/>
        <scheme val="minor"/>
      </rPr>
      <t xml:space="preserve"> (mol</t>
    </r>
    <r>
      <rPr>
        <b/>
        <sz val="8"/>
        <color theme="2" tint="-0.249977111117893"/>
        <rFont val="Calibri"/>
        <family val="2"/>
        <scheme val="minor"/>
      </rPr>
      <t xml:space="preserve"> or α</t>
    </r>
    <r>
      <rPr>
        <b/>
        <sz val="8"/>
        <color theme="1"/>
        <rFont val="Calibri"/>
        <family val="2"/>
        <scheme val="minor"/>
      </rPr>
      <t>)</t>
    </r>
  </si>
  <si>
    <r>
      <t xml:space="preserve">After weighing solute:
</t>
    </r>
    <r>
      <rPr>
        <i/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>solute</t>
    </r>
    <r>
      <rPr>
        <sz val="11"/>
        <color theme="1"/>
        <rFont val="Calibri"/>
        <family val="2"/>
        <scheme val="minor"/>
      </rPr>
      <t xml:space="preserve"> -&gt;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solvent</t>
    </r>
  </si>
  <si>
    <t>OR</t>
  </si>
  <si>
    <t>or</t>
  </si>
  <si>
    <t>U/L</t>
  </si>
  <si>
    <t>Label</t>
  </si>
  <si>
    <r>
      <t xml:space="preserve">[stock] </t>
    </r>
    <r>
      <rPr>
        <b/>
        <sz val="8"/>
        <color theme="1"/>
        <rFont val="Calibri"/>
        <family val="2"/>
        <scheme val="minor"/>
      </rPr>
      <t>(α/</t>
    </r>
    <r>
      <rPr>
        <b/>
        <i/>
        <sz val="8"/>
        <color theme="1"/>
        <rFont val="Calibri"/>
        <family val="2"/>
        <scheme val="minor"/>
      </rPr>
      <t>mass</t>
    </r>
    <r>
      <rPr>
        <b/>
        <sz val="8"/>
        <color theme="1"/>
        <rFont val="Calibri"/>
        <family val="2"/>
        <scheme val="minor"/>
      </rPr>
      <t>)</t>
    </r>
  </si>
  <si>
    <t>Solid pure compound</t>
  </si>
  <si>
    <t>Solution, volumetric concentration</t>
  </si>
  <si>
    <t>Compound, mass concentration</t>
  </si>
  <si>
    <t>conc</t>
  </si>
  <si>
    <t>amt</t>
  </si>
  <si>
    <r>
      <t>vol</t>
    </r>
    <r>
      <rPr>
        <b/>
        <vertAlign val="subscript"/>
        <sz val="12"/>
        <color theme="1"/>
        <rFont val="Calibri"/>
        <family val="2"/>
        <scheme val="minor"/>
      </rPr>
      <t>solvent</t>
    </r>
  </si>
  <si>
    <r>
      <rPr>
        <b/>
        <sz val="11"/>
        <color theme="1"/>
        <rFont val="Calibri"/>
        <family val="2"/>
        <scheme val="minor"/>
      </rPr>
      <t>×10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</si>
  <si>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rPr>
        <i/>
        <sz val="11"/>
        <color theme="1"/>
        <rFont val="Calibri"/>
        <family val="2"/>
        <scheme val="minor"/>
      </rPr>
      <t>MW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 xml:space="preserve"> -&gt; </t>
    </r>
    <r>
      <rPr>
        <i/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>stock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</t>
    </r>
    <r>
      <rPr>
        <i/>
        <vertAlign val="subscript"/>
        <sz val="11"/>
        <color theme="1"/>
        <rFont val="Calibri"/>
        <family val="2"/>
        <scheme val="minor"/>
      </rPr>
      <t>solvent</t>
    </r>
    <r>
      <rPr>
        <vertAlign val="subscript"/>
        <sz val="11"/>
        <color theme="1"/>
        <rFont val="Calibri"/>
        <family val="2"/>
        <scheme val="minor"/>
      </rPr>
      <t xml:space="preserve">
</t>
    </r>
    <r>
      <rPr>
        <i/>
        <sz val="11"/>
        <color rgb="FFFF0000"/>
        <rFont val="Calibri"/>
        <family val="2"/>
        <scheme val="minor"/>
      </rPr>
      <t>c</t>
    </r>
    <r>
      <rPr>
        <vertAlign val="subscript"/>
        <sz val="11"/>
        <color rgb="FFFF0000"/>
        <rFont val="Calibri"/>
        <family val="2"/>
        <scheme val="minor"/>
      </rPr>
      <t>i</t>
    </r>
    <r>
      <rPr>
        <sz val="11"/>
        <color rgb="FFFF0000"/>
        <rFont val="Calibri"/>
        <family val="2"/>
        <scheme val="minor"/>
      </rPr>
      <t xml:space="preserve"> [M]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rgb="FFFF0000"/>
        <rFont val="Calibri"/>
        <family val="2"/>
        <scheme val="minor"/>
      </rPr>
      <t>V</t>
    </r>
    <r>
      <rPr>
        <i/>
        <vertAlign val="subscript"/>
        <sz val="11"/>
        <color rgb="FFFF0000"/>
        <rFont val="Calibri"/>
        <family val="2"/>
        <scheme val="minor"/>
      </rPr>
      <t>i</t>
    </r>
    <r>
      <rPr>
        <sz val="11"/>
        <color rgb="FFFF0000"/>
        <rFont val="Calibri"/>
        <family val="2"/>
        <scheme val="minor"/>
      </rPr>
      <t xml:space="preserve"> [L]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amt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[mol]</t>
    </r>
  </si>
  <si>
    <r>
      <rPr>
        <i/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stock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 xml:space="preserve"> -&gt; </t>
    </r>
    <r>
      <rPr>
        <i/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>stock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 xml:space="preserve">solvent
</t>
    </r>
    <r>
      <rPr>
        <i/>
        <sz val="11"/>
        <color rgb="FFFF0000"/>
        <rFont val="Calibri"/>
        <family val="2"/>
        <scheme val="minor"/>
      </rPr>
      <t>c</t>
    </r>
    <r>
      <rPr>
        <vertAlign val="subscript"/>
        <sz val="11"/>
        <color rgb="FFFF0000"/>
        <rFont val="Calibri"/>
        <family val="2"/>
        <scheme val="minor"/>
      </rPr>
      <t>i</t>
    </r>
    <r>
      <rPr>
        <sz val="11"/>
        <color rgb="FFFF0000"/>
        <rFont val="Calibri"/>
        <family val="2"/>
        <scheme val="minor"/>
      </rPr>
      <t xml:space="preserve"> [</t>
    </r>
    <r>
      <rPr>
        <i/>
        <sz val="11"/>
        <color rgb="FFFF0000"/>
        <rFont val="Calibri"/>
        <family val="2"/>
        <scheme val="minor"/>
      </rPr>
      <t>α</t>
    </r>
    <r>
      <rPr>
        <sz val="11"/>
        <color rgb="FFFF0000"/>
        <rFont val="Calibri"/>
        <family val="2"/>
        <scheme val="minor"/>
      </rPr>
      <t>/</t>
    </r>
    <r>
      <rPr>
        <i/>
        <sz val="11"/>
        <color rgb="FFFF0000"/>
        <rFont val="Calibri"/>
        <family val="2"/>
        <scheme val="minor"/>
      </rPr>
      <t>m</t>
    </r>
    <r>
      <rPr>
        <sz val="11"/>
        <color rgb="FFFF0000"/>
        <rFont val="Calibri"/>
        <family val="2"/>
        <scheme val="minor"/>
      </rPr>
      <t>]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rgb="FFFF0000"/>
        <rFont val="Calibri"/>
        <family val="2"/>
        <scheme val="minor"/>
      </rPr>
      <t>V</t>
    </r>
    <r>
      <rPr>
        <i/>
        <vertAlign val="subscript"/>
        <sz val="11"/>
        <color rgb="FFFF0000"/>
        <rFont val="Calibri"/>
        <family val="2"/>
        <scheme val="minor"/>
      </rPr>
      <t>i</t>
    </r>
    <r>
      <rPr>
        <sz val="11"/>
        <color rgb="FFFF0000"/>
        <rFont val="Calibri"/>
        <family val="2"/>
        <scheme val="minor"/>
      </rPr>
      <t xml:space="preserve"> [</t>
    </r>
    <r>
      <rPr>
        <i/>
        <sz val="11"/>
        <color rgb="FFFF0000"/>
        <rFont val="Calibri"/>
        <family val="2"/>
        <scheme val="minor"/>
      </rPr>
      <t>α</t>
    </r>
    <r>
      <rPr>
        <sz val="11"/>
        <color rgb="FFFF0000"/>
        <rFont val="Calibri"/>
        <family val="2"/>
        <scheme val="minor"/>
      </rPr>
      <t>/</t>
    </r>
    <r>
      <rPr>
        <i/>
        <sz val="11"/>
        <color rgb="FFFF0000"/>
        <rFont val="Calibri"/>
        <family val="2"/>
        <scheme val="minor"/>
      </rPr>
      <t>V</t>
    </r>
    <r>
      <rPr>
        <sz val="11"/>
        <color rgb="FFFF0000"/>
        <rFont val="Calibri"/>
        <family val="2"/>
        <scheme val="minor"/>
      </rPr>
      <t>]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amt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[α]</t>
    </r>
  </si>
  <si>
    <t>Golden Gate Assembly (custom volumes 1)</t>
  </si>
  <si>
    <t xml:space="preserve">Custom Part Volumes: </t>
  </si>
  <si>
    <t xml:space="preserve">Construct Label </t>
  </si>
  <si>
    <r>
      <t>Extra diH</t>
    </r>
    <r>
      <rPr>
        <b/>
        <vertAlign val="subscript"/>
        <sz val="11"/>
        <color theme="2" tint="-0.749992370372631"/>
        <rFont val="Calibri"/>
        <family val="2"/>
        <scheme val="minor"/>
      </rPr>
      <t>2</t>
    </r>
    <r>
      <rPr>
        <b/>
        <sz val="11"/>
        <color theme="2" tint="-0.749992370372631"/>
        <rFont val="Calibri"/>
        <family val="2"/>
        <scheme val="minor"/>
      </rPr>
      <t>O</t>
    </r>
  </si>
  <si>
    <t>Component 1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</si>
  <si>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1</t>
    </r>
    <r>
      <rPr>
        <b/>
        <i/>
        <sz val="11"/>
        <color theme="2" tint="-0.749992370372631"/>
        <rFont val="Calibri"/>
        <family val="2"/>
        <scheme val="minor"/>
      </rPr>
      <t xml:space="preserve"> </t>
    </r>
  </si>
  <si>
    <t>Comp 2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</si>
  <si>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2</t>
    </r>
    <r>
      <rPr>
        <b/>
        <i/>
        <sz val="11"/>
        <color theme="2" tint="-0.749992370372631"/>
        <rFont val="Calibri"/>
        <family val="2"/>
        <scheme val="minor"/>
      </rPr>
      <t/>
    </r>
  </si>
  <si>
    <t>Comp 3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</si>
  <si>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3</t>
    </r>
    <r>
      <rPr>
        <b/>
        <i/>
        <sz val="11"/>
        <color theme="2" tint="-0.749992370372631"/>
        <rFont val="Calibri"/>
        <family val="2"/>
        <scheme val="minor"/>
      </rPr>
      <t/>
    </r>
  </si>
  <si>
    <t>Comp 4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</si>
  <si>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4</t>
    </r>
    <r>
      <rPr>
        <b/>
        <i/>
        <sz val="11"/>
        <color theme="2" tint="-0.749992370372631"/>
        <rFont val="Calibri"/>
        <family val="2"/>
        <scheme val="minor"/>
      </rPr>
      <t/>
    </r>
  </si>
  <si>
    <t>Comp 5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</si>
  <si>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5</t>
    </r>
    <r>
      <rPr>
        <b/>
        <i/>
        <sz val="11"/>
        <color theme="2" tint="-0.749992370372631"/>
        <rFont val="Calibri"/>
        <family val="2"/>
        <scheme val="minor"/>
      </rPr>
      <t/>
    </r>
  </si>
  <si>
    <t>Comp 6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</si>
  <si>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6</t>
    </r>
    <r>
      <rPr>
        <b/>
        <i/>
        <sz val="11"/>
        <color theme="2" tint="-0.749992370372631"/>
        <rFont val="Calibri"/>
        <family val="2"/>
        <scheme val="minor"/>
      </rPr>
      <t/>
    </r>
  </si>
  <si>
    <t>Comp 7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</si>
  <si>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7</t>
    </r>
    <r>
      <rPr>
        <b/>
        <i/>
        <sz val="11"/>
        <color theme="2" tint="-0.749992370372631"/>
        <rFont val="Calibri"/>
        <family val="2"/>
        <scheme val="minor"/>
      </rPr>
      <t/>
    </r>
  </si>
  <si>
    <t>Comp 8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</si>
  <si>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8</t>
    </r>
    <r>
      <rPr>
        <b/>
        <i/>
        <sz val="11"/>
        <color theme="2" tint="-0.749992370372631"/>
        <rFont val="Calibri"/>
        <family val="2"/>
        <scheme val="minor"/>
      </rPr>
      <t/>
    </r>
  </si>
  <si>
    <t>Comp 9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</si>
  <si>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9</t>
    </r>
    <r>
      <rPr>
        <b/>
        <i/>
        <sz val="11"/>
        <color theme="2" tint="-0.749992370372631"/>
        <rFont val="Calibri"/>
        <family val="2"/>
        <scheme val="minor"/>
      </rPr>
      <t/>
    </r>
  </si>
  <si>
    <t>Comp 10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</si>
  <si>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10</t>
    </r>
    <r>
      <rPr>
        <b/>
        <i/>
        <sz val="11"/>
        <color theme="2" tint="-0.749992370372631"/>
        <rFont val="Calibri"/>
        <family val="2"/>
        <scheme val="minor"/>
      </rPr>
      <t/>
    </r>
  </si>
  <si>
    <r>
      <t>∑</t>
    </r>
    <r>
      <rPr>
        <b/>
        <i/>
        <sz val="12"/>
        <color theme="1"/>
        <rFont val="Calibri Light"/>
        <family val="2"/>
        <scheme val="major"/>
      </rPr>
      <t>V</t>
    </r>
    <r>
      <rPr>
        <b/>
        <vertAlign val="subscript"/>
        <sz val="12"/>
        <color theme="1"/>
        <rFont val="Calibri Light"/>
        <family val="2"/>
        <scheme val="major"/>
      </rPr>
      <t>DNA</t>
    </r>
  </si>
  <si>
    <t>DNA ≤</t>
  </si>
  <si>
    <t>Golden Gate Assembly (custom volumes 2)</t>
  </si>
  <si>
    <r>
      <rPr>
        <b/>
        <sz val="8"/>
        <color theme="1"/>
        <rFont val="Calibri"/>
        <family val="2"/>
        <scheme val="minor"/>
      </rPr>
      <t xml:space="preserve">Ideal
</t>
    </r>
    <r>
      <rPr>
        <b/>
        <sz val="12"/>
        <color theme="1"/>
        <rFont val="Calibri"/>
        <family val="2"/>
        <scheme val="minor"/>
      </rPr>
      <t>mass (g)</t>
    </r>
  </si>
  <si>
    <r>
      <rPr>
        <b/>
        <sz val="8"/>
        <color theme="1"/>
        <rFont val="Calibri"/>
        <family val="2"/>
        <scheme val="minor"/>
      </rPr>
      <t xml:space="preserve">Weighed
</t>
    </r>
    <r>
      <rPr>
        <b/>
        <sz val="12"/>
        <color theme="1"/>
        <rFont val="Calibri"/>
        <family val="2"/>
        <scheme val="minor"/>
      </rPr>
      <t>mass (g)</t>
    </r>
  </si>
  <si>
    <t>Dilution to:</t>
  </si>
  <si>
    <t>Dil. Factor</t>
  </si>
  <si>
    <t>Singular volumes</t>
  </si>
  <si>
    <t>Total Diluent:</t>
  </si>
  <si>
    <t>Made by Shyam Bhakta</t>
  </si>
  <si>
    <t>GC Enhancer?</t>
  </si>
  <si>
    <t>mg/L</t>
  </si>
  <si>
    <t>Berkeley Sequencing, Plasmid</t>
  </si>
  <si>
    <t>dsDNA plasmid</t>
  </si>
  <si>
    <t>dsDNA PCR product</t>
  </si>
  <si>
    <t>ssDNA plasmid</t>
  </si>
  <si>
    <t>100 ng</t>
  </si>
  <si>
    <t>DNA/kb</t>
  </si>
  <si>
    <t>50 ng</t>
  </si>
  <si>
    <t>3.2 pmol</t>
  </si>
  <si>
    <t>Primer</t>
  </si>
  <si>
    <t>0.8 pmol</t>
  </si>
  <si>
    <t>2 pmol</t>
  </si>
  <si>
    <t>in 13 µL</t>
  </si>
  <si>
    <r>
      <t>diH</t>
    </r>
    <r>
      <rPr>
        <vertAlign val="subscript"/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O</t>
    </r>
  </si>
  <si>
    <t>100 ng/kb</t>
  </si>
  <si>
    <t>in 1.5 mL tube</t>
  </si>
  <si>
    <r>
      <t>H</t>
    </r>
    <r>
      <rPr>
        <b/>
        <i/>
        <vertAlign val="subscript"/>
        <sz val="11"/>
        <color theme="4" tint="-0.499984740745262"/>
        <rFont val="Calibri"/>
        <family val="2"/>
        <scheme val="minor"/>
      </rPr>
      <t>2</t>
    </r>
    <r>
      <rPr>
        <b/>
        <i/>
        <sz val="11"/>
        <color theme="4" tint="-0.499984740745262"/>
        <rFont val="Calibri"/>
        <family val="2"/>
        <scheme val="minor"/>
      </rPr>
      <t>O+Primer</t>
    </r>
  </si>
  <si>
    <r>
      <t>H</t>
    </r>
    <r>
      <rPr>
        <b/>
        <i/>
        <vertAlign val="subscript"/>
        <sz val="11"/>
        <color theme="4" tint="-0.499984740745262"/>
        <rFont val="Calibri"/>
        <family val="2"/>
        <scheme val="minor"/>
      </rPr>
      <t>2</t>
    </r>
    <r>
      <rPr>
        <b/>
        <i/>
        <sz val="11"/>
        <color theme="4" tint="-0.499984740745262"/>
        <rFont val="Calibri"/>
        <family val="2"/>
        <scheme val="minor"/>
      </rPr>
      <t>O+Template</t>
    </r>
  </si>
  <si>
    <r>
      <rPr>
        <b/>
        <sz val="11"/>
        <color theme="4" tint="-0.249977111117893"/>
        <rFont val="Calibri Light"/>
        <family val="2"/>
        <scheme val="major"/>
      </rPr>
      <t>[component]</t>
    </r>
    <r>
      <rPr>
        <b/>
        <i/>
        <sz val="11"/>
        <color theme="4" tint="-0.249977111117893"/>
        <rFont val="Calibri Light"/>
        <family val="2"/>
        <scheme val="major"/>
      </rPr>
      <t xml:space="preserve"> </t>
    </r>
    <r>
      <rPr>
        <b/>
        <vertAlign val="subscript"/>
        <sz val="11"/>
        <color theme="4" tint="-0.249977111117893"/>
        <rFont val="Calibri Light"/>
        <family val="2"/>
        <scheme val="major"/>
      </rPr>
      <t>typical, Q5Pol</t>
    </r>
  </si>
  <si>
    <t>ng/kb†</t>
  </si>
  <si>
    <t>dsDNA Concentration &amp; Dilution Calculator</t>
  </si>
  <si>
    <r>
      <t>V</t>
    </r>
    <r>
      <rPr>
        <b/>
        <vertAlign val="subscript"/>
        <sz val="12"/>
        <color rgb="FF0070C0"/>
        <rFont val="Calibri Light"/>
        <family val="2"/>
        <scheme val="major"/>
      </rPr>
      <t xml:space="preserve">DNA
</t>
    </r>
    <r>
      <rPr>
        <b/>
        <i/>
        <sz val="9"/>
        <color rgb="FF0070C0"/>
        <rFont val="Calibri Light"/>
        <family val="2"/>
        <scheme val="major"/>
      </rPr>
      <t>opt.</t>
    </r>
  </si>
  <si>
    <t>Consider copy#</t>
  </si>
  <si>
    <r>
      <rPr>
        <i/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stock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 xml:space="preserve"> -&gt;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stock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solvent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[α/β],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[β], </t>
    </r>
    <r>
      <rPr>
        <i/>
        <sz val="11"/>
        <color theme="1"/>
        <rFont val="Calibri"/>
        <family val="2"/>
        <scheme val="minor"/>
      </rPr>
      <t>amt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[α]</t>
    </r>
  </si>
  <si>
    <t>Notes</t>
  </si>
  <si>
    <r>
      <t>V</t>
    </r>
    <r>
      <rPr>
        <b/>
        <vertAlign val="subscript"/>
        <sz val="12"/>
        <color rgb="FF0070C0"/>
        <rFont val="Calibri Light"/>
        <family val="2"/>
        <scheme val="major"/>
      </rPr>
      <t>DNA</t>
    </r>
    <r>
      <rPr>
        <b/>
        <sz val="12"/>
        <color theme="2" tint="-0.499984740745262"/>
        <rFont val="Calibri Light"/>
        <family val="2"/>
        <scheme val="major"/>
      </rPr>
      <t xml:space="preserve"> for</t>
    </r>
  </si>
  <si>
    <r>
      <t>V</t>
    </r>
    <r>
      <rPr>
        <b/>
        <vertAlign val="subscript"/>
        <sz val="12"/>
        <color rgb="FF0070C0"/>
        <rFont val="Calibri Light"/>
        <family val="2"/>
        <scheme val="major"/>
      </rPr>
      <t>DNA</t>
    </r>
    <r>
      <rPr>
        <b/>
        <sz val="12"/>
        <color theme="2" tint="-0.499984740745262"/>
        <rFont val="Calibri Light"/>
        <family val="2"/>
        <scheme val="major"/>
      </rPr>
      <t xml:space="preserve"> for:</t>
    </r>
  </si>
  <si>
    <r>
      <t>V</t>
    </r>
    <r>
      <rPr>
        <b/>
        <vertAlign val="subscript"/>
        <sz val="12"/>
        <color rgb="FF0070C0"/>
        <rFont val="Calibri Light"/>
        <family val="2"/>
        <scheme val="major"/>
      </rPr>
      <t>diluent</t>
    </r>
  </si>
  <si>
    <t>pSPB000</t>
  </si>
  <si>
    <r>
      <t>Additional MgCl</t>
    </r>
    <r>
      <rPr>
        <sz val="11"/>
        <color theme="1"/>
        <rFont val="Calibri"/>
        <family val="2"/>
        <scheme val="minor"/>
      </rPr>
      <t>₂</t>
    </r>
  </si>
  <si>
    <t>2E9 Cells/mL</t>
  </si>
  <si>
    <t>DNA Phosphorylation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</si>
  <si>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PNK</t>
    </r>
  </si>
  <si>
    <t>ATP?</t>
  </si>
  <si>
    <t>10× BSA</t>
  </si>
  <si>
    <t>10 mM ATP</t>
  </si>
  <si>
    <t>10× Ligase/PNK buffer</t>
  </si>
  <si>
    <t>No recessed/blunt ends</t>
  </si>
  <si>
    <t>PNK buffer needs ATP</t>
  </si>
  <si>
    <t>CutSmart</t>
  </si>
  <si>
    <r>
      <t>≈[DNA],</t>
    </r>
    <r>
      <rPr>
        <b/>
        <sz val="8"/>
        <color rgb="FF0070C0"/>
        <rFont val="Calibri Light"/>
        <family val="2"/>
        <scheme val="major"/>
      </rPr>
      <t xml:space="preserve"> ±0.01 </t>
    </r>
    <r>
      <rPr>
        <b/>
        <sz val="12"/>
        <color rgb="FF0070C0"/>
        <rFont val="Calibri Light"/>
        <family val="2"/>
        <scheme val="major"/>
      </rPr>
      <t>nM</t>
    </r>
  </si>
  <si>
    <t>Target:</t>
  </si>
  <si>
    <r>
      <t>T</t>
    </r>
    <r>
      <rPr>
        <b/>
        <vertAlign val="subscript"/>
        <sz val="11"/>
        <color theme="2" tint="-0.749992370372631"/>
        <rFont val="Calibri"/>
        <family val="2"/>
        <scheme val="minor"/>
      </rPr>
      <t>4</t>
    </r>
    <r>
      <rPr>
        <b/>
        <sz val="11"/>
        <color theme="2" tint="-0.749992370372631"/>
        <rFont val="Calibri"/>
        <family val="2"/>
        <scheme val="minor"/>
      </rPr>
      <t xml:space="preserve"> DNA Ligase</t>
    </r>
  </si>
  <si>
    <r>
      <t xml:space="preserve">Combine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10 µL rxns. Anneal.</t>
    </r>
  </si>
  <si>
    <r>
      <t>Dilute (100/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)-fold to give 50 nM product.</t>
    </r>
  </si>
  <si>
    <t xml:space="preserve">OR combine ≤ten 10 µL rxns in 100 µL final, and dilute tenfold to give 50 nM product. </t>
  </si>
  <si>
    <r>
      <rPr>
        <b/>
        <sz val="11"/>
        <color theme="0" tint="-4.9989318521683403E-2"/>
        <rFont val="Calibri"/>
        <family val="2"/>
        <scheme val="minor"/>
      </rPr>
      <t xml:space="preserve">2 U/µL </t>
    </r>
    <r>
      <rPr>
        <b/>
        <sz val="11"/>
        <color theme="1" tint="0.34998626667073579"/>
        <rFont val="Calibri"/>
        <family val="2"/>
        <scheme val="minor"/>
      </rPr>
      <t>DNA polymerase</t>
    </r>
  </si>
  <si>
    <t>Custom Q5/Phusion Pol PCR</t>
  </si>
  <si>
    <t>Stock [Primer]</t>
  </si>
  <si>
    <r>
      <t xml:space="preserve">10× </t>
    </r>
    <r>
      <rPr>
        <b/>
        <i/>
        <sz val="11"/>
        <color theme="1" tint="0.34998626667073579"/>
        <rFont val="Calibri"/>
        <family val="2"/>
        <scheme val="minor"/>
      </rPr>
      <t>Taq</t>
    </r>
    <r>
      <rPr>
        <b/>
        <sz val="11"/>
        <color theme="1" tint="0.34998626667073579"/>
        <rFont val="Calibri"/>
        <family val="2"/>
        <scheme val="minor"/>
      </rPr>
      <t xml:space="preserve"> reaction buffer</t>
    </r>
  </si>
  <si>
    <r>
      <rPr>
        <b/>
        <i/>
        <sz val="11"/>
        <color theme="1" tint="0.34998626667073579"/>
        <rFont val="Calibri"/>
        <family val="2"/>
        <scheme val="minor"/>
      </rPr>
      <t>Taq</t>
    </r>
    <r>
      <rPr>
        <b/>
        <sz val="11"/>
        <color theme="1" tint="0.34998626667073579"/>
        <rFont val="Calibri"/>
        <family val="2"/>
        <scheme val="minor"/>
      </rPr>
      <t xml:space="preserve"> DNA polymerase</t>
    </r>
  </si>
  <si>
    <r>
      <t>MgCl</t>
    </r>
    <r>
      <rPr>
        <b/>
        <vertAlign val="subscript"/>
        <sz val="11"/>
        <color theme="1" tint="0.34998626667073579"/>
        <rFont val="Calibri"/>
        <family val="2"/>
        <scheme val="minor"/>
      </rPr>
      <t>2</t>
    </r>
  </si>
  <si>
    <t>Deviate from standards with this calculator</t>
  </si>
  <si>
    <t># Common Parts/Vector</t>
  </si>
  <si>
    <t>Common Parts/Vector</t>
  </si>
  <si>
    <t>KCM</t>
  </si>
  <si>
    <t>Stock [KCM]</t>
  </si>
  <si>
    <t>Comp Cells</t>
  </si>
  <si>
    <t>Vol/Tube</t>
  </si>
  <si>
    <t>typically 25–100 µL</t>
  </si>
  <si>
    <t>0× for none</t>
  </si>
  <si>
    <r>
      <t>3) Harvest cells at max 3500×</t>
    </r>
    <r>
      <rPr>
        <i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, wash in equal volume water, then in 1 mL 100 mM LiOAc.</t>
    </r>
  </si>
  <si>
    <t>5) Add PEG/LiOAc/ssDNA soln to cell soln.</t>
  </si>
  <si>
    <t>Genewiz Sequencing, Plasmid</t>
  </si>
  <si>
    <t>in 250 µL tube strip</t>
  </si>
  <si>
    <t>Amt Primer</t>
  </si>
  <si>
    <t>pmol</t>
  </si>
  <si>
    <t>Other Sequencing</t>
  </si>
  <si>
    <r>
      <t xml:space="preserve">† Berkeley DNA Sequencing Facility prefers </t>
    </r>
    <r>
      <rPr>
        <b/>
        <sz val="11"/>
        <color theme="1"/>
        <rFont val="Calibri"/>
        <family val="2"/>
        <scheme val="minor"/>
      </rPr>
      <t>100 ng/kb</t>
    </r>
    <r>
      <rPr>
        <sz val="11"/>
        <color theme="1"/>
        <rFont val="Calibri"/>
        <family val="2"/>
        <scheme val="minor"/>
      </rPr>
      <t xml:space="preserve"> for dsDNA plasmids</t>
    </r>
  </si>
  <si>
    <t>† Genewiz prefers 500 ng for ≤6 kb plasmids, 800 ng for 6–10 kb, 1000 ng for &gt;10 kb.</t>
  </si>
  <si>
    <t>Ex: make 100 mM stock from solid</t>
  </si>
  <si>
    <t>g/L</t>
  </si>
  <si>
    <t>yes</t>
  </si>
  <si>
    <t>https://creativecommons.org/licenses/by-sa/4.0/</t>
  </si>
  <si>
    <t>Protected by CC BY-SA 4.0</t>
  </si>
  <si>
    <r>
      <t>Unit</t>
    </r>
    <r>
      <rPr>
        <sz val="6"/>
        <color theme="4"/>
        <rFont val="Calibri"/>
        <family val="2"/>
        <scheme val="minor"/>
      </rPr>
      <t xml:space="preserve"> (opt)</t>
    </r>
  </si>
  <si>
    <r>
      <t>Unit</t>
    </r>
    <r>
      <rPr>
        <sz val="6"/>
        <color theme="5"/>
        <rFont val="Calibri"/>
        <family val="2"/>
        <scheme val="minor"/>
      </rPr>
      <t xml:space="preserve"> (opt)</t>
    </r>
  </si>
  <si>
    <r>
      <t xml:space="preserve">Label
</t>
    </r>
    <r>
      <rPr>
        <sz val="6"/>
        <color theme="1" tint="0.249977111117893"/>
        <rFont val="Calibri"/>
        <family val="2"/>
        <scheme val="minor"/>
      </rPr>
      <t>(opt)</t>
    </r>
  </si>
  <si>
    <r>
      <t>Unit</t>
    </r>
    <r>
      <rPr>
        <sz val="6"/>
        <color theme="1" tint="0.249977111117893"/>
        <rFont val="Calibri"/>
        <family val="2"/>
        <scheme val="minor"/>
      </rPr>
      <t xml:space="preserve"> (opt)</t>
    </r>
  </si>
  <si>
    <r>
      <t>Factor</t>
    </r>
    <r>
      <rPr>
        <sz val="6"/>
        <color theme="1" tint="0.249977111117893"/>
        <rFont val="Calibri"/>
        <family val="2"/>
        <scheme val="minor"/>
      </rPr>
      <t xml:space="preserve"> nonzero,
default 1</t>
    </r>
  </si>
  <si>
    <r>
      <t xml:space="preserve">Final Concentrations </t>
    </r>
    <r>
      <rPr>
        <sz val="6"/>
        <color theme="1" tint="0.249977111117893"/>
        <rFont val="Calibri"/>
        <family val="2"/>
        <scheme val="minor"/>
      </rPr>
      <t>highest to lowest</t>
    </r>
  </si>
  <si>
    <r>
      <t xml:space="preserve">Final Concentrations </t>
    </r>
    <r>
      <rPr>
        <sz val="6"/>
        <color theme="5"/>
        <rFont val="Calibri"/>
        <family val="2"/>
        <scheme val="minor"/>
      </rPr>
      <t>highest to lowest</t>
    </r>
  </si>
  <si>
    <t>Total Diluent · Excess:</t>
  </si>
  <si>
    <t>Max Prep Volume</t>
  </si>
  <si>
    <r>
      <t xml:space="preserve">Calculates exact dilution instructions for any dilution series given </t>
    </r>
    <r>
      <rPr>
        <i/>
        <sz val="11"/>
        <color theme="1" tint="0.249977111117893"/>
        <rFont val="Calibri"/>
        <family val="2"/>
        <scheme val="minor"/>
      </rPr>
      <t>any</t>
    </r>
    <r>
      <rPr>
        <sz val="11"/>
        <color theme="1" tint="0.249977111117893"/>
        <rFont val="Calibri"/>
        <family val="2"/>
        <scheme val="minor"/>
      </rPr>
      <t>series of concentrations at specified volumes and multiplicative factor (</t>
    </r>
    <r>
      <rPr>
        <i/>
        <sz val="11"/>
        <color theme="1" tint="0.249977111117893"/>
        <rFont val="Calibri"/>
        <family val="2"/>
        <scheme val="minor"/>
      </rPr>
      <t>e.g.</t>
    </r>
    <r>
      <rPr>
        <sz val="11"/>
        <color theme="1" tint="0.249977111117893"/>
        <rFont val="Calibri"/>
        <family val="2"/>
        <scheme val="minor"/>
      </rPr>
      <t xml:space="preserve">#rxns), along with a specified volume excess to account for error.
</t>
    </r>
    <r>
      <rPr>
        <b/>
        <sz val="8"/>
        <color theme="1" tint="0.249977111117893"/>
        <rFont val="Calibri"/>
        <family val="2"/>
        <scheme val="minor"/>
      </rPr>
      <t>Calculation:</t>
    </r>
    <r>
      <rPr>
        <sz val="8"/>
        <color theme="1" tint="0.249977111117893"/>
        <rFont val="Calibri"/>
        <family val="2"/>
        <scheme val="minor"/>
      </rPr>
      <t xml:space="preserve"> Max prep volume = singular volume (single rxn) × factor (# rxns) × excess + volume necessary to make next dilution. Dilute = prep vol × dilution factor. Dilution factor = previous conc. / current conc.</t>
    </r>
  </si>
  <si>
    <t>5× GC Enhancer</t>
  </si>
  <si>
    <t>0.5, 0.8, 1 µg for
&lt;6, 6–10, 10 kb</t>
  </si>
  <si>
    <t># Samples</t>
  </si>
  <si>
    <t>Samples</t>
  </si>
  <si>
    <t>Set primer amount and sample volume stipulated by your sequencing service.</t>
  </si>
  <si>
    <t>Dilution Series Calculator</t>
  </si>
  <si>
    <t>Reagent Preparation Calculator</t>
  </si>
  <si>
    <r>
      <t xml:space="preserve">• </t>
    </r>
    <r>
      <rPr>
        <b/>
        <sz val="11"/>
        <color theme="1"/>
        <rFont val="Calibri"/>
        <family val="2"/>
        <scheme val="minor"/>
      </rPr>
      <t>1.0–4.0E-14 mol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10–40 fmol</t>
    </r>
    <r>
      <rPr>
        <sz val="11"/>
        <color theme="1"/>
        <rFont val="Calibri"/>
        <family val="2"/>
        <scheme val="minor"/>
      </rPr>
      <t xml:space="preserve">) optimal for Golden Gate Assembly (40 nM·10 µL).      </t>
    </r>
    <r>
      <rPr>
        <b/>
        <sz val="11"/>
        <color theme="1"/>
        <rFont val="Calibri"/>
        <family val="2"/>
        <scheme val="minor"/>
      </rPr>
      <t xml:space="preserve">20–80 nM </t>
    </r>
    <r>
      <rPr>
        <sz val="11"/>
        <color theme="1"/>
        <rFont val="Calibri"/>
        <family val="2"/>
        <scheme val="minor"/>
      </rPr>
      <t>is a good storage concentration (0.5 µL = 10–40 fmol)</t>
    </r>
  </si>
  <si>
    <t>• 0.02–0.5 E-12 mol optimal for Gibson Assembly, 1–3 fragments</t>
  </si>
  <si>
    <t>• 0.2–1.0 E-12 mol optimal for Gibson Assembly, 4–6 fragments</t>
  </si>
  <si>
    <r>
      <rPr>
        <b/>
        <i/>
        <sz val="11"/>
        <color rgb="FF7030A0"/>
        <rFont val="Calibri"/>
        <family val="2"/>
        <scheme val="minor"/>
      </rPr>
      <t>Vol</t>
    </r>
    <r>
      <rPr>
        <b/>
        <sz val="11"/>
        <color rgb="FF7030A0"/>
        <rFont val="Calibri"/>
        <family val="2"/>
        <scheme val="minor"/>
      </rPr>
      <t xml:space="preserve"> Diluent</t>
    </r>
  </si>
  <si>
    <t>Diluent Volume:</t>
  </si>
  <si>
    <r>
      <rPr>
        <b/>
        <sz val="10"/>
        <rFont val="Calibri"/>
        <family val="2"/>
        <scheme val="minor"/>
      </rPr>
      <t>EXAMPLE:</t>
    </r>
    <r>
      <rPr>
        <sz val="10"/>
        <color theme="1"/>
        <rFont val="Calibri"/>
        <family val="2"/>
        <scheme val="minor"/>
      </rPr>
      <t xml:space="preserve"> I want a mixed dilution series of two-fold and five-fold spanning </t>
    </r>
    <r>
      <rPr>
        <sz val="10"/>
        <color theme="5"/>
        <rFont val="Calibri"/>
        <family val="2"/>
        <scheme val="minor"/>
      </rPr>
      <t>2 M – 0.01 – 0 M</t>
    </r>
    <r>
      <rPr>
        <sz val="10"/>
        <color theme="1"/>
        <rFont val="Calibri"/>
        <family val="2"/>
        <scheme val="minor"/>
      </rPr>
      <t xml:space="preserve">, with </t>
    </r>
    <r>
      <rPr>
        <sz val="10"/>
        <color theme="4"/>
        <rFont val="Calibri"/>
        <family val="2"/>
        <scheme val="minor"/>
      </rPr>
      <t>150 µL in each rxn</t>
    </r>
    <r>
      <rPr>
        <sz val="10"/>
        <color theme="1"/>
        <rFont val="Calibri"/>
        <family val="2"/>
        <scheme val="minor"/>
      </rPr>
      <t xml:space="preserve">, with a </t>
    </r>
    <r>
      <rPr>
        <sz val="10"/>
        <color rgb="FFFF697B"/>
        <rFont val="Calibri"/>
        <family val="2"/>
        <scheme val="minor"/>
      </rPr>
      <t>triplicate</t>
    </r>
    <r>
      <rPr>
        <sz val="10"/>
        <color theme="1"/>
        <rFont val="Calibri"/>
        <family val="2"/>
        <scheme val="minor"/>
      </rPr>
      <t xml:space="preserve"> of the 0.5 M and 0.1 M rxns, and a </t>
    </r>
    <r>
      <rPr>
        <sz val="10"/>
        <color rgb="FFFF697B"/>
        <rFont val="Calibri"/>
        <family val="2"/>
        <scheme val="minor"/>
      </rPr>
      <t>duplicate</t>
    </r>
    <r>
      <rPr>
        <sz val="10"/>
        <color theme="1"/>
        <rFont val="Calibri"/>
        <family val="2"/>
        <scheme val="minor"/>
      </rPr>
      <t xml:space="preserve"> of the rest </t>
    </r>
    <r>
      <rPr>
        <b/>
        <sz val="10"/>
        <color theme="1"/>
        <rFont val="Calibri"/>
        <family val="2"/>
        <scheme val="minor"/>
      </rPr>
      <t>(</t>
    </r>
    <r>
      <rPr>
        <b/>
        <i/>
        <sz val="10"/>
        <color theme="1"/>
        <rFont val="Calibri"/>
        <family val="2"/>
        <scheme val="minor"/>
      </rPr>
      <t>Factor</t>
    </r>
    <r>
      <rPr>
        <sz val="10"/>
        <color theme="1"/>
        <rFont val="Calibri"/>
        <family val="2"/>
        <scheme val="minor"/>
      </rPr>
      <t xml:space="preserve">), preparing </t>
    </r>
    <r>
      <rPr>
        <sz val="10"/>
        <color rgb="FFFF99FF"/>
        <rFont val="Calibri"/>
        <family val="2"/>
        <scheme val="minor"/>
      </rPr>
      <t xml:space="preserve">5% excess </t>
    </r>
    <r>
      <rPr>
        <sz val="10"/>
        <color theme="1"/>
        <rFont val="Calibri"/>
        <family val="2"/>
        <scheme val="minor"/>
      </rPr>
      <t>for all dilutions. I see at the bottom that I must prepare at least</t>
    </r>
    <r>
      <rPr>
        <sz val="10"/>
        <color theme="9"/>
        <rFont val="Calibri"/>
        <family val="2"/>
        <scheme val="minor"/>
      </rPr>
      <t xml:space="preserve"> </t>
    </r>
    <r>
      <rPr>
        <sz val="10"/>
        <color rgb="FF00B050"/>
        <rFont val="Calibri"/>
        <family val="2"/>
        <scheme val="minor"/>
      </rPr>
      <t>2.52 mL</t>
    </r>
    <r>
      <rPr>
        <sz val="10"/>
        <color theme="1"/>
        <rFont val="Calibri"/>
        <family val="2"/>
        <scheme val="minor"/>
      </rPr>
      <t xml:space="preserve"> diluent and at least </t>
    </r>
    <r>
      <rPr>
        <sz val="10"/>
        <color rgb="FFFFC000"/>
        <rFont val="Calibri"/>
        <family val="2"/>
        <scheme val="minor"/>
      </rPr>
      <t>624 µL of the 2 M stuff (preparatory volume of top conc)</t>
    </r>
    <r>
      <rPr>
        <sz val="10"/>
        <color theme="1"/>
        <rFont val="Calibri"/>
        <family val="2"/>
        <scheme val="minor"/>
      </rPr>
      <t xml:space="preserve">. First I aliquot </t>
    </r>
    <r>
      <rPr>
        <sz val="10"/>
        <color rgb="FF7030A0"/>
        <rFont val="Calibri"/>
        <family val="2"/>
        <scheme val="minor"/>
      </rPr>
      <t>all (except for #1, the top conc.) of the diluent volumes</t>
    </r>
    <r>
      <rPr>
        <sz val="10"/>
        <color theme="1"/>
        <rFont val="Calibri"/>
        <family val="2"/>
        <scheme val="minor"/>
      </rPr>
      <t xml:space="preserve">  in tubes large enough to hold the preparatory volumes of each concentration. Then I follow the </t>
    </r>
    <r>
      <rPr>
        <b/>
        <i/>
        <sz val="10"/>
        <color theme="1"/>
        <rFont val="Calibri"/>
        <family val="2"/>
        <scheme val="minor"/>
      </rPr>
      <t>Dilute</t>
    </r>
    <r>
      <rPr>
        <sz val="10"/>
        <color theme="1"/>
        <rFont val="Calibri"/>
        <family val="2"/>
        <scheme val="minor"/>
      </rPr>
      <t xml:space="preserve"> column instructions and start the series by</t>
    </r>
    <r>
      <rPr>
        <sz val="10"/>
        <color rgb="FFC00000"/>
        <rFont val="Calibri"/>
        <family val="2"/>
        <scheme val="minor"/>
      </rPr>
      <t xml:space="preserve"> diluting 308.7 µL of the 2 M stuff in 308.7 µL diluent to make 617.4 µL of the 1 M stuff (dilution #2)</t>
    </r>
    <r>
      <rPr>
        <sz val="10"/>
        <color theme="1"/>
        <rFont val="Calibri"/>
        <family val="2"/>
        <scheme val="minor"/>
      </rPr>
      <t xml:space="preserve">. </t>
    </r>
    <r>
      <rPr>
        <i/>
        <sz val="10"/>
        <color theme="1"/>
        <rFont val="Calibri"/>
        <family val="2"/>
        <scheme val="minor"/>
      </rPr>
      <t>Et cetera</t>
    </r>
    <r>
      <rPr>
        <sz val="10"/>
        <color theme="1"/>
        <rFont val="Calibri"/>
        <family val="2"/>
        <scheme val="minor"/>
      </rPr>
      <t xml:space="preserve">. </t>
    </r>
  </si>
  <si>
    <t>Minor updates to Dilution Series headings and explanation.</t>
  </si>
  <si>
    <t># Unique Parts</t>
  </si>
  <si>
    <t>Using &gt;0.5 µL (200 U) low-concentration ligase or same volume high-concentration ligase was found to increase misassembly rate, congruent with T4 ligase's known promiscuity [EMMA toolkit].</t>
  </si>
  <si>
    <r>
      <t xml:space="preserve">Using &gt;0.5 µL (5 U) </t>
    </r>
    <r>
      <rPr>
        <i/>
        <sz val="8"/>
        <color rgb="FF333333"/>
        <rFont val="Arial"/>
        <family val="2"/>
      </rPr>
      <t>Bsa</t>
    </r>
    <r>
      <rPr>
        <sz val="8"/>
        <color rgb="FF333333"/>
        <rFont val="Arial"/>
        <family val="2"/>
      </rPr>
      <t>I was not found to improve assembly rate [EMMA toolkit].</t>
    </r>
  </si>
  <si>
    <t>Type IIs endonuclease</t>
  </si>
  <si>
    <t>BSA is required for full BsaI activity at 37°C (but not for BsaI-HFv2). BSA can still improve a reaction by adsorbing inhibitory miniprep contaminants. A final 0.5–1% PEG was found in internal Dueber Lab studies to improve 10-part assembly efficiency for Esp3I and BsaI Golden Gates. Shyam's 10× Golden Gate enhancer is: 1 mg/mL BSA + 10% PEG-3350.</t>
  </si>
  <si>
    <t>EcoRI-HF</t>
  </si>
  <si>
    <t>SpeI-HF</t>
  </si>
  <si>
    <t>DNA Conc: "Too dilute" displays without necessary volume input.</t>
  </si>
  <si>
    <t>&lt; Warnings</t>
  </si>
  <si>
    <t>DNA Restriction Digest 1</t>
  </si>
  <si>
    <t>DNA Restriction Digest 2</t>
  </si>
  <si>
    <t>DNA Restriction Digest 3</t>
  </si>
  <si>
    <t>DNA Restriction Digest 4</t>
  </si>
  <si>
    <t>DNA Restriction Digest 5</t>
  </si>
  <si>
    <t>DNA Restriction Digest 6</t>
  </si>
  <si>
    <t>Added "Warnings" label.</t>
  </si>
  <si>
    <t>Changed titling to just enumerating copies.</t>
  </si>
  <si>
    <t>Optimal Q5/Phusion Pol PCR (1)</t>
  </si>
  <si>
    <t>Optimal Q5/Phusion Pol PCR (2)</t>
  </si>
  <si>
    <t>Optimal Q5/Phusion Pol PCR (3)</t>
  </si>
  <si>
    <r>
      <t xml:space="preserve">Optimal </t>
    </r>
    <r>
      <rPr>
        <i/>
        <sz val="12"/>
        <color theme="2" tint="-0.749992370372631"/>
        <rFont val="Segoe UI"/>
        <family val="2"/>
      </rPr>
      <t>Taq</t>
    </r>
    <r>
      <rPr>
        <sz val="12"/>
        <color theme="2" tint="-0.749992370372631"/>
        <rFont val="Segoe UI"/>
        <family val="2"/>
      </rPr>
      <t>Pol Genotyping PCR (1)</t>
    </r>
  </si>
  <si>
    <r>
      <t xml:space="preserve">Optimal </t>
    </r>
    <r>
      <rPr>
        <i/>
        <sz val="12"/>
        <color theme="2" tint="-0.749992370372631"/>
        <rFont val="Segoe UI"/>
        <family val="2"/>
      </rPr>
      <t>Taq</t>
    </r>
    <r>
      <rPr>
        <sz val="12"/>
        <color theme="2" tint="-0.749992370372631"/>
        <rFont val="Segoe UI"/>
        <family val="2"/>
      </rPr>
      <t>Pol Genotyping PCR (2)</t>
    </r>
  </si>
  <si>
    <r>
      <t xml:space="preserve">Optimal </t>
    </r>
    <r>
      <rPr>
        <i/>
        <sz val="12"/>
        <color theme="2" tint="-0.749992370372631"/>
        <rFont val="Segoe UI"/>
        <family val="2"/>
      </rPr>
      <t>Taq</t>
    </r>
    <r>
      <rPr>
        <sz val="12"/>
        <color theme="2" tint="-0.749992370372631"/>
        <rFont val="Segoe UI"/>
        <family val="2"/>
      </rPr>
      <t>Pol Genotyping PCR (3)</t>
    </r>
  </si>
  <si>
    <t>Added Golden Gate notes at bottom.</t>
  </si>
  <si>
    <t>For ligations, set "Type IIs endonuclease" to 0. Though if you still do restriction-ligation cloning, you're old-school. Upgrade to the faster, more robust, semi-scarless Golden Gate assembly.</t>
  </si>
  <si>
    <t>Added calculation for volume of each common part for # Golden Gate reactions.</t>
  </si>
  <si>
    <t>Golden Gate common and other DNAs disappear from the calculation table (like BSA) if zero.</t>
  </si>
  <si>
    <t>Golden Gate Assembly 1</t>
  </si>
  <si>
    <t>Golden Gate Assembly 2</t>
  </si>
  <si>
    <t>Golden Gate Assembly 3</t>
  </si>
  <si>
    <t># Parts</t>
  </si>
  <si>
    <t># Others (PCR pdts, oligo pts)</t>
  </si>
  <si>
    <t>Unique Parts</t>
  </si>
  <si>
    <t>Others</t>
  </si>
  <si>
    <t xml:space="preserve">Total – Uniques &amp; Others: </t>
  </si>
  <si>
    <r>
      <rPr>
        <b/>
        <i/>
        <sz val="11"/>
        <color theme="2" tint="-0.749992370372631"/>
        <rFont val="Calibri"/>
        <family val="2"/>
        <scheme val="minor"/>
      </rPr>
      <t>Bsm</t>
    </r>
    <r>
      <rPr>
        <b/>
        <sz val="11"/>
        <color theme="2" tint="-0.749992370372631"/>
        <rFont val="Calibri"/>
        <family val="2"/>
        <scheme val="minor"/>
      </rPr>
      <t>BI/</t>
    </r>
    <r>
      <rPr>
        <b/>
        <i/>
        <sz val="11"/>
        <color theme="2" tint="-0.749992370372631"/>
        <rFont val="Calibri"/>
        <family val="2"/>
        <scheme val="minor"/>
      </rPr>
      <t>Bsa</t>
    </r>
    <r>
      <rPr>
        <b/>
        <sz val="11"/>
        <color theme="2" tint="-0.749992370372631"/>
        <rFont val="Calibri"/>
        <family val="2"/>
        <scheme val="minor"/>
      </rPr>
      <t>I/</t>
    </r>
    <r>
      <rPr>
        <b/>
        <i/>
        <sz val="11"/>
        <color theme="2" tint="-0.749992370372631"/>
        <rFont val="Calibri"/>
        <family val="2"/>
        <scheme val="minor"/>
      </rPr>
      <t>Bbs</t>
    </r>
    <r>
      <rPr>
        <b/>
        <sz val="11"/>
        <color theme="2" tint="-0.749992370372631"/>
        <rFont val="Calibri"/>
        <family val="2"/>
        <scheme val="minor"/>
      </rPr>
      <t>I</t>
    </r>
  </si>
  <si>
    <r>
      <rPr>
        <i/>
        <sz val="14"/>
        <color theme="1"/>
        <rFont val="Calibri"/>
        <family val="2"/>
        <scheme val="minor"/>
      </rPr>
      <t>E. coli</t>
    </r>
    <r>
      <rPr>
        <sz val="14"/>
        <color theme="1"/>
        <rFont val="Calibri"/>
        <family val="2"/>
        <scheme val="minor"/>
      </rPr>
      <t xml:space="preserve"> Transformation (1)</t>
    </r>
  </si>
  <si>
    <r>
      <rPr>
        <i/>
        <sz val="14"/>
        <color theme="1"/>
        <rFont val="Calibri"/>
        <family val="2"/>
        <scheme val="minor"/>
      </rPr>
      <t>E. coli</t>
    </r>
    <r>
      <rPr>
        <sz val="14"/>
        <color theme="1"/>
        <rFont val="Calibri"/>
        <family val="2"/>
        <scheme val="minor"/>
      </rPr>
      <t xml:space="preserve"> Transformation (2)</t>
    </r>
  </si>
  <si>
    <t>Genewiz Sequencing</t>
  </si>
  <si>
    <t>500
800
1000</t>
  </si>
  <si>
    <t>ng, &lt;6kb
ng, 6–10kb
&gt;10kb</t>
  </si>
  <si>
    <r>
      <t>V</t>
    </r>
    <r>
      <rPr>
        <b/>
        <vertAlign val="subscript"/>
        <sz val="10"/>
        <color rgb="FF0070C0"/>
        <rFont val="Calibri Light"/>
        <family val="2"/>
        <scheme val="major"/>
      </rPr>
      <t>seq rxn</t>
    </r>
    <r>
      <rPr>
        <b/>
        <sz val="10"/>
        <color rgb="FF0070C0"/>
        <rFont val="Calibri Light"/>
        <family val="2"/>
        <scheme val="major"/>
      </rPr>
      <t>:</t>
    </r>
  </si>
  <si>
    <r>
      <t>V</t>
    </r>
    <r>
      <rPr>
        <b/>
        <vertAlign val="subscript"/>
        <sz val="10"/>
        <color rgb="FF0070C0"/>
        <rFont val="Calibri Light"/>
        <family val="2"/>
        <scheme val="major"/>
      </rPr>
      <t>primer/rxn</t>
    </r>
    <r>
      <rPr>
        <b/>
        <sz val="10"/>
        <color rgb="FF0070C0"/>
        <rFont val="Calibri Light"/>
        <family val="2"/>
        <scheme val="major"/>
      </rPr>
      <t>:</t>
    </r>
  </si>
  <si>
    <r>
      <t>V</t>
    </r>
    <r>
      <rPr>
        <b/>
        <vertAlign val="subscript"/>
        <sz val="12"/>
        <color rgb="FF0070C0"/>
        <rFont val="Calibri Light"/>
        <family val="2"/>
        <scheme val="major"/>
      </rPr>
      <t>H₂O</t>
    </r>
  </si>
  <si>
    <r>
      <t xml:space="preserve">Sequencing: </t>
    </r>
    <r>
      <rPr>
        <i/>
        <sz val="11"/>
        <color theme="1" tint="0.249977111117893"/>
        <rFont val="Calibri"/>
        <family val="2"/>
        <scheme val="minor"/>
      </rPr>
      <t>mass</t>
    </r>
  </si>
  <si>
    <r>
      <t xml:space="preserve">Sequencing: </t>
    </r>
    <r>
      <rPr>
        <i/>
        <sz val="11"/>
        <color theme="1" tint="0.249977111117893"/>
        <rFont val="Calibri"/>
        <family val="2"/>
        <scheme val="minor"/>
      </rPr>
      <t>mass</t>
    </r>
    <r>
      <rPr>
        <sz val="11"/>
        <color theme="1" tint="0.249977111117893"/>
        <rFont val="Calibri"/>
        <family val="2"/>
        <scheme val="minor"/>
      </rPr>
      <t>/</t>
    </r>
    <r>
      <rPr>
        <i/>
        <sz val="11"/>
        <color theme="1" tint="0.249977111117893"/>
        <rFont val="Calibri"/>
        <family val="2"/>
        <scheme val="minor"/>
      </rPr>
      <t>length</t>
    </r>
  </si>
  <si>
    <t>DNA Conc: molar conc input correctly overrides mass conc input in calculating amt, dilution, and sequencing volumes.</t>
  </si>
  <si>
    <t>DNA Conc: Genewiz sequencing formula field added.</t>
  </si>
  <si>
    <t>Oligo(s)</t>
  </si>
  <si>
    <t>v2.3</t>
  </si>
  <si>
    <t>v2.4</t>
  </si>
  <si>
    <t>Sequencing: fixed error in Genewiz sequencing volume formula propagation down column.</t>
  </si>
  <si>
    <t>Phosphorylation: fixed error in static buffer volume.</t>
  </si>
  <si>
    <t>v2.2</t>
  </si>
  <si>
    <t>I N P U T S</t>
  </si>
  <si>
    <r>
      <t>Length</t>
    </r>
    <r>
      <rPr>
        <b/>
        <vertAlign val="subscript"/>
        <sz val="12"/>
        <color rgb="FF0070C0"/>
        <rFont val="Calibri Light"/>
        <family val="2"/>
        <scheme val="major"/>
      </rPr>
      <t xml:space="preserve">DNA </t>
    </r>
    <r>
      <rPr>
        <b/>
        <sz val="12"/>
        <color rgb="FF0070C0"/>
        <rFont val="Calibri Light"/>
        <family val="2"/>
        <scheme val="major"/>
      </rPr>
      <t>(bp)</t>
    </r>
  </si>
  <si>
    <r>
      <t>ρ</t>
    </r>
    <r>
      <rPr>
        <b/>
        <vertAlign val="subscript"/>
        <sz val="12"/>
        <color rgb="FF0070C0"/>
        <rFont val="Calibri Light"/>
        <family val="2"/>
        <scheme val="major"/>
      </rPr>
      <t>DNA</t>
    </r>
    <r>
      <rPr>
        <b/>
        <sz val="12"/>
        <color rgb="FF0070C0"/>
        <rFont val="Calibri Light"/>
        <family val="2"/>
        <scheme val="major"/>
      </rPr>
      <t xml:space="preserve"> (ng/µL)</t>
    </r>
  </si>
  <si>
    <r>
      <t>ng</t>
    </r>
    <r>
      <rPr>
        <vertAlign val="superscript"/>
        <sz val="11"/>
        <color theme="1"/>
        <rFont val="Calibri"/>
        <family val="2"/>
        <scheme val="minor"/>
      </rPr>
      <t>†</t>
    </r>
  </si>
  <si>
    <t>* The error in DNA absorbance measurement is larger than the error in estimation of [DNA] using length alone: linearity instead of circularity, lack of phosphorylation, and %GC alter the DNA molar mass by &lt;0.3% of anything ≥50 bp. Here, DNA is calculated to be circular, non-coordinated, -1 charge/bp.</t>
  </si>
  <si>
    <t>v2.5</t>
  </si>
  <si>
    <t>DNA Conc: input columns all adjacent. Some formulas streamlined.</t>
  </si>
  <si>
    <t>Approx 0%=</t>
  </si>
  <si>
    <t>DNA Conc: ρ (mass conc) column inputs are strikethrough-formatted when molar concentration inputs exist, showing calculations use molar input instead of mass.</t>
  </si>
  <si>
    <t>DNA Conc: New setting for volume diluent approximation to zero, instead of hard-coded ±5% volume ≈ 0%.</t>
  </si>
  <si>
    <t>DNA Conc: MW input (forgotten until now) is now functional.</t>
  </si>
  <si>
    <t>v2.6</t>
  </si>
  <si>
    <t>† DNA molar concentration can be provided, overriding calculation from mass concentration and length. This is needed when a mass of DNA is needed when only molar concentration is known, as with sequencing molar-normalized samples.</t>
  </si>
  <si>
    <r>
      <rPr>
        <b/>
        <i/>
        <sz val="10"/>
        <color rgb="FF0070C0"/>
        <rFont val="Calibri Light"/>
        <family val="2"/>
        <scheme val="major"/>
      </rPr>
      <t>c</t>
    </r>
    <r>
      <rPr>
        <b/>
        <vertAlign val="subscript"/>
        <sz val="10"/>
        <color rgb="FF0070C0"/>
        <rFont val="Calibri Light"/>
        <family val="2"/>
        <scheme val="major"/>
      </rPr>
      <t>DNA</t>
    </r>
    <r>
      <rPr>
        <b/>
        <vertAlign val="superscript"/>
        <sz val="10"/>
        <color rgb="FF0070C0"/>
        <rFont val="Calibri Light"/>
        <family val="2"/>
        <scheme val="major"/>
      </rPr>
      <t>†</t>
    </r>
    <r>
      <rPr>
        <b/>
        <sz val="10"/>
        <color rgb="FF0070C0"/>
        <rFont val="Calibri Light"/>
        <family val="2"/>
        <scheme val="major"/>
      </rPr>
      <t xml:space="preserve">
(nM)</t>
    </r>
  </si>
  <si>
    <r>
      <t>MW</t>
    </r>
    <r>
      <rPr>
        <b/>
        <vertAlign val="subscript"/>
        <sz val="9"/>
        <color theme="2" tint="-9.9948118533890809E-2"/>
        <rFont val="Calibri Light"/>
        <family val="2"/>
        <scheme val="major"/>
      </rPr>
      <t xml:space="preserve">DNA
</t>
    </r>
    <r>
      <rPr>
        <b/>
        <sz val="9"/>
        <color theme="2" tint="-9.9948118533890809E-2"/>
        <rFont val="Calibri Light"/>
        <family val="2"/>
        <scheme val="major"/>
      </rPr>
      <t>†(Da)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</si>
</sst>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000"/>
    <numFmt numFmtId="167" formatCode="0.000E+00"/>
    <numFmt numFmtId="168" formatCode="0.0000000"/>
    <numFmt numFmtId="169" formatCode="0.##"/>
    <numFmt numFmtId="170" formatCode="0.0E+00"/>
  </numFmts>
  <fonts count="16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4" tint="-0.249977111117893"/>
      <name val="Calibri Light"/>
      <family val="2"/>
      <scheme val="major"/>
    </font>
    <font>
      <sz val="11"/>
      <color rgb="FF0070C0"/>
      <name val="Calibri Light"/>
      <family val="2"/>
      <scheme val="major"/>
    </font>
    <font>
      <b/>
      <sz val="11"/>
      <color theme="2" tint="-0.749992370372631"/>
      <name val="Calibri"/>
      <family val="2"/>
      <scheme val="minor"/>
    </font>
    <font>
      <b/>
      <vertAlign val="subscript"/>
      <sz val="11"/>
      <color theme="2" tint="-0.749992370372631"/>
      <name val="Calibri"/>
      <family val="2"/>
      <scheme val="minor"/>
    </font>
    <font>
      <b/>
      <i/>
      <sz val="11"/>
      <color theme="2" tint="-0.749992370372631"/>
      <name val="Calibri"/>
      <family val="2"/>
      <scheme val="minor"/>
    </font>
    <font>
      <b/>
      <sz val="12"/>
      <color theme="4" tint="-0.249977111117893"/>
      <name val="Calibri Light"/>
      <family val="2"/>
      <scheme val="major"/>
    </font>
    <font>
      <b/>
      <vertAlign val="subscript"/>
      <sz val="12"/>
      <color theme="4" tint="-0.249977111117893"/>
      <name val="Calibri Light"/>
      <family val="2"/>
      <scheme val="major"/>
    </font>
    <font>
      <b/>
      <i/>
      <sz val="12"/>
      <color theme="4" tint="-0.24997711111789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9" tint="-0.499984740745262"/>
      <name val="Calibri Light"/>
      <family val="2"/>
      <scheme val="major"/>
    </font>
    <font>
      <i/>
      <sz val="14"/>
      <color theme="9" tint="-0.499984740745262"/>
      <name val="Calibri Light"/>
      <family val="2"/>
      <scheme val="major"/>
    </font>
    <font>
      <i/>
      <vertAlign val="subscript"/>
      <sz val="14"/>
      <color theme="9" tint="-0.499984740745262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i/>
      <sz val="11"/>
      <color theme="3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2" tint="-0.249977111117893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5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2"/>
      <color theme="2" tint="-0.749992370372631"/>
      <name val="Segoe UI"/>
      <family val="2"/>
    </font>
    <font>
      <sz val="11"/>
      <color theme="2" tint="-0.749992370372631"/>
      <name val="Calibri Light"/>
      <family val="2"/>
      <scheme val="major"/>
    </font>
    <font>
      <sz val="11"/>
      <name val="Calibri Light"/>
      <family val="2"/>
      <scheme val="major"/>
    </font>
    <font>
      <i/>
      <sz val="11"/>
      <color theme="2" tint="-9.9978637043366805E-2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vertAlign val="subscript"/>
      <sz val="11"/>
      <color theme="1" tint="0.34998626667073579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b/>
      <sz val="12"/>
      <color theme="2" tint="-0.749992370372631"/>
      <name val="Segoe UI Semibold"/>
      <family val="2"/>
    </font>
    <font>
      <sz val="12"/>
      <color theme="1"/>
      <name val="Calibri"/>
      <family val="2"/>
      <scheme val="minor"/>
    </font>
    <font>
      <i/>
      <sz val="12"/>
      <color theme="2" tint="-0.749992370372631"/>
      <name val="Segoe UI"/>
      <family val="2"/>
    </font>
    <font>
      <b/>
      <sz val="12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color theme="0" tint="-4.9989318521683403E-2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i/>
      <vertAlign val="subscript"/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i/>
      <sz val="12"/>
      <color theme="1"/>
      <name val="Calibri Light"/>
      <family val="2"/>
      <scheme val="major"/>
    </font>
    <font>
      <b/>
      <vertAlign val="subscript"/>
      <sz val="12"/>
      <color theme="1"/>
      <name val="Calibri Light"/>
      <family val="2"/>
      <scheme val="major"/>
    </font>
    <font>
      <sz val="11"/>
      <color theme="2" tint="-9.9978637043366805E-2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b/>
      <i/>
      <sz val="9"/>
      <color theme="5" tint="-0.249977111117893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vertAlign val="subscript"/>
      <sz val="8"/>
      <color rgb="FF000000"/>
      <name val="Arial"/>
      <family val="2"/>
    </font>
    <font>
      <b/>
      <i/>
      <vertAlign val="subscript"/>
      <sz val="11"/>
      <color theme="4" tint="-0.499984740745262"/>
      <name val="Calibri"/>
      <family val="2"/>
      <scheme val="minor"/>
    </font>
    <font>
      <b/>
      <vertAlign val="subscript"/>
      <sz val="11"/>
      <color theme="4" tint="-0.249977111117893"/>
      <name val="Calibri Light"/>
      <family val="2"/>
      <scheme val="major"/>
    </font>
    <font>
      <b/>
      <i/>
      <sz val="11"/>
      <color theme="4" tint="-0.249977111117893"/>
      <name val="Calibri Light"/>
      <family val="2"/>
      <scheme val="major"/>
    </font>
    <font>
      <sz val="11"/>
      <color theme="0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2"/>
      <color rgb="FF0070C0"/>
      <name val="Calibri Light"/>
      <family val="2"/>
      <scheme val="major"/>
    </font>
    <font>
      <b/>
      <vertAlign val="subscript"/>
      <sz val="12"/>
      <color rgb="FF0070C0"/>
      <name val="Calibri Light"/>
      <family val="2"/>
      <scheme val="major"/>
    </font>
    <font>
      <b/>
      <i/>
      <sz val="9"/>
      <color rgb="FF0070C0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rgb="FF0070C0"/>
      <name val="Calibri Light"/>
      <family val="2"/>
      <scheme val="major"/>
    </font>
    <font>
      <b/>
      <sz val="12"/>
      <color rgb="FF0070C0"/>
      <name val="Calibri Light"/>
      <family val="2"/>
      <scheme val="major"/>
    </font>
    <font>
      <b/>
      <sz val="8"/>
      <color rgb="FF0070C0"/>
      <name val="Calibri Light"/>
      <family val="2"/>
      <scheme val="major"/>
    </font>
    <font>
      <b/>
      <i/>
      <sz val="10"/>
      <color rgb="FF0070C0"/>
      <name val="Calibri Light"/>
      <family val="2"/>
      <scheme val="major"/>
    </font>
    <font>
      <b/>
      <vertAlign val="subscript"/>
      <sz val="10"/>
      <color rgb="FF0070C0"/>
      <name val="Calibri Light"/>
      <family val="2"/>
      <scheme val="major"/>
    </font>
    <font>
      <b/>
      <sz val="10"/>
      <color rgb="FF0070C0"/>
      <name val="Calibri Light"/>
      <family val="2"/>
      <scheme val="major"/>
    </font>
    <font>
      <b/>
      <sz val="12"/>
      <color theme="2" tint="-0.499984740745262"/>
      <name val="Calibri Light"/>
      <family val="2"/>
      <scheme val="maj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i/>
      <sz val="10"/>
      <color theme="5" tint="-0.249977111117893"/>
      <name val="Calibri"/>
      <family val="2"/>
      <scheme val="minor"/>
    </font>
    <font>
      <sz val="8"/>
      <color theme="9" tint="0.39997558519241921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9"/>
      <name val="Calibri"/>
      <family val="2"/>
      <scheme val="minor"/>
    </font>
    <font>
      <sz val="10"/>
      <color rgb="FFFFC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FF697B"/>
      <name val="Calibri"/>
      <family val="2"/>
      <scheme val="minor"/>
    </font>
    <font>
      <sz val="11"/>
      <color rgb="FFFF697B"/>
      <name val="Calibri"/>
      <family val="2"/>
      <scheme val="minor"/>
    </font>
    <font>
      <b/>
      <sz val="11"/>
      <color rgb="FFFF697B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6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6"/>
      <color theme="5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6"/>
      <color theme="1" tint="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sz val="12"/>
      <color theme="1"/>
      <name val="Segoe UI"/>
      <family val="2"/>
    </font>
    <font>
      <sz val="12"/>
      <color theme="2" tint="-0.499984740745262"/>
      <name val="Segoe UI"/>
      <family val="2"/>
    </font>
    <font>
      <sz val="9"/>
      <color theme="2" tint="-0.499984740745262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12"/>
      <color theme="1" tint="0.249977111117893"/>
      <name val="Segoe UI"/>
      <family val="2"/>
    </font>
    <font>
      <sz val="14"/>
      <color theme="1" tint="0.249977111117893"/>
      <name val="Segoe UI"/>
      <family val="2"/>
    </font>
    <font>
      <b/>
      <sz val="12"/>
      <color theme="1" tint="0.34998626667073579"/>
      <name val="Calibri Light"/>
      <family val="2"/>
      <scheme val="major"/>
    </font>
    <font>
      <b/>
      <sz val="9.5"/>
      <color theme="1" tint="0.34998626667073579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FF99FF"/>
      <name val="Calibri"/>
      <family val="2"/>
      <scheme val="minor"/>
    </font>
    <font>
      <sz val="10"/>
      <color rgb="FFFF99FF"/>
      <name val="Calibri"/>
      <family val="2"/>
      <scheme val="minor"/>
    </font>
    <font>
      <b/>
      <sz val="11"/>
      <color rgb="FFFF99FF"/>
      <name val="Calibri"/>
      <family val="2"/>
      <scheme val="minor"/>
    </font>
    <font>
      <sz val="8"/>
      <color rgb="FF333333"/>
      <name val="Arial"/>
      <family val="2"/>
    </font>
    <font>
      <i/>
      <sz val="8"/>
      <color rgb="FF333333"/>
      <name val="Arial"/>
      <family val="2"/>
    </font>
    <font>
      <sz val="11"/>
      <color theme="5" tint="0.39997558519241921"/>
      <name val="Calibri"/>
      <family val="2"/>
      <scheme val="minor"/>
    </font>
    <font>
      <sz val="10"/>
      <color rgb="FF3F3F76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3"/>
      <color theme="1" tint="0.249977111117893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1"/>
      <color theme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vertAlign val="superscript"/>
      <sz val="10"/>
      <color rgb="FF0070C0"/>
      <name val="Calibri Light"/>
      <family val="2"/>
      <scheme val="major"/>
    </font>
    <font>
      <b/>
      <i/>
      <sz val="9"/>
      <color theme="2" tint="-9.9948118533890809E-2"/>
      <name val="Calibri Light"/>
      <family val="2"/>
      <scheme val="major"/>
    </font>
    <font>
      <b/>
      <vertAlign val="subscript"/>
      <sz val="9"/>
      <color theme="2" tint="-9.9948118533890809E-2"/>
      <name val="Calibri Light"/>
      <family val="2"/>
      <scheme val="major"/>
    </font>
    <font>
      <b/>
      <sz val="9"/>
      <color theme="2" tint="-9.9948118533890809E-2"/>
      <name val="Calibri Light"/>
      <family val="2"/>
      <scheme val="major"/>
    </font>
  </fonts>
  <fills count="2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E3C2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EDBB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8D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7F7F7F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rgb="FF7F7F7F"/>
      </top>
      <bottom style="thin">
        <color rgb="FF7F7F7F"/>
      </bottom>
      <diagonal/>
    </border>
    <border>
      <left style="thick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 style="thick">
        <color theme="2" tint="-0.749992370372631"/>
      </right>
      <top style="thin">
        <color rgb="FF7F7F7F"/>
      </top>
      <bottom style="thin">
        <color rgb="FF7F7F7F"/>
      </bottom>
      <diagonal/>
    </border>
    <border>
      <left/>
      <right style="thick">
        <color theme="2" tint="-0.749992370372631"/>
      </right>
      <top/>
      <bottom/>
      <diagonal/>
    </border>
    <border>
      <left/>
      <right style="thick">
        <color theme="2" tint="-0.749992370372631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ck">
        <color theme="2" tint="-0.749992370372631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ck">
        <color theme="2" tint="-0.749992370372631"/>
      </left>
      <right style="thick">
        <color theme="2" tint="-0.749992370372631"/>
      </right>
      <top style="thin">
        <color rgb="FF3F3F3F"/>
      </top>
      <bottom style="thin">
        <color rgb="FF3F3F3F"/>
      </bottom>
      <diagonal/>
    </border>
    <border>
      <left style="thick">
        <color theme="2" tint="-0.749992370372631"/>
      </left>
      <right style="thick">
        <color theme="2" tint="-0.749992370372631"/>
      </right>
      <top style="thin">
        <color rgb="FF7F7F7F"/>
      </top>
      <bottom style="thin">
        <color rgb="FF3F3F3F"/>
      </bottom>
      <diagonal/>
    </border>
    <border>
      <left style="thick">
        <color theme="2" tint="-0.749992370372631"/>
      </left>
      <right style="thick">
        <color theme="2" tint="-0.749992370372631"/>
      </right>
      <top style="thin">
        <color rgb="FF7F7F7F"/>
      </top>
      <bottom style="thin">
        <color rgb="FF7F7F7F"/>
      </bottom>
      <diagonal/>
    </border>
    <border>
      <left style="thick">
        <color theme="2" tint="-0.749992370372631"/>
      </left>
      <right/>
      <top style="thin">
        <color rgb="FF3F3F3F"/>
      </top>
      <bottom/>
      <diagonal/>
    </border>
    <border>
      <left/>
      <right style="thin">
        <color rgb="FF7F7F7F"/>
      </right>
      <top/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ck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indexed="64"/>
      </bottom>
      <diagonal/>
    </border>
    <border>
      <left style="thin">
        <color rgb="FF7F7F7F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ck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ck">
        <color indexed="64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 style="thin">
        <color indexed="64"/>
      </right>
      <top style="double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 style="thick">
        <color indexed="64"/>
      </right>
      <top style="double">
        <color indexed="64"/>
      </top>
      <bottom style="thin">
        <color rgb="FF7F7F7F"/>
      </bottom>
      <diagonal/>
    </border>
    <border>
      <left style="thin">
        <color rgb="FF7F7F7F"/>
      </left>
      <right style="thick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thick">
        <color indexed="64"/>
      </left>
      <right/>
      <top style="thin">
        <color rgb="FF3F3F3F"/>
      </top>
      <bottom/>
      <diagonal/>
    </border>
    <border>
      <left style="thick">
        <color indexed="64"/>
      </left>
      <right style="thick">
        <color theme="2" tint="-0.749992370372631"/>
      </right>
      <top style="thin">
        <color rgb="FF7F7F7F"/>
      </top>
      <bottom/>
      <diagonal/>
    </border>
    <border>
      <left/>
      <right style="thick">
        <color indexed="64"/>
      </right>
      <top style="thin">
        <color rgb="FF7F7F7F"/>
      </top>
      <bottom style="thin">
        <color rgb="FF3F3F3F"/>
      </bottom>
      <diagonal/>
    </border>
    <border>
      <left style="thick">
        <color indexed="64"/>
      </left>
      <right style="thick">
        <color theme="2" tint="-0.749992370372631"/>
      </right>
      <top style="thin">
        <color rgb="FF3F3F3F"/>
      </top>
      <bottom style="thin">
        <color rgb="FF3F3F3F"/>
      </bottom>
      <diagonal/>
    </border>
    <border>
      <left/>
      <right style="thick">
        <color indexed="64"/>
      </right>
      <top style="thin">
        <color rgb="FF3F3F3F"/>
      </top>
      <bottom/>
      <diagonal/>
    </border>
    <border>
      <left style="thin">
        <color rgb="FF7F7F7F"/>
      </left>
      <right style="thick">
        <color theme="2" tint="-0.749992370372631"/>
      </right>
      <top/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ck">
        <color indexed="64"/>
      </bottom>
      <diagonal/>
    </border>
    <border>
      <left style="thin">
        <color rgb="FF3F3F3F"/>
      </left>
      <right/>
      <top style="thin">
        <color rgb="FF3F3F3F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7F7F7F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 style="thin">
        <color rgb="FF3F3F3F"/>
      </top>
      <bottom style="thin">
        <color rgb="FF3F3F3F"/>
      </bottom>
      <diagonal/>
    </border>
    <border>
      <left/>
      <right style="thick">
        <color indexed="64"/>
      </right>
      <top style="thin">
        <color rgb="FF7F7F7F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ck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 style="thin">
        <color theme="1" tint="0.34998626667073579"/>
      </right>
      <top/>
      <bottom style="thin">
        <color rgb="FF7F7F7F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rgb="FF7F7F7F"/>
      </top>
      <bottom style="thin">
        <color rgb="FF3F3F3F"/>
      </bottom>
      <diagonal/>
    </border>
    <border>
      <left style="thin">
        <color theme="1" tint="0.34998626667073579"/>
      </left>
      <right/>
      <top/>
      <bottom style="thin">
        <color rgb="FF7F7F7F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rgb="FF7F7F7F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rgb="FF3F3F3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/>
      <bottom style="medium">
        <color indexed="64"/>
      </bottom>
      <diagonal/>
    </border>
    <border>
      <left style="thin">
        <color rgb="FF3F3F3F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 style="thick">
        <color indexed="64"/>
      </right>
      <top style="thin">
        <color rgb="FF3F3F3F"/>
      </top>
      <bottom/>
      <diagonal/>
    </border>
    <border>
      <left style="thick">
        <color theme="2" tint="-0.749992370372631"/>
      </left>
      <right/>
      <top style="thin">
        <color rgb="FF7F7F7F"/>
      </top>
      <bottom/>
      <diagonal/>
    </border>
    <border>
      <left style="thick">
        <color indexed="64"/>
      </left>
      <right style="thick">
        <color theme="2" tint="-0.749992370372631"/>
      </right>
      <top/>
      <bottom style="thin">
        <color rgb="FF3F3F3F"/>
      </bottom>
      <diagonal/>
    </border>
    <border>
      <left style="thick">
        <color theme="2" tint="-0.749992370372631"/>
      </left>
      <right style="thick">
        <color theme="2" tint="-0.749992370372631"/>
      </right>
      <top/>
      <bottom style="thin">
        <color rgb="FF3F3F3F"/>
      </bottom>
      <diagonal/>
    </border>
    <border>
      <left style="thick">
        <color theme="2" tint="-0.749992370372631"/>
      </left>
      <right/>
      <top/>
      <bottom style="thin">
        <color rgb="FF3F3F3F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rgb="FF3F3F3F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rgb="FF3F3F3F"/>
      </bottom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/>
      <top style="thin">
        <color rgb="FF3F3F3F"/>
      </top>
      <bottom/>
      <diagonal/>
    </border>
    <border>
      <left style="mediumDashed">
        <color indexed="64"/>
      </left>
      <right/>
      <top/>
      <bottom style="thin">
        <color theme="1" tint="0.34998626667073579"/>
      </bottom>
      <diagonal/>
    </border>
    <border>
      <left style="thick">
        <color indexed="64"/>
      </left>
      <right/>
      <top style="thin">
        <color rgb="FF3F3F3F"/>
      </top>
      <bottom style="thin">
        <color rgb="FF3F3F3F"/>
      </bottom>
      <diagonal/>
    </border>
    <border>
      <left style="mediumDashed">
        <color indexed="64"/>
      </left>
      <right/>
      <top style="thin">
        <color theme="1" tint="0.34998626667073579"/>
      </top>
      <bottom style="thin">
        <color rgb="FF3F3F3F"/>
      </bottom>
      <diagonal/>
    </border>
    <border>
      <left style="mediumDashed">
        <color indexed="64"/>
      </left>
      <right/>
      <top style="thin">
        <color theme="1" tint="0.34998626667073579"/>
      </top>
      <bottom style="thin">
        <color rgb="FF7F7F7F"/>
      </bottom>
      <diagonal/>
    </border>
    <border>
      <left style="mediumDashed">
        <color indexed="64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theme="1" tint="0.34998626667073579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medium">
        <color indexed="64"/>
      </left>
      <right/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8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 style="thin">
        <color rgb="FF3F3F3F"/>
      </bottom>
      <diagonal/>
    </border>
    <border>
      <left style="thin">
        <color rgb="FF7F7F7F"/>
      </left>
      <right/>
      <top/>
      <bottom style="thin">
        <color rgb="FF3F3F3F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8" fillId="3" borderId="2" applyNumberFormat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9" fontId="17" fillId="0" borderId="0" applyFont="0" applyFill="0" applyBorder="0" applyAlignment="0" applyProtection="0"/>
    <xf numFmtId="0" fontId="44" fillId="14" borderId="0" applyNumberFormat="0" applyBorder="0" applyAlignment="0" applyProtection="0"/>
  </cellStyleXfs>
  <cellXfs count="585">
    <xf numFmtId="0" fontId="0" fillId="0" borderId="0" xfId="0"/>
    <xf numFmtId="0" fontId="1" fillId="0" borderId="0" xfId="0" applyFont="1" applyAlignment="1">
      <alignment horizontal="right"/>
    </xf>
    <xf numFmtId="0" fontId="5" fillId="0" borderId="0" xfId="0" applyFont="1"/>
    <xf numFmtId="0" fontId="2" fillId="2" borderId="1" xfId="1"/>
    <xf numFmtId="0" fontId="3" fillId="3" borderId="1" xfId="2"/>
    <xf numFmtId="0" fontId="6" fillId="0" borderId="0" xfId="0" applyFont="1" applyAlignment="1">
      <alignment horizontal="right"/>
    </xf>
    <xf numFmtId="0" fontId="6" fillId="0" borderId="0" xfId="0" applyFont="1"/>
    <xf numFmtId="0" fontId="0" fillId="0" borderId="0" xfId="0" applyFont="1"/>
    <xf numFmtId="3" fontId="2" fillId="2" borderId="1" xfId="1" applyNumberFormat="1"/>
    <xf numFmtId="0" fontId="0" fillId="0" borderId="0" xfId="0" applyAlignment="1">
      <alignment horizontal="right"/>
    </xf>
    <xf numFmtId="0" fontId="8" fillId="3" borderId="2" xfId="3"/>
    <xf numFmtId="0" fontId="9" fillId="0" borderId="0" xfId="0" applyFont="1"/>
    <xf numFmtId="0" fontId="0" fillId="0" borderId="0" xfId="0" applyAlignment="1">
      <alignment horizont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horizontal="right"/>
    </xf>
    <xf numFmtId="0" fontId="18" fillId="0" borderId="0" xfId="0" applyFont="1"/>
    <xf numFmtId="0" fontId="0" fillId="0" borderId="0" xfId="0" applyAlignment="1"/>
    <xf numFmtId="164" fontId="7" fillId="0" borderId="0" xfId="0" applyNumberFormat="1" applyFont="1"/>
    <xf numFmtId="9" fontId="2" fillId="2" borderId="1" xfId="1" applyNumberFormat="1"/>
    <xf numFmtId="0" fontId="19" fillId="0" borderId="0" xfId="0" applyFont="1"/>
    <xf numFmtId="164" fontId="8" fillId="3" borderId="2" xfId="3" applyNumberFormat="1"/>
    <xf numFmtId="0" fontId="10" fillId="0" borderId="0" xfId="0" applyFont="1" applyAlignment="1">
      <alignment vertical="top"/>
    </xf>
    <xf numFmtId="0" fontId="27" fillId="0" borderId="0" xfId="0" applyFont="1" applyAlignment="1">
      <alignment vertical="center"/>
    </xf>
    <xf numFmtId="0" fontId="28" fillId="0" borderId="0" xfId="0" applyFont="1" applyFill="1" applyBorder="1" applyAlignment="1">
      <alignment horizontal="right"/>
    </xf>
    <xf numFmtId="164" fontId="5" fillId="2" borderId="5" xfId="1" applyNumberFormat="1" applyFont="1" applyBorder="1" applyAlignment="1">
      <alignment horizontal="right"/>
    </xf>
    <xf numFmtId="0" fontId="0" fillId="0" borderId="4" xfId="0" applyBorder="1"/>
    <xf numFmtId="0" fontId="8" fillId="3" borderId="6" xfId="3" applyBorder="1"/>
    <xf numFmtId="0" fontId="2" fillId="2" borderId="5" xfId="1" applyBorder="1"/>
    <xf numFmtId="0" fontId="6" fillId="0" borderId="4" xfId="0" applyFont="1" applyBorder="1" applyAlignment="1">
      <alignment horizontal="center"/>
    </xf>
    <xf numFmtId="0" fontId="0" fillId="0" borderId="9" xfId="0" applyBorder="1"/>
    <xf numFmtId="0" fontId="30" fillId="0" borderId="4" xfId="0" applyFont="1" applyBorder="1"/>
    <xf numFmtId="0" fontId="30" fillId="0" borderId="0" xfId="0" applyFont="1"/>
    <xf numFmtId="0" fontId="32" fillId="0" borderId="0" xfId="0" applyFont="1" applyAlignment="1">
      <alignment horizontal="center"/>
    </xf>
    <xf numFmtId="0" fontId="32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11" xfId="0" applyBorder="1"/>
    <xf numFmtId="0" fontId="2" fillId="2" borderId="5" xfId="1" applyNumberFormat="1" applyBorder="1"/>
    <xf numFmtId="0" fontId="2" fillId="2" borderId="1" xfId="1" applyNumberFormat="1"/>
    <xf numFmtId="0" fontId="39" fillId="0" borderId="0" xfId="0" applyFont="1"/>
    <xf numFmtId="0" fontId="0" fillId="0" borderId="4" xfId="0" applyBorder="1" applyAlignment="1">
      <alignment horizontal="left"/>
    </xf>
    <xf numFmtId="0" fontId="2" fillId="13" borderId="1" xfId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2" fillId="2" borderId="1" xfId="1" applyAlignment="1">
      <alignment horizontal="right"/>
    </xf>
    <xf numFmtId="0" fontId="0" fillId="0" borderId="8" xfId="0" applyBorder="1"/>
    <xf numFmtId="0" fontId="40" fillId="0" borderId="0" xfId="0" applyFont="1"/>
    <xf numFmtId="0" fontId="0" fillId="0" borderId="0" xfId="0" applyNumberFormat="1"/>
    <xf numFmtId="0" fontId="41" fillId="0" borderId="0" xfId="0" applyFont="1" applyAlignment="1">
      <alignment horizontal="right"/>
    </xf>
    <xf numFmtId="0" fontId="41" fillId="3" borderId="2" xfId="3" applyFont="1"/>
    <xf numFmtId="0" fontId="41" fillId="3" borderId="7" xfId="3" applyFont="1" applyBorder="1"/>
    <xf numFmtId="0" fontId="42" fillId="2" borderId="5" xfId="1" applyFont="1" applyBorder="1"/>
    <xf numFmtId="0" fontId="42" fillId="0" borderId="0" xfId="0" applyFont="1"/>
    <xf numFmtId="0" fontId="41" fillId="3" borderId="6" xfId="3" applyFont="1" applyBorder="1"/>
    <xf numFmtId="0" fontId="6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9" fillId="0" borderId="0" xfId="0" applyFont="1" applyAlignment="1">
      <alignment vertical="top"/>
    </xf>
    <xf numFmtId="0" fontId="51" fillId="0" borderId="0" xfId="0" applyFont="1"/>
    <xf numFmtId="0" fontId="52" fillId="3" borderId="7" xfId="3" applyFont="1" applyBorder="1"/>
    <xf numFmtId="0" fontId="53" fillId="0" borderId="0" xfId="0" applyFont="1" applyAlignment="1">
      <alignment horizontal="right"/>
    </xf>
    <xf numFmtId="0" fontId="56" fillId="0" borderId="0" xfId="0" applyFont="1"/>
    <xf numFmtId="0" fontId="54" fillId="0" borderId="0" xfId="0" applyFont="1" applyAlignment="1">
      <alignment horizontal="right"/>
    </xf>
    <xf numFmtId="0" fontId="56" fillId="0" borderId="4" xfId="0" applyFont="1" applyBorder="1"/>
    <xf numFmtId="0" fontId="55" fillId="0" borderId="0" xfId="0" applyFont="1"/>
    <xf numFmtId="0" fontId="58" fillId="0" borderId="0" xfId="0" applyFont="1" applyAlignment="1">
      <alignment horizontal="right"/>
    </xf>
    <xf numFmtId="0" fontId="47" fillId="0" borderId="23" xfId="0" applyFont="1" applyBorder="1" applyAlignment="1">
      <alignment horizontal="right"/>
    </xf>
    <xf numFmtId="0" fontId="2" fillId="2" borderId="25" xfId="1" applyNumberFormat="1" applyBorder="1"/>
    <xf numFmtId="9" fontId="2" fillId="2" borderId="24" xfId="1" applyNumberFormat="1" applyBorder="1"/>
    <xf numFmtId="9" fontId="0" fillId="0" borderId="26" xfId="0" applyNumberFormat="1" applyBorder="1"/>
    <xf numFmtId="0" fontId="6" fillId="0" borderId="27" xfId="0" applyFont="1" applyBorder="1" applyAlignment="1">
      <alignment horizontal="right"/>
    </xf>
    <xf numFmtId="0" fontId="6" fillId="0" borderId="28" xfId="0" applyFont="1" applyBorder="1" applyAlignment="1">
      <alignment horizontal="right"/>
    </xf>
    <xf numFmtId="0" fontId="0" fillId="0" borderId="29" xfId="0" applyBorder="1"/>
    <xf numFmtId="0" fontId="6" fillId="0" borderId="0" xfId="0" applyFont="1" applyBorder="1" applyAlignment="1">
      <alignment horizontal="right"/>
    </xf>
    <xf numFmtId="164" fontId="8" fillId="3" borderId="2" xfId="3" applyNumberFormat="1" applyAlignment="1">
      <alignment horizontal="right"/>
    </xf>
    <xf numFmtId="0" fontId="55" fillId="0" borderId="8" xfId="0" applyFont="1" applyBorder="1" applyAlignment="1">
      <alignment horizontal="right"/>
    </xf>
    <xf numFmtId="9" fontId="2" fillId="2" borderId="30" xfId="1" applyNumberFormat="1" applyBorder="1"/>
    <xf numFmtId="9" fontId="0" fillId="0" borderId="4" xfId="6" applyFont="1" applyBorder="1"/>
    <xf numFmtId="0" fontId="58" fillId="0" borderId="0" xfId="0" applyFont="1" applyFill="1" applyBorder="1" applyAlignment="1">
      <alignment horizontal="right"/>
    </xf>
    <xf numFmtId="0" fontId="60" fillId="0" borderId="0" xfId="0" applyFont="1"/>
    <xf numFmtId="0" fontId="0" fillId="0" borderId="33" xfId="0" applyBorder="1"/>
    <xf numFmtId="0" fontId="50" fillId="15" borderId="34" xfId="0" applyFont="1" applyFill="1" applyBorder="1" applyAlignment="1">
      <alignment vertical="top"/>
    </xf>
    <xf numFmtId="0" fontId="5" fillId="15" borderId="34" xfId="0" applyFont="1" applyFill="1" applyBorder="1"/>
    <xf numFmtId="0" fontId="62" fillId="15" borderId="34" xfId="0" applyFont="1" applyFill="1" applyBorder="1" applyAlignment="1"/>
    <xf numFmtId="0" fontId="63" fillId="15" borderId="34" xfId="0" applyFont="1" applyFill="1" applyBorder="1"/>
    <xf numFmtId="0" fontId="51" fillId="0" borderId="0" xfId="0" applyFont="1" applyAlignment="1"/>
    <xf numFmtId="0" fontId="65" fillId="0" borderId="0" xfId="0" applyFont="1"/>
    <xf numFmtId="0" fontId="65" fillId="0" borderId="0" xfId="0" applyFont="1" applyAlignment="1"/>
    <xf numFmtId="0" fontId="2" fillId="2" borderId="35" xfId="1" applyBorder="1"/>
    <xf numFmtId="0" fontId="0" fillId="0" borderId="36" xfId="0" applyBorder="1"/>
    <xf numFmtId="0" fontId="2" fillId="2" borderId="30" xfId="1" applyBorder="1" applyAlignment="1">
      <alignment horizontal="right"/>
    </xf>
    <xf numFmtId="0" fontId="32" fillId="0" borderId="37" xfId="0" applyFont="1" applyBorder="1" applyAlignment="1">
      <alignment horizontal="center"/>
    </xf>
    <xf numFmtId="0" fontId="0" fillId="0" borderId="38" xfId="0" applyBorder="1"/>
    <xf numFmtId="0" fontId="2" fillId="2" borderId="40" xfId="1" applyBorder="1"/>
    <xf numFmtId="0" fontId="32" fillId="0" borderId="37" xfId="0" applyFont="1" applyBorder="1"/>
    <xf numFmtId="0" fontId="2" fillId="2" borderId="40" xfId="1" applyNumberFormat="1" applyBorder="1"/>
    <xf numFmtId="0" fontId="2" fillId="13" borderId="30" xfId="1" applyFill="1" applyBorder="1" applyAlignment="1">
      <alignment horizontal="left"/>
    </xf>
    <xf numFmtId="0" fontId="33" fillId="0" borderId="43" xfId="0" applyFont="1" applyFill="1" applyBorder="1" applyAlignment="1">
      <alignment horizontal="center" wrapText="1"/>
    </xf>
    <xf numFmtId="0" fontId="35" fillId="0" borderId="37" xfId="0" applyFont="1" applyBorder="1" applyAlignment="1">
      <alignment horizontal="center"/>
    </xf>
    <xf numFmtId="0" fontId="37" fillId="0" borderId="37" xfId="0" applyFont="1" applyBorder="1"/>
    <xf numFmtId="0" fontId="0" fillId="0" borderId="0" xfId="0" applyBorder="1" applyAlignment="1"/>
    <xf numFmtId="0" fontId="0" fillId="17" borderId="0" xfId="0" applyFill="1" applyBorder="1" applyAlignment="1">
      <alignment horizontal="center" wrapText="1"/>
    </xf>
    <xf numFmtId="0" fontId="0" fillId="17" borderId="0" xfId="0" applyFill="1" applyBorder="1" applyAlignment="1"/>
    <xf numFmtId="0" fontId="0" fillId="17" borderId="0" xfId="0" applyFill="1" applyBorder="1" applyAlignment="1">
      <alignment horizontal="center"/>
    </xf>
    <xf numFmtId="0" fontId="0" fillId="17" borderId="0" xfId="0" applyFill="1" applyBorder="1"/>
    <xf numFmtId="0" fontId="0" fillId="17" borderId="0" xfId="0" applyFill="1"/>
    <xf numFmtId="11" fontId="67" fillId="3" borderId="42" xfId="3" applyNumberFormat="1" applyFont="1" applyBorder="1"/>
    <xf numFmtId="0" fontId="68" fillId="3" borderId="44" xfId="3" applyFont="1" applyBorder="1"/>
    <xf numFmtId="0" fontId="68" fillId="3" borderId="42" xfId="3" applyFont="1" applyBorder="1" applyAlignment="1">
      <alignment horizontal="left"/>
    </xf>
    <xf numFmtId="0" fontId="68" fillId="3" borderId="42" xfId="3" applyFont="1" applyBorder="1"/>
    <xf numFmtId="0" fontId="68" fillId="3" borderId="6" xfId="3" applyFont="1" applyBorder="1"/>
    <xf numFmtId="0" fontId="68" fillId="3" borderId="2" xfId="3" applyFont="1" applyAlignment="1">
      <alignment horizontal="left"/>
    </xf>
    <xf numFmtId="0" fontId="68" fillId="3" borderId="6" xfId="3" applyFont="1" applyBorder="1" applyAlignment="1">
      <alignment horizontal="left"/>
    </xf>
    <xf numFmtId="0" fontId="68" fillId="3" borderId="2" xfId="3" applyFont="1"/>
    <xf numFmtId="11" fontId="68" fillId="3" borderId="42" xfId="3" applyNumberFormat="1" applyFont="1" applyBorder="1"/>
    <xf numFmtId="11" fontId="68" fillId="3" borderId="46" xfId="3" applyNumberFormat="1" applyFont="1" applyBorder="1"/>
    <xf numFmtId="0" fontId="68" fillId="3" borderId="47" xfId="3" applyFont="1" applyBorder="1"/>
    <xf numFmtId="0" fontId="0" fillId="0" borderId="45" xfId="0" applyBorder="1"/>
    <xf numFmtId="0" fontId="68" fillId="3" borderId="48" xfId="2" applyFont="1" applyBorder="1"/>
    <xf numFmtId="0" fontId="68" fillId="3" borderId="50" xfId="2" applyFont="1" applyBorder="1"/>
    <xf numFmtId="0" fontId="2" fillId="2" borderId="49" xfId="1" applyBorder="1"/>
    <xf numFmtId="0" fontId="68" fillId="3" borderId="51" xfId="3" applyFont="1" applyBorder="1"/>
    <xf numFmtId="0" fontId="68" fillId="3" borderId="52" xfId="3" applyFont="1" applyBorder="1"/>
    <xf numFmtId="0" fontId="8" fillId="3" borderId="2" xfId="3" applyNumberForma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9" fontId="0" fillId="17" borderId="0" xfId="0" applyNumberFormat="1" applyFill="1" applyBorder="1"/>
    <xf numFmtId="0" fontId="0" fillId="17" borderId="0" xfId="0" applyFill="1" applyAlignment="1">
      <alignment horizontal="center" vertical="center" wrapText="1"/>
    </xf>
    <xf numFmtId="165" fontId="8" fillId="3" borderId="2" xfId="3" applyNumberFormat="1"/>
    <xf numFmtId="0" fontId="8" fillId="3" borderId="2" xfId="3" applyAlignment="1">
      <alignment horizontal="right"/>
    </xf>
    <xf numFmtId="166" fontId="8" fillId="3" borderId="2" xfId="3" applyNumberFormat="1" applyAlignment="1">
      <alignment horizontal="right"/>
    </xf>
    <xf numFmtId="0" fontId="32" fillId="0" borderId="39" xfId="0" applyFont="1" applyBorder="1" applyAlignment="1">
      <alignment horizontal="center"/>
    </xf>
    <xf numFmtId="0" fontId="2" fillId="13" borderId="30" xfId="1" applyFill="1" applyBorder="1"/>
    <xf numFmtId="0" fontId="2" fillId="2" borderId="30" xfId="1" applyBorder="1"/>
    <xf numFmtId="0" fontId="8" fillId="3" borderId="42" xfId="3" applyBorder="1"/>
    <xf numFmtId="0" fontId="60" fillId="0" borderId="37" xfId="0" applyFont="1" applyBorder="1" applyAlignment="1">
      <alignment horizontal="center" vertical="center"/>
    </xf>
    <xf numFmtId="0" fontId="2" fillId="2" borderId="1" xfId="1" applyAlignment="1">
      <alignment horizontal="right" wrapText="1"/>
    </xf>
    <xf numFmtId="0" fontId="2" fillId="2" borderId="1" xfId="1" applyAlignment="1">
      <alignment horizontal="left"/>
    </xf>
    <xf numFmtId="0" fontId="0" fillId="17" borderId="0" xfId="0" applyFill="1" applyAlignment="1">
      <alignment wrapText="1"/>
    </xf>
    <xf numFmtId="0" fontId="33" fillId="0" borderId="37" xfId="0" applyFont="1" applyFill="1" applyBorder="1" applyAlignment="1">
      <alignment horizontal="center" wrapText="1"/>
    </xf>
    <xf numFmtId="0" fontId="8" fillId="3" borderId="2" xfId="3" applyAlignment="1">
      <alignment horizontal="left"/>
    </xf>
    <xf numFmtId="0" fontId="32" fillId="0" borderId="37" xfId="0" applyFont="1" applyBorder="1" applyAlignment="1">
      <alignment wrapText="1"/>
    </xf>
    <xf numFmtId="0" fontId="67" fillId="13" borderId="41" xfId="3" applyFont="1" applyFill="1" applyBorder="1"/>
    <xf numFmtId="0" fontId="67" fillId="13" borderId="7" xfId="3" applyFont="1" applyFill="1" applyBorder="1"/>
    <xf numFmtId="0" fontId="2" fillId="2" borderId="54" xfId="1" applyBorder="1" applyAlignment="1">
      <alignment horizontal="left"/>
    </xf>
    <xf numFmtId="0" fontId="2" fillId="2" borderId="55" xfId="1" applyBorder="1" applyAlignment="1">
      <alignment horizontal="left"/>
    </xf>
    <xf numFmtId="167" fontId="67" fillId="3" borderId="42" xfId="3" applyNumberFormat="1" applyFont="1" applyBorder="1"/>
    <xf numFmtId="168" fontId="68" fillId="3" borderId="2" xfId="3" applyNumberFormat="1" applyFont="1"/>
    <xf numFmtId="0" fontId="68" fillId="3" borderId="2" xfId="3" applyNumberFormat="1" applyFont="1"/>
    <xf numFmtId="0" fontId="1" fillId="0" borderId="37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8" fillId="3" borderId="10" xfId="3" applyBorder="1"/>
    <xf numFmtId="0" fontId="8" fillId="3" borderId="7" xfId="3" applyBorder="1" applyAlignment="1"/>
    <xf numFmtId="0" fontId="8" fillId="3" borderId="6" xfId="3" applyBorder="1" applyAlignment="1">
      <alignment horizontal="center"/>
    </xf>
    <xf numFmtId="0" fontId="13" fillId="0" borderId="0" xfId="0" applyFont="1" applyAlignment="1">
      <alignment horizontal="left"/>
    </xf>
    <xf numFmtId="0" fontId="32" fillId="0" borderId="37" xfId="0" applyFont="1" applyBorder="1" applyAlignment="1">
      <alignment horizontal="center" vertical="center" wrapText="1"/>
    </xf>
    <xf numFmtId="0" fontId="78" fillId="0" borderId="0" xfId="0" applyFont="1" applyAlignment="1">
      <alignment horizontal="right"/>
    </xf>
    <xf numFmtId="0" fontId="78" fillId="0" borderId="0" xfId="0" applyFont="1" applyAlignment="1">
      <alignment horizontal="left"/>
    </xf>
    <xf numFmtId="9" fontId="6" fillId="0" borderId="26" xfId="0" applyNumberFormat="1" applyFont="1" applyBorder="1"/>
    <xf numFmtId="0" fontId="79" fillId="0" borderId="0" xfId="0" applyFont="1" applyAlignment="1">
      <alignment horizontal="right"/>
    </xf>
    <xf numFmtId="0" fontId="77" fillId="0" borderId="0" xfId="0" applyFont="1"/>
    <xf numFmtId="0" fontId="59" fillId="0" borderId="0" xfId="0" applyFont="1" applyBorder="1" applyAlignment="1"/>
    <xf numFmtId="0" fontId="59" fillId="0" borderId="0" xfId="0" applyFont="1" applyAlignment="1"/>
    <xf numFmtId="0" fontId="68" fillId="3" borderId="48" xfId="3" applyFont="1" applyBorder="1"/>
    <xf numFmtId="169" fontId="2" fillId="2" borderId="1" xfId="1" applyNumberFormat="1"/>
    <xf numFmtId="169" fontId="2" fillId="2" borderId="25" xfId="1" applyNumberFormat="1" applyBorder="1"/>
    <xf numFmtId="0" fontId="81" fillId="20" borderId="59" xfId="0" applyFont="1" applyFill="1" applyBorder="1" applyAlignment="1">
      <alignment vertical="center" wrapText="1"/>
    </xf>
    <xf numFmtId="9" fontId="2" fillId="2" borderId="24" xfId="6" applyNumberFormat="1" applyFont="1" applyFill="1" applyBorder="1"/>
    <xf numFmtId="169" fontId="54" fillId="3" borderId="2" xfId="3" applyNumberFormat="1" applyFont="1"/>
    <xf numFmtId="169" fontId="43" fillId="3" borderId="15" xfId="3" applyNumberFormat="1" applyFont="1" applyBorder="1"/>
    <xf numFmtId="169" fontId="56" fillId="3" borderId="7" xfId="3" applyNumberFormat="1" applyFont="1" applyBorder="1"/>
    <xf numFmtId="169" fontId="54" fillId="3" borderId="6" xfId="3" applyNumberFormat="1" applyFont="1" applyBorder="1"/>
    <xf numFmtId="169" fontId="56" fillId="2" borderId="5" xfId="1" applyNumberFormat="1" applyFont="1" applyBorder="1"/>
    <xf numFmtId="169" fontId="0" fillId="0" borderId="0" xfId="0" applyNumberFormat="1"/>
    <xf numFmtId="169" fontId="0" fillId="0" borderId="4" xfId="0" applyNumberFormat="1" applyFont="1" applyBorder="1"/>
    <xf numFmtId="169" fontId="6" fillId="0" borderId="0" xfId="0" applyNumberFormat="1" applyFont="1"/>
    <xf numFmtId="169" fontId="41" fillId="3" borderId="2" xfId="3" applyNumberFormat="1" applyFont="1"/>
    <xf numFmtId="169" fontId="42" fillId="3" borderId="7" xfId="3" applyNumberFormat="1" applyFont="1" applyBorder="1"/>
    <xf numFmtId="169" fontId="41" fillId="3" borderId="6" xfId="3" applyNumberFormat="1" applyFont="1" applyBorder="1"/>
    <xf numFmtId="0" fontId="86" fillId="0" borderId="0" xfId="0" applyFont="1"/>
    <xf numFmtId="0" fontId="86" fillId="0" borderId="0" xfId="0" applyFont="1" applyAlignment="1">
      <alignment horizontal="right"/>
    </xf>
    <xf numFmtId="169" fontId="8" fillId="3" borderId="2" xfId="3" applyNumberFormat="1"/>
    <xf numFmtId="0" fontId="8" fillId="3" borderId="2" xfId="3" applyFont="1"/>
    <xf numFmtId="0" fontId="0" fillId="0" borderId="0" xfId="0" applyAlignment="1">
      <alignment vertical="top"/>
    </xf>
    <xf numFmtId="0" fontId="2" fillId="2" borderId="1" xfId="1" applyAlignment="1">
      <alignment horizontal="center"/>
    </xf>
    <xf numFmtId="0" fontId="2" fillId="22" borderId="1" xfId="1" applyFill="1"/>
    <xf numFmtId="0" fontId="0" fillId="0" borderId="60" xfId="0" applyBorder="1"/>
    <xf numFmtId="0" fontId="0" fillId="0" borderId="0" xfId="0" applyFont="1" applyBorder="1"/>
    <xf numFmtId="0" fontId="71" fillId="0" borderId="0" xfId="0" applyFont="1" applyAlignment="1">
      <alignment horizontal="center"/>
    </xf>
    <xf numFmtId="0" fontId="0" fillId="0" borderId="28" xfId="0" applyBorder="1"/>
    <xf numFmtId="0" fontId="1" fillId="0" borderId="66" xfId="0" applyFont="1" applyBorder="1" applyAlignment="1">
      <alignment horizontal="right"/>
    </xf>
    <xf numFmtId="0" fontId="2" fillId="2" borderId="68" xfId="1" applyBorder="1"/>
    <xf numFmtId="9" fontId="2" fillId="2" borderId="68" xfId="1" applyNumberFormat="1" applyBorder="1" applyAlignment="1">
      <alignment horizontal="right"/>
    </xf>
    <xf numFmtId="0" fontId="0" fillId="0" borderId="74" xfId="0" applyBorder="1"/>
    <xf numFmtId="0" fontId="41" fillId="2" borderId="5" xfId="1" applyFont="1" applyBorder="1"/>
    <xf numFmtId="0" fontId="2" fillId="2" borderId="68" xfId="1" applyFont="1" applyBorder="1"/>
    <xf numFmtId="9" fontId="2" fillId="2" borderId="30" xfId="1" applyNumberFormat="1" applyFont="1" applyBorder="1"/>
    <xf numFmtId="0" fontId="0" fillId="0" borderId="28" xfId="0" applyBorder="1" applyAlignment="1">
      <alignment horizontal="center"/>
    </xf>
    <xf numFmtId="0" fontId="6" fillId="0" borderId="66" xfId="0" applyFont="1" applyBorder="1" applyAlignment="1">
      <alignment horizontal="center"/>
    </xf>
    <xf numFmtId="0" fontId="0" fillId="0" borderId="0" xfId="0" applyFont="1" applyAlignment="1">
      <alignment horizontal="center"/>
    </xf>
    <xf numFmtId="170" fontId="93" fillId="2" borderId="1" xfId="1" applyNumberFormat="1" applyFont="1"/>
    <xf numFmtId="0" fontId="95" fillId="0" borderId="3" xfId="0" applyFont="1" applyBorder="1" applyAlignment="1">
      <alignment horizontal="center" vertical="center" wrapText="1"/>
    </xf>
    <xf numFmtId="0" fontId="94" fillId="0" borderId="0" xfId="0" applyFont="1" applyAlignment="1">
      <alignment horizontal="right"/>
    </xf>
    <xf numFmtId="0" fontId="3" fillId="3" borderId="5" xfId="2" applyBorder="1"/>
    <xf numFmtId="0" fontId="2" fillId="2" borderId="76" xfId="1" applyBorder="1"/>
    <xf numFmtId="0" fontId="3" fillId="3" borderId="76" xfId="2" applyBorder="1"/>
    <xf numFmtId="0" fontId="14" fillId="0" borderId="75" xfId="0" applyFont="1" applyBorder="1" applyAlignment="1">
      <alignment vertical="center"/>
    </xf>
    <xf numFmtId="0" fontId="0" fillId="0" borderId="75" xfId="0" applyBorder="1"/>
    <xf numFmtId="0" fontId="84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9" fillId="0" borderId="78" xfId="0" applyFont="1" applyBorder="1" applyAlignment="1">
      <alignment vertical="center"/>
    </xf>
    <xf numFmtId="2" fontId="56" fillId="0" borderId="0" xfId="0" applyNumberFormat="1" applyFont="1"/>
    <xf numFmtId="2" fontId="56" fillId="0" borderId="4" xfId="0" applyNumberFormat="1" applyFont="1" applyBorder="1"/>
    <xf numFmtId="169" fontId="42" fillId="2" borderId="5" xfId="1" applyNumberFormat="1" applyFont="1" applyBorder="1"/>
    <xf numFmtId="169" fontId="56" fillId="0" borderId="0" xfId="0" applyNumberFormat="1" applyFont="1"/>
    <xf numFmtId="169" fontId="56" fillId="0" borderId="4" xfId="0" applyNumberFormat="1" applyFont="1" applyBorder="1"/>
    <xf numFmtId="169" fontId="55" fillId="0" borderId="0" xfId="0" applyNumberFormat="1" applyFont="1"/>
    <xf numFmtId="169" fontId="3" fillId="3" borderId="30" xfId="2" applyNumberFormat="1" applyFont="1" applyBorder="1"/>
    <xf numFmtId="169" fontId="3" fillId="3" borderId="1" xfId="2" applyNumberFormat="1" applyFont="1"/>
    <xf numFmtId="169" fontId="5" fillId="0" borderId="0" xfId="0" applyNumberFormat="1" applyFont="1"/>
    <xf numFmtId="169" fontId="3" fillId="3" borderId="1" xfId="2" applyNumberFormat="1"/>
    <xf numFmtId="169" fontId="30" fillId="0" borderId="4" xfId="0" applyNumberFormat="1" applyFont="1" applyBorder="1"/>
    <xf numFmtId="169" fontId="30" fillId="0" borderId="0" xfId="0" applyNumberFormat="1" applyFont="1"/>
    <xf numFmtId="169" fontId="30" fillId="0" borderId="4" xfId="6" applyNumberFormat="1" applyFont="1" applyBorder="1"/>
    <xf numFmtId="169" fontId="7" fillId="0" borderId="0" xfId="0" applyNumberFormat="1" applyFont="1"/>
    <xf numFmtId="169" fontId="29" fillId="2" borderId="1" xfId="1" applyNumberFormat="1" applyFont="1" applyAlignment="1">
      <alignment horizontal="right"/>
    </xf>
    <xf numFmtId="169" fontId="0" fillId="0" borderId="9" xfId="0" applyNumberFormat="1" applyBorder="1"/>
    <xf numFmtId="169" fontId="29" fillId="12" borderId="1" xfId="1" applyNumberFormat="1" applyFont="1" applyFill="1" applyAlignment="1">
      <alignment horizontal="right"/>
    </xf>
    <xf numFmtId="169" fontId="3" fillId="3" borderId="5" xfId="2" applyNumberFormat="1" applyBorder="1"/>
    <xf numFmtId="169" fontId="30" fillId="0" borderId="4" xfId="0" applyNumberFormat="1" applyFont="1" applyBorder="1" applyAlignment="1">
      <alignment horizontal="right"/>
    </xf>
    <xf numFmtId="0" fontId="101" fillId="0" borderId="0" xfId="0" applyFont="1" applyAlignment="1">
      <alignment horizontal="right"/>
    </xf>
    <xf numFmtId="169" fontId="87" fillId="3" borderId="2" xfId="3" applyNumberFormat="1" applyFont="1"/>
    <xf numFmtId="169" fontId="102" fillId="3" borderId="15" xfId="3" applyNumberFormat="1" applyFont="1" applyBorder="1"/>
    <xf numFmtId="169" fontId="103" fillId="0" borderId="8" xfId="0" applyNumberFormat="1" applyFont="1" applyBorder="1" applyAlignment="1">
      <alignment horizontal="right"/>
    </xf>
    <xf numFmtId="0" fontId="87" fillId="3" borderId="7" xfId="3" applyFont="1" applyBorder="1"/>
    <xf numFmtId="0" fontId="0" fillId="0" borderId="0" xfId="0" applyAlignment="1">
      <alignment horizontal="center"/>
    </xf>
    <xf numFmtId="0" fontId="1" fillId="0" borderId="28" xfId="0" applyFont="1" applyBorder="1" applyAlignment="1">
      <alignment horizontal="right"/>
    </xf>
    <xf numFmtId="0" fontId="8" fillId="3" borderId="71" xfId="3" applyNumberFormat="1" applyFont="1" applyBorder="1" applyAlignment="1">
      <alignment horizontal="right"/>
    </xf>
    <xf numFmtId="0" fontId="8" fillId="3" borderId="72" xfId="3" applyBorder="1"/>
    <xf numFmtId="0" fontId="91" fillId="0" borderId="73" xfId="0" applyFont="1" applyBorder="1" applyAlignment="1">
      <alignment horizontal="right"/>
    </xf>
    <xf numFmtId="0" fontId="8" fillId="3" borderId="71" xfId="3" applyNumberFormat="1" applyBorder="1" applyAlignment="1">
      <alignment horizontal="right"/>
    </xf>
    <xf numFmtId="0" fontId="104" fillId="0" borderId="0" xfId="0" applyFont="1" applyAlignment="1">
      <alignment horizontal="center"/>
    </xf>
    <xf numFmtId="0" fontId="104" fillId="0" borderId="0" xfId="0" applyFont="1"/>
    <xf numFmtId="0" fontId="105" fillId="0" borderId="0" xfId="0" applyFont="1" applyAlignment="1">
      <alignment horizontal="right"/>
    </xf>
    <xf numFmtId="0" fontId="105" fillId="3" borderId="2" xfId="3" applyFont="1"/>
    <xf numFmtId="0" fontId="105" fillId="3" borderId="7" xfId="3" applyFont="1" applyBorder="1"/>
    <xf numFmtId="0" fontId="105" fillId="3" borderId="6" xfId="3" applyFont="1" applyBorder="1"/>
    <xf numFmtId="0" fontId="106" fillId="0" borderId="0" xfId="0" applyFont="1" applyAlignment="1">
      <alignment horizontal="right"/>
    </xf>
    <xf numFmtId="169" fontId="105" fillId="3" borderId="2" xfId="3" applyNumberFormat="1" applyFont="1"/>
    <xf numFmtId="169" fontId="104" fillId="3" borderId="7" xfId="3" applyNumberFormat="1" applyFont="1" applyBorder="1"/>
    <xf numFmtId="0" fontId="24" fillId="8" borderId="0" xfId="0" applyFont="1" applyFill="1" applyAlignment="1">
      <alignment horizontal="center"/>
    </xf>
    <xf numFmtId="0" fontId="8" fillId="3" borderId="17" xfId="3" applyBorder="1"/>
    <xf numFmtId="0" fontId="8" fillId="3" borderId="79" xfId="3" applyBorder="1" applyAlignment="1"/>
    <xf numFmtId="0" fontId="41" fillId="3" borderId="17" xfId="3" applyFont="1" applyBorder="1"/>
    <xf numFmtId="0" fontId="0" fillId="0" borderId="80" xfId="0" applyBorder="1"/>
    <xf numFmtId="9" fontId="0" fillId="0" borderId="81" xfId="0" applyNumberFormat="1" applyBorder="1"/>
    <xf numFmtId="0" fontId="0" fillId="0" borderId="82" xfId="0" applyBorder="1"/>
    <xf numFmtId="0" fontId="102" fillId="3" borderId="83" xfId="3" applyFont="1" applyBorder="1"/>
    <xf numFmtId="9" fontId="2" fillId="2" borderId="84" xfId="1" applyNumberFormat="1" applyBorder="1"/>
    <xf numFmtId="0" fontId="8" fillId="3" borderId="71" xfId="3" applyBorder="1"/>
    <xf numFmtId="0" fontId="106" fillId="0" borderId="23" xfId="0" applyFont="1" applyBorder="1" applyAlignment="1">
      <alignment horizontal="right"/>
    </xf>
    <xf numFmtId="169" fontId="56" fillId="2" borderId="1" xfId="1" applyNumberFormat="1" applyFont="1"/>
    <xf numFmtId="9" fontId="56" fillId="2" borderId="30" xfId="1" applyNumberFormat="1" applyFont="1" applyBorder="1"/>
    <xf numFmtId="9" fontId="56" fillId="0" borderId="4" xfId="6" applyFont="1" applyBorder="1"/>
    <xf numFmtId="0" fontId="55" fillId="0" borderId="0" xfId="0" applyFont="1" applyAlignment="1">
      <alignment horizontal="right"/>
    </xf>
    <xf numFmtId="0" fontId="54" fillId="0" borderId="28" xfId="0" applyFont="1" applyBorder="1" applyAlignment="1">
      <alignment horizontal="right"/>
    </xf>
    <xf numFmtId="0" fontId="54" fillId="3" borderId="71" xfId="3" applyNumberFormat="1" applyFont="1" applyBorder="1" applyAlignment="1">
      <alignment horizontal="right"/>
    </xf>
    <xf numFmtId="0" fontId="54" fillId="3" borderId="72" xfId="3" applyFont="1" applyBorder="1"/>
    <xf numFmtId="0" fontId="53" fillId="0" borderId="73" xfId="0" applyFont="1" applyBorder="1" applyAlignment="1">
      <alignment horizontal="right"/>
    </xf>
    <xf numFmtId="0" fontId="56" fillId="0" borderId="28" xfId="0" applyFont="1" applyBorder="1"/>
    <xf numFmtId="169" fontId="56" fillId="2" borderId="5" xfId="1" applyNumberFormat="1" applyFont="1" applyBorder="1" applyAlignment="1">
      <alignment horizontal="right"/>
    </xf>
    <xf numFmtId="0" fontId="56" fillId="0" borderId="0" xfId="0" applyFont="1" applyAlignment="1">
      <alignment horizontal="right"/>
    </xf>
    <xf numFmtId="169" fontId="54" fillId="3" borderId="2" xfId="3" applyNumberFormat="1" applyFont="1" applyAlignment="1"/>
    <xf numFmtId="169" fontId="54" fillId="3" borderId="10" xfId="3" applyNumberFormat="1" applyFont="1" applyBorder="1"/>
    <xf numFmtId="0" fontId="54" fillId="0" borderId="0" xfId="0" applyFont="1" applyBorder="1" applyAlignment="1">
      <alignment horizontal="right"/>
    </xf>
    <xf numFmtId="0" fontId="54" fillId="0" borderId="67" xfId="0" applyFont="1" applyBorder="1" applyAlignment="1">
      <alignment horizontal="right"/>
    </xf>
    <xf numFmtId="0" fontId="56" fillId="2" borderId="25" xfId="1" applyFont="1" applyBorder="1"/>
    <xf numFmtId="0" fontId="56" fillId="2" borderId="25" xfId="1" applyNumberFormat="1" applyFont="1" applyBorder="1" applyAlignment="1">
      <alignment horizontal="right"/>
    </xf>
    <xf numFmtId="0" fontId="56" fillId="0" borderId="29" xfId="0" applyFont="1" applyBorder="1"/>
    <xf numFmtId="0" fontId="56" fillId="2" borderId="88" xfId="1" applyNumberFormat="1" applyFont="1" applyBorder="1" applyAlignment="1">
      <alignment horizontal="right"/>
    </xf>
    <xf numFmtId="0" fontId="56" fillId="0" borderId="89" xfId="0" applyFont="1" applyBorder="1"/>
    <xf numFmtId="0" fontId="0" fillId="0" borderId="0" xfId="0"/>
    <xf numFmtId="0" fontId="0" fillId="0" borderId="91" xfId="0" applyBorder="1"/>
    <xf numFmtId="0" fontId="0" fillId="0" borderId="91" xfId="0" applyBorder="1" applyAlignment="1">
      <alignment vertical="center"/>
    </xf>
    <xf numFmtId="0" fontId="0" fillId="0" borderId="90" xfId="0" applyBorder="1" applyAlignment="1">
      <alignment vertical="center"/>
    </xf>
    <xf numFmtId="0" fontId="88" fillId="0" borderId="92" xfId="0" applyFont="1" applyBorder="1" applyAlignment="1">
      <alignment horizontal="center" vertical="center" wrapText="1"/>
    </xf>
    <xf numFmtId="0" fontId="88" fillId="0" borderId="93" xfId="0" applyFont="1" applyBorder="1" applyAlignment="1">
      <alignment horizontal="center" vertical="center"/>
    </xf>
    <xf numFmtId="0" fontId="32" fillId="0" borderId="39" xfId="0" applyFont="1" applyBorder="1" applyAlignment="1">
      <alignment horizontal="center" vertical="center" wrapText="1"/>
    </xf>
    <xf numFmtId="0" fontId="2" fillId="2" borderId="30" xfId="1" applyNumberFormat="1" applyBorder="1"/>
    <xf numFmtId="0" fontId="24" fillId="8" borderId="0" xfId="0" applyFont="1" applyFill="1" applyAlignment="1">
      <alignment horizontal="left"/>
    </xf>
    <xf numFmtId="0" fontId="79" fillId="0" borderId="85" xfId="0" applyFont="1" applyBorder="1" applyAlignment="1">
      <alignment horizontal="right"/>
    </xf>
    <xf numFmtId="0" fontId="79" fillId="0" borderId="23" xfId="0" applyFont="1" applyBorder="1" applyAlignment="1">
      <alignment horizontal="right"/>
    </xf>
    <xf numFmtId="0" fontId="107" fillId="0" borderId="0" xfId="0" applyFont="1" applyAlignment="1">
      <alignment horizontal="right"/>
    </xf>
    <xf numFmtId="0" fontId="110" fillId="0" borderId="0" xfId="0" applyFont="1"/>
    <xf numFmtId="0" fontId="117" fillId="0" borderId="0" xfId="0" applyFont="1" applyAlignment="1">
      <alignment horizontal="center" vertical="center" wrapText="1"/>
    </xf>
    <xf numFmtId="0" fontId="119" fillId="0" borderId="0" xfId="0" applyFont="1" applyAlignment="1">
      <alignment horizontal="center" vertical="center" wrapText="1"/>
    </xf>
    <xf numFmtId="0" fontId="116" fillId="0" borderId="75" xfId="0" applyFont="1" applyBorder="1" applyAlignment="1">
      <alignment horizontal="center" vertical="center" wrapText="1"/>
    </xf>
    <xf numFmtId="0" fontId="115" fillId="2" borderId="76" xfId="1" applyFont="1" applyBorder="1"/>
    <xf numFmtId="0" fontId="123" fillId="0" borderId="0" xfId="0" applyFont="1"/>
    <xf numFmtId="0" fontId="123" fillId="17" borderId="0" xfId="0" applyFont="1" applyFill="1" applyBorder="1"/>
    <xf numFmtId="0" fontId="123" fillId="17" borderId="0" xfId="0" applyFont="1" applyFill="1" applyBorder="1" applyAlignment="1">
      <alignment horizontal="left" wrapText="1"/>
    </xf>
    <xf numFmtId="0" fontId="126" fillId="0" borderId="0" xfId="0" applyFont="1" applyAlignment="1">
      <alignment horizontal="right"/>
    </xf>
    <xf numFmtId="9" fontId="123" fillId="2" borderId="53" xfId="6" applyFont="1" applyFill="1" applyBorder="1"/>
    <xf numFmtId="0" fontId="126" fillId="0" borderId="0" xfId="0" applyFont="1" applyAlignment="1">
      <alignment horizontal="center" vertical="center" wrapText="1"/>
    </xf>
    <xf numFmtId="0" fontId="126" fillId="0" borderId="75" xfId="0" applyFont="1" applyBorder="1" applyAlignment="1">
      <alignment horizontal="center" vertical="center" wrapText="1"/>
    </xf>
    <xf numFmtId="0" fontId="123" fillId="0" borderId="0" xfId="0" applyFont="1" applyAlignment="1">
      <alignment horizontal="center" vertical="center" wrapText="1"/>
    </xf>
    <xf numFmtId="0" fontId="123" fillId="2" borderId="76" xfId="1" applyFont="1" applyBorder="1"/>
    <xf numFmtId="0" fontId="126" fillId="6" borderId="6" xfId="3" applyNumberFormat="1" applyFont="1" applyFill="1" applyBorder="1"/>
    <xf numFmtId="0" fontId="126" fillId="0" borderId="0" xfId="0" applyNumberFormat="1" applyFont="1" applyAlignment="1">
      <alignment horizontal="right"/>
    </xf>
    <xf numFmtId="0" fontId="126" fillId="0" borderId="0" xfId="0" applyNumberFormat="1" applyFont="1"/>
    <xf numFmtId="0" fontId="126" fillId="3" borderId="6" xfId="3" applyFont="1" applyBorder="1"/>
    <xf numFmtId="0" fontId="126" fillId="3" borderId="2" xfId="3" applyNumberFormat="1" applyFont="1"/>
    <xf numFmtId="0" fontId="123" fillId="2" borderId="99" xfId="1" applyFont="1" applyBorder="1"/>
    <xf numFmtId="0" fontId="5" fillId="0" borderId="0" xfId="0" applyFont="1" applyAlignment="1">
      <alignment horizontal="right"/>
    </xf>
    <xf numFmtId="0" fontId="128" fillId="0" borderId="0" xfId="0" applyFont="1" applyAlignment="1">
      <alignment horizontal="right"/>
    </xf>
    <xf numFmtId="0" fontId="129" fillId="0" borderId="0" xfId="0" applyFont="1" applyAlignment="1">
      <alignment horizontal="right"/>
    </xf>
    <xf numFmtId="0" fontId="126" fillId="0" borderId="0" xfId="0" applyNumberFormat="1" applyFont="1" applyAlignment="1"/>
    <xf numFmtId="0" fontId="130" fillId="0" borderId="0" xfId="0" applyFont="1" applyAlignment="1">
      <alignment horizontal="center" vertical="center" wrapText="1"/>
    </xf>
    <xf numFmtId="0" fontId="119" fillId="0" borderId="0" xfId="0" applyFont="1"/>
    <xf numFmtId="0" fontId="134" fillId="3" borderId="2" xfId="3" applyNumberFormat="1" applyFont="1"/>
    <xf numFmtId="0" fontId="136" fillId="6" borderId="6" xfId="3" applyNumberFormat="1" applyFont="1" applyFill="1" applyBorder="1"/>
    <xf numFmtId="0" fontId="140" fillId="0" borderId="0" xfId="0" applyFont="1" applyAlignment="1">
      <alignment wrapText="1"/>
    </xf>
    <xf numFmtId="169" fontId="2" fillId="17" borderId="1" xfId="1" applyNumberFormat="1" applyFill="1"/>
    <xf numFmtId="0" fontId="2" fillId="17" borderId="1" xfId="1" applyFill="1" applyAlignment="1">
      <alignment horizontal="right"/>
    </xf>
    <xf numFmtId="0" fontId="141" fillId="0" borderId="0" xfId="0" applyFont="1" applyFill="1" applyBorder="1" applyAlignment="1">
      <alignment horizontal="left"/>
    </xf>
    <xf numFmtId="0" fontId="138" fillId="17" borderId="0" xfId="0" applyFont="1" applyFill="1" applyAlignment="1">
      <alignment horizontal="center" vertical="center" wrapText="1"/>
    </xf>
    <xf numFmtId="0" fontId="1" fillId="0" borderId="100" xfId="0" applyFont="1" applyBorder="1" applyAlignment="1">
      <alignment horizontal="right"/>
    </xf>
    <xf numFmtId="169" fontId="8" fillId="3" borderId="101" xfId="3" applyNumberFormat="1" applyBorder="1"/>
    <xf numFmtId="169" fontId="30" fillId="0" borderId="102" xfId="0" applyNumberFormat="1" applyFont="1" applyBorder="1"/>
    <xf numFmtId="169" fontId="7" fillId="0" borderId="70" xfId="0" applyNumberFormat="1" applyFont="1" applyBorder="1" applyAlignment="1">
      <alignment horizontal="right"/>
    </xf>
    <xf numFmtId="169" fontId="2" fillId="2" borderId="68" xfId="1" applyNumberFormat="1" applyBorder="1"/>
    <xf numFmtId="169" fontId="7" fillId="0" borderId="66" xfId="0" applyNumberFormat="1" applyFont="1" applyBorder="1" applyAlignment="1">
      <alignment horizontal="right"/>
    </xf>
    <xf numFmtId="0" fontId="30" fillId="0" borderId="69" xfId="0" applyFont="1" applyBorder="1"/>
    <xf numFmtId="0" fontId="0" fillId="0" borderId="66" xfId="0" applyBorder="1"/>
    <xf numFmtId="169" fontId="8" fillId="3" borderId="103" xfId="3" applyNumberFormat="1" applyBorder="1"/>
    <xf numFmtId="169" fontId="30" fillId="0" borderId="66" xfId="0" applyNumberFormat="1" applyFont="1" applyBorder="1"/>
    <xf numFmtId="0" fontId="7" fillId="0" borderId="70" xfId="0" applyFont="1" applyBorder="1" applyAlignment="1">
      <alignment horizontal="right"/>
    </xf>
    <xf numFmtId="0" fontId="1" fillId="0" borderId="104" xfId="0" applyFont="1" applyBorder="1" applyAlignment="1">
      <alignment horizontal="right"/>
    </xf>
    <xf numFmtId="9" fontId="30" fillId="0" borderId="105" xfId="0" applyNumberFormat="1" applyFont="1" applyBorder="1"/>
    <xf numFmtId="0" fontId="7" fillId="0" borderId="106" xfId="0" applyFont="1" applyBorder="1"/>
    <xf numFmtId="0" fontId="145" fillId="0" borderId="86" xfId="0" applyFont="1" applyBorder="1" applyAlignment="1">
      <alignment horizontal="right"/>
    </xf>
    <xf numFmtId="0" fontId="145" fillId="0" borderId="87" xfId="0" applyFont="1" applyBorder="1" applyAlignment="1">
      <alignment horizontal="right"/>
    </xf>
    <xf numFmtId="169" fontId="54" fillId="3" borderId="52" xfId="3" applyNumberFormat="1" applyFont="1" applyBorder="1"/>
    <xf numFmtId="169" fontId="54" fillId="3" borderId="42" xfId="3" applyNumberFormat="1" applyFont="1" applyBorder="1" applyAlignment="1">
      <alignment horizontal="right"/>
    </xf>
    <xf numFmtId="0" fontId="88" fillId="0" borderId="0" xfId="0" applyFont="1" applyAlignment="1">
      <alignment horizontal="center" vertical="center"/>
    </xf>
    <xf numFmtId="9" fontId="147" fillId="2" borderId="53" xfId="6" applyFont="1" applyFill="1" applyBorder="1"/>
    <xf numFmtId="0" fontId="149" fillId="0" borderId="0" xfId="0" applyFont="1" applyAlignment="1">
      <alignment horizontal="right"/>
    </xf>
    <xf numFmtId="0" fontId="150" fillId="0" borderId="0" xfId="0" applyFont="1"/>
    <xf numFmtId="0" fontId="92" fillId="0" borderId="0" xfId="0" applyFont="1"/>
    <xf numFmtId="0" fontId="92" fillId="0" borderId="0" xfId="0" applyFont="1"/>
    <xf numFmtId="0" fontId="92" fillId="0" borderId="0" xfId="0" applyFont="1"/>
    <xf numFmtId="0" fontId="92" fillId="0" borderId="0" xfId="0" applyFont="1"/>
    <xf numFmtId="0" fontId="92" fillId="0" borderId="0" xfId="0" applyFont="1"/>
    <xf numFmtId="0" fontId="0" fillId="0" borderId="0" xfId="0"/>
    <xf numFmtId="0" fontId="1" fillId="0" borderId="0" xfId="0" applyFont="1" applyAlignment="1">
      <alignment horizontal="right"/>
    </xf>
    <xf numFmtId="0" fontId="2" fillId="2" borderId="1" xfId="1"/>
    <xf numFmtId="0" fontId="6" fillId="0" borderId="0" xfId="0" applyFont="1" applyAlignment="1">
      <alignment horizontal="right"/>
    </xf>
    <xf numFmtId="0" fontId="6" fillId="0" borderId="0" xfId="0" applyFont="1"/>
    <xf numFmtId="0" fontId="0" fillId="0" borderId="0" xfId="0" applyFont="1"/>
    <xf numFmtId="0" fontId="1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3" borderId="2" xfId="3"/>
    <xf numFmtId="0" fontId="0" fillId="0" borderId="0" xfId="0" applyAlignment="1">
      <alignment horizontal="center"/>
    </xf>
    <xf numFmtId="0" fontId="0" fillId="0" borderId="4" xfId="0" applyBorder="1"/>
    <xf numFmtId="0" fontId="8" fillId="3" borderId="6" xfId="3" applyBorder="1"/>
    <xf numFmtId="0" fontId="2" fillId="2" borderId="5" xfId="1" applyBorder="1"/>
    <xf numFmtId="0" fontId="0" fillId="0" borderId="0" xfId="0" applyBorder="1"/>
    <xf numFmtId="0" fontId="41" fillId="3" borderId="2" xfId="3" applyFont="1"/>
    <xf numFmtId="0" fontId="41" fillId="3" borderId="7" xfId="3" applyFont="1" applyBorder="1"/>
    <xf numFmtId="0" fontId="42" fillId="0" borderId="0" xfId="0" applyFont="1"/>
    <xf numFmtId="0" fontId="41" fillId="3" borderId="6" xfId="3" applyFont="1" applyBorder="1"/>
    <xf numFmtId="0" fontId="0" fillId="0" borderId="14" xfId="0" applyFont="1" applyBorder="1"/>
    <xf numFmtId="0" fontId="43" fillId="3" borderId="16" xfId="3" applyFont="1" applyBorder="1"/>
    <xf numFmtId="0" fontId="0" fillId="0" borderId="13" xfId="0" applyBorder="1"/>
    <xf numFmtId="0" fontId="43" fillId="3" borderId="19" xfId="3" applyFont="1" applyBorder="1"/>
    <xf numFmtId="0" fontId="0" fillId="0" borderId="16" xfId="0" applyFont="1" applyBorder="1"/>
    <xf numFmtId="0" fontId="0" fillId="0" borderId="20" xfId="0" applyBorder="1"/>
    <xf numFmtId="9" fontId="0" fillId="0" borderId="21" xfId="0" applyNumberFormat="1" applyBorder="1"/>
    <xf numFmtId="0" fontId="13" fillId="0" borderId="0" xfId="0" applyFont="1" applyAlignment="1">
      <alignment horizontal="right"/>
    </xf>
    <xf numFmtId="0" fontId="6" fillId="0" borderId="0" xfId="0" applyFont="1" applyAlignment="1"/>
    <xf numFmtId="0" fontId="41" fillId="3" borderId="16" xfId="3" applyFont="1" applyBorder="1"/>
    <xf numFmtId="0" fontId="45" fillId="2" borderId="5" xfId="1" applyFont="1" applyBorder="1"/>
    <xf numFmtId="0" fontId="41" fillId="3" borderId="19" xfId="3" applyFont="1" applyBorder="1"/>
    <xf numFmtId="0" fontId="42" fillId="0" borderId="22" xfId="0" applyFont="1" applyBorder="1" applyAlignment="1">
      <alignment horizontal="right"/>
    </xf>
    <xf numFmtId="0" fontId="46" fillId="0" borderId="0" xfId="0" applyFont="1" applyAlignment="1">
      <alignment horizontal="right"/>
    </xf>
    <xf numFmtId="0" fontId="47" fillId="0" borderId="0" xfId="0" applyFont="1" applyAlignment="1">
      <alignment horizontal="right"/>
    </xf>
    <xf numFmtId="0" fontId="58" fillId="0" borderId="0" xfId="0" applyFont="1" applyAlignment="1">
      <alignment horizontal="right"/>
    </xf>
    <xf numFmtId="0" fontId="47" fillId="0" borderId="23" xfId="0" applyFont="1" applyBorder="1" applyAlignment="1">
      <alignment horizontal="right"/>
    </xf>
    <xf numFmtId="0" fontId="2" fillId="2" borderId="31" xfId="1" applyBorder="1"/>
    <xf numFmtId="0" fontId="0" fillId="0" borderId="32" xfId="0" applyBorder="1"/>
    <xf numFmtId="0" fontId="2" fillId="2" borderId="1" xfId="1" applyAlignment="1">
      <alignment horizontal="left"/>
    </xf>
    <xf numFmtId="0" fontId="2" fillId="19" borderId="1" xfId="1" applyFill="1" applyAlignment="1">
      <alignment horizontal="right"/>
    </xf>
    <xf numFmtId="0" fontId="2" fillId="19" borderId="1" xfId="1" applyFill="1"/>
    <xf numFmtId="0" fontId="87" fillId="0" borderId="0" xfId="0" applyFont="1" applyAlignment="1">
      <alignment horizontal="right"/>
    </xf>
    <xf numFmtId="0" fontId="0" fillId="0" borderId="32" xfId="0" applyFont="1" applyBorder="1"/>
    <xf numFmtId="0" fontId="71" fillId="0" borderId="0" xfId="0" applyFont="1" applyAlignment="1">
      <alignment horizontal="center"/>
    </xf>
    <xf numFmtId="9" fontId="2" fillId="2" borderId="18" xfId="1" applyNumberFormat="1" applyBorder="1"/>
    <xf numFmtId="9" fontId="0" fillId="0" borderId="61" xfId="0" applyNumberFormat="1" applyBorder="1"/>
    <xf numFmtId="0" fontId="0" fillId="0" borderId="62" xfId="0" applyBorder="1"/>
    <xf numFmtId="0" fontId="43" fillId="3" borderId="17" xfId="3" applyFont="1" applyBorder="1"/>
    <xf numFmtId="0" fontId="0" fillId="0" borderId="64" xfId="0" applyBorder="1"/>
    <xf numFmtId="0" fontId="8" fillId="3" borderId="7" xfId="3" applyBorder="1"/>
    <xf numFmtId="0" fontId="42" fillId="3" borderId="16" xfId="3" applyFont="1" applyBorder="1"/>
    <xf numFmtId="0" fontId="0" fillId="0" borderId="28" xfId="0" applyBorder="1"/>
    <xf numFmtId="0" fontId="91" fillId="0" borderId="0" xfId="0" applyFont="1" applyBorder="1" applyAlignment="1">
      <alignment horizontal="center"/>
    </xf>
    <xf numFmtId="0" fontId="1" fillId="0" borderId="66" xfId="0" applyFont="1" applyBorder="1" applyAlignment="1">
      <alignment horizontal="right"/>
    </xf>
    <xf numFmtId="0" fontId="87" fillId="3" borderId="15" xfId="3" applyFont="1" applyBorder="1"/>
    <xf numFmtId="0" fontId="102" fillId="3" borderId="63" xfId="3" applyFont="1" applyBorder="1"/>
    <xf numFmtId="0" fontId="102" fillId="3" borderId="16" xfId="3" applyFont="1" applyBorder="1"/>
    <xf numFmtId="0" fontId="103" fillId="0" borderId="0" xfId="0" applyFont="1" applyAlignment="1">
      <alignment horizontal="right"/>
    </xf>
    <xf numFmtId="0" fontId="104" fillId="0" borderId="0" xfId="0" applyFont="1"/>
    <xf numFmtId="0" fontId="105" fillId="0" borderId="0" xfId="0" applyFont="1" applyAlignment="1">
      <alignment horizontal="right"/>
    </xf>
    <xf numFmtId="0" fontId="105" fillId="3" borderId="2" xfId="3" applyFont="1"/>
    <xf numFmtId="0" fontId="105" fillId="3" borderId="7" xfId="3" applyFont="1" applyBorder="1"/>
    <xf numFmtId="0" fontId="104" fillId="3" borderId="16" xfId="3" applyFont="1" applyBorder="1"/>
    <xf numFmtId="0" fontId="1" fillId="0" borderId="0" xfId="0" applyFont="1"/>
    <xf numFmtId="0" fontId="6" fillId="0" borderId="66" xfId="0" applyFont="1" applyBorder="1" applyAlignment="1">
      <alignment horizontal="center"/>
    </xf>
    <xf numFmtId="0" fontId="2" fillId="2" borderId="68" xfId="1" applyFont="1" applyBorder="1"/>
    <xf numFmtId="9" fontId="2" fillId="2" borderId="30" xfId="1" applyNumberFormat="1" applyFont="1" applyBorder="1"/>
    <xf numFmtId="0" fontId="1" fillId="0" borderId="28" xfId="0" applyFont="1" applyBorder="1" applyAlignment="1">
      <alignment horizontal="right"/>
    </xf>
    <xf numFmtId="0" fontId="8" fillId="3" borderId="71" xfId="3" applyNumberFormat="1" applyFont="1" applyBorder="1" applyAlignment="1">
      <alignment horizontal="right"/>
    </xf>
    <xf numFmtId="0" fontId="91" fillId="0" borderId="73" xfId="0" applyFont="1" applyBorder="1" applyAlignment="1">
      <alignment horizontal="right"/>
    </xf>
    <xf numFmtId="0" fontId="6" fillId="0" borderId="4" xfId="0" applyFont="1" applyBorder="1" applyAlignment="1">
      <alignment horizontal="center"/>
    </xf>
    <xf numFmtId="0" fontId="8" fillId="3" borderId="2" xfId="3" applyFont="1"/>
    <xf numFmtId="0" fontId="52" fillId="3" borderId="7" xfId="3" applyFont="1" applyBorder="1"/>
    <xf numFmtId="0" fontId="104" fillId="0" borderId="0" xfId="0" applyFont="1" applyAlignment="1">
      <alignment horizontal="center"/>
    </xf>
    <xf numFmtId="0" fontId="105" fillId="3" borderId="6" xfId="3" applyFont="1" applyBorder="1"/>
    <xf numFmtId="0" fontId="30" fillId="0" borderId="4" xfId="0" applyFont="1" applyBorder="1"/>
    <xf numFmtId="0" fontId="41" fillId="0" borderId="0" xfId="0" applyFont="1" applyAlignment="1">
      <alignment horizontal="right"/>
    </xf>
    <xf numFmtId="0" fontId="58" fillId="0" borderId="0" xfId="0" applyFont="1" applyFill="1" applyBorder="1" applyAlignment="1">
      <alignment horizontal="right"/>
    </xf>
    <xf numFmtId="0" fontId="41" fillId="2" borderId="5" xfId="1" applyFont="1" applyBorder="1"/>
    <xf numFmtId="0" fontId="0" fillId="0" borderId="0" xfId="0" applyFont="1" applyAlignment="1">
      <alignment horizontal="center"/>
    </xf>
    <xf numFmtId="0" fontId="92" fillId="0" borderId="0" xfId="0" applyFont="1"/>
    <xf numFmtId="0" fontId="104" fillId="3" borderId="107" xfId="3" applyFont="1" applyBorder="1"/>
    <xf numFmtId="0" fontId="105" fillId="3" borderId="109" xfId="3" applyFont="1" applyBorder="1"/>
    <xf numFmtId="0" fontId="104" fillId="3" borderId="14" xfId="3" applyFont="1" applyBorder="1"/>
    <xf numFmtId="0" fontId="105" fillId="3" borderId="41" xfId="3" applyFont="1" applyBorder="1" applyAlignment="1">
      <alignment horizontal="right"/>
    </xf>
    <xf numFmtId="0" fontId="104" fillId="3" borderId="111" xfId="3" applyFont="1" applyBorder="1" applyAlignment="1">
      <alignment horizontal="right"/>
    </xf>
    <xf numFmtId="0" fontId="104" fillId="3" borderId="112" xfId="3" applyFont="1" applyBorder="1" applyAlignment="1">
      <alignment horizontal="right"/>
    </xf>
    <xf numFmtId="0" fontId="152" fillId="2" borderId="1" xfId="1" applyFont="1"/>
    <xf numFmtId="0" fontId="42" fillId="3" borderId="7" xfId="3" applyFont="1" applyBorder="1"/>
    <xf numFmtId="0" fontId="42" fillId="3" borderId="19" xfId="3" applyFont="1" applyBorder="1"/>
    <xf numFmtId="9" fontId="0" fillId="0" borderId="114" xfId="0" applyNumberFormat="1" applyBorder="1"/>
    <xf numFmtId="0" fontId="0" fillId="0" borderId="115" xfId="0" applyBorder="1"/>
    <xf numFmtId="0" fontId="0" fillId="0" borderId="116" xfId="0" applyFont="1" applyBorder="1"/>
    <xf numFmtId="0" fontId="6" fillId="0" borderId="32" xfId="0" applyFont="1" applyBorder="1" applyAlignment="1">
      <alignment horizontal="right"/>
    </xf>
    <xf numFmtId="169" fontId="8" fillId="3" borderId="2" xfId="3" applyNumberFormat="1" applyAlignment="1">
      <alignment horizontal="right"/>
    </xf>
    <xf numFmtId="0" fontId="97" fillId="0" borderId="95" xfId="0" applyFont="1" applyBorder="1" applyAlignment="1">
      <alignment horizontal="right" vertical="center"/>
    </xf>
    <xf numFmtId="0" fontId="153" fillId="2" borderId="1" xfId="1" applyFont="1" applyAlignment="1">
      <alignment horizontal="left"/>
    </xf>
    <xf numFmtId="0" fontId="37" fillId="0" borderId="29" xfId="0" applyFont="1" applyBorder="1"/>
    <xf numFmtId="0" fontId="0" fillId="0" borderId="119" xfId="0" applyBorder="1"/>
    <xf numFmtId="0" fontId="0" fillId="0" borderId="118" xfId="0" applyBorder="1"/>
    <xf numFmtId="169" fontId="8" fillId="3" borderId="121" xfId="3" applyNumberFormat="1" applyBorder="1"/>
    <xf numFmtId="0" fontId="2" fillId="2" borderId="123" xfId="1" applyNumberFormat="1" applyBorder="1" applyAlignment="1">
      <alignment vertical="top"/>
    </xf>
    <xf numFmtId="169" fontId="8" fillId="3" borderId="124" xfId="3" applyNumberFormat="1" applyBorder="1"/>
    <xf numFmtId="169" fontId="8" fillId="3" borderId="15" xfId="3" applyNumberFormat="1" applyBorder="1"/>
    <xf numFmtId="0" fontId="126" fillId="6" borderId="6" xfId="3" applyFont="1" applyFill="1" applyBorder="1"/>
    <xf numFmtId="0" fontId="128" fillId="6" borderId="108" xfId="3" applyFont="1" applyFill="1" applyBorder="1"/>
    <xf numFmtId="0" fontId="126" fillId="6" borderId="15" xfId="3" applyFont="1" applyFill="1" applyBorder="1"/>
    <xf numFmtId="0" fontId="128" fillId="6" borderId="126" xfId="3" applyFont="1" applyFill="1" applyBorder="1"/>
    <xf numFmtId="0" fontId="126" fillId="0" borderId="117" xfId="0" applyFont="1" applyBorder="1" applyAlignment="1">
      <alignment horizontal="center" vertical="center" wrapText="1"/>
    </xf>
    <xf numFmtId="0" fontId="8" fillId="6" borderId="6" xfId="3" applyFill="1" applyBorder="1"/>
    <xf numFmtId="0" fontId="132" fillId="6" borderId="6" xfId="3" applyFont="1" applyFill="1" applyBorder="1"/>
    <xf numFmtId="0" fontId="130" fillId="6" borderId="6" xfId="3" applyFont="1" applyFill="1" applyBorder="1"/>
    <xf numFmtId="0" fontId="129" fillId="6" borderId="108" xfId="3" applyFont="1" applyFill="1" applyBorder="1"/>
    <xf numFmtId="0" fontId="8" fillId="6" borderId="15" xfId="3" applyFill="1" applyBorder="1"/>
    <xf numFmtId="0" fontId="134" fillId="6" borderId="15" xfId="3" applyFont="1" applyFill="1" applyBorder="1"/>
    <xf numFmtId="0" fontId="130" fillId="6" borderId="15" xfId="3" applyFont="1" applyFill="1" applyBorder="1"/>
    <xf numFmtId="0" fontId="129" fillId="6" borderId="126" xfId="3" applyFont="1" applyFill="1" applyBorder="1"/>
    <xf numFmtId="0" fontId="134" fillId="6" borderId="6" xfId="3" applyFont="1" applyFill="1" applyBorder="1"/>
    <xf numFmtId="0" fontId="126" fillId="0" borderId="0" xfId="0" applyNumberFormat="1" applyFont="1" applyBorder="1" applyAlignment="1"/>
    <xf numFmtId="0" fontId="134" fillId="6" borderId="15" xfId="3" applyNumberFormat="1" applyFont="1" applyFill="1" applyBorder="1"/>
    <xf numFmtId="0" fontId="8" fillId="6" borderId="15" xfId="3" applyNumberFormat="1" applyFill="1" applyBorder="1"/>
    <xf numFmtId="0" fontId="134" fillId="3" borderId="6" xfId="3" applyFont="1" applyBorder="1"/>
    <xf numFmtId="0" fontId="136" fillId="6" borderId="127" xfId="3" applyNumberFormat="1" applyFont="1" applyFill="1" applyBorder="1"/>
    <xf numFmtId="0" fontId="135" fillId="6" borderId="127" xfId="3" applyNumberFormat="1" applyFont="1" applyFill="1" applyBorder="1"/>
    <xf numFmtId="0" fontId="126" fillId="6" borderId="127" xfId="3" applyNumberFormat="1" applyFont="1" applyFill="1" applyBorder="1"/>
    <xf numFmtId="0" fontId="110" fillId="2" borderId="5" xfId="1" applyFont="1" applyBorder="1"/>
    <xf numFmtId="0" fontId="110" fillId="2" borderId="18" xfId="1" applyFont="1" applyBorder="1"/>
    <xf numFmtId="0" fontId="2" fillId="2" borderId="18" xfId="1" applyBorder="1"/>
    <xf numFmtId="0" fontId="119" fillId="2" borderId="5" xfId="1" applyFont="1" applyBorder="1"/>
    <xf numFmtId="0" fontId="119" fillId="2" borderId="18" xfId="1" applyFont="1" applyBorder="1"/>
    <xf numFmtId="0" fontId="123" fillId="2" borderId="5" xfId="1" applyFont="1" applyBorder="1"/>
    <xf numFmtId="0" fontId="123" fillId="2" borderId="18" xfId="1" applyFont="1" applyBorder="1"/>
    <xf numFmtId="0" fontId="126" fillId="3" borderId="127" xfId="3" applyFont="1" applyBorder="1"/>
    <xf numFmtId="0" fontId="126" fillId="6" borderId="15" xfId="3" applyNumberFormat="1" applyFont="1" applyFill="1" applyBorder="1"/>
    <xf numFmtId="0" fontId="126" fillId="6" borderId="108" xfId="3" applyFont="1" applyFill="1" applyBorder="1"/>
    <xf numFmtId="0" fontId="126" fillId="6" borderId="126" xfId="3" applyFont="1" applyFill="1" applyBorder="1"/>
    <xf numFmtId="0" fontId="126" fillId="0" borderId="0" xfId="0" applyNumberFormat="1" applyFont="1" applyBorder="1"/>
    <xf numFmtId="0" fontId="154" fillId="0" borderId="0" xfId="0" applyFont="1"/>
    <xf numFmtId="0" fontId="125" fillId="0" borderId="122" xfId="1" applyNumberFormat="1" applyFont="1" applyFill="1" applyBorder="1" applyAlignment="1">
      <alignment horizontal="right" vertical="top" wrapText="1"/>
    </xf>
    <xf numFmtId="0" fontId="125" fillId="0" borderId="125" xfId="0" applyFont="1" applyBorder="1" applyAlignment="1">
      <alignment vertical="top" wrapText="1"/>
    </xf>
    <xf numFmtId="0" fontId="156" fillId="0" borderId="90" xfId="0" applyFont="1" applyBorder="1" applyAlignment="1">
      <alignment vertical="top" wrapText="1"/>
    </xf>
    <xf numFmtId="0" fontId="157" fillId="0" borderId="0" xfId="3" applyFont="1" applyFill="1" applyBorder="1"/>
    <xf numFmtId="0" fontId="95" fillId="0" borderId="94" xfId="0" applyFont="1" applyBorder="1" applyAlignment="1">
      <alignment horizontal="center" vertical="center"/>
    </xf>
    <xf numFmtId="0" fontId="99" fillId="0" borderId="94" xfId="0" quotePrefix="1" applyFont="1" applyBorder="1" applyAlignment="1">
      <alignment horizontal="center" vertical="center" wrapText="1"/>
    </xf>
    <xf numFmtId="0" fontId="97" fillId="0" borderId="96" xfId="0" applyFont="1" applyBorder="1" applyAlignment="1">
      <alignment horizontal="right" vertical="top"/>
    </xf>
    <xf numFmtId="0" fontId="153" fillId="2" borderId="1" xfId="1" applyFont="1" applyAlignment="1">
      <alignment horizontal="left" vertical="top"/>
    </xf>
    <xf numFmtId="0" fontId="37" fillId="0" borderId="0" xfId="0" applyFont="1" applyAlignment="1">
      <alignment vertical="top"/>
    </xf>
    <xf numFmtId="0" fontId="0" fillId="0" borderId="4" xfId="0" applyBorder="1" applyAlignment="1">
      <alignment vertical="center"/>
    </xf>
    <xf numFmtId="0" fontId="0" fillId="0" borderId="129" xfId="0" applyBorder="1"/>
    <xf numFmtId="0" fontId="0" fillId="0" borderId="117" xfId="0" applyBorder="1" applyAlignment="1">
      <alignment vertical="top"/>
    </xf>
    <xf numFmtId="0" fontId="2" fillId="2" borderId="130" xfId="1" applyNumberFormat="1" applyBorder="1" applyAlignment="1">
      <alignment vertical="top"/>
    </xf>
    <xf numFmtId="170" fontId="155" fillId="2" borderId="131" xfId="1" applyNumberFormat="1" applyFont="1" applyBorder="1" applyAlignment="1">
      <alignment vertical="top"/>
    </xf>
    <xf numFmtId="0" fontId="158" fillId="0" borderId="0" xfId="0" applyFont="1" applyAlignment="1">
      <alignment horizontal="center"/>
    </xf>
    <xf numFmtId="0" fontId="160" fillId="0" borderId="129" xfId="0" applyFont="1" applyBorder="1" applyAlignment="1">
      <alignment horizontal="right"/>
    </xf>
    <xf numFmtId="9" fontId="2" fillId="2" borderId="1" xfId="1" applyNumberFormat="1" applyAlignment="1">
      <alignment horizontal="left"/>
    </xf>
    <xf numFmtId="0" fontId="14" fillId="0" borderId="0" xfId="0" applyFont="1" applyBorder="1" applyAlignment="1">
      <alignment horizontal="center" vertical="center"/>
    </xf>
    <xf numFmtId="0" fontId="14" fillId="0" borderId="7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77" xfId="0" applyFont="1" applyBorder="1" applyAlignment="1">
      <alignment horizontal="center" vertical="center"/>
    </xf>
    <xf numFmtId="0" fontId="48" fillId="16" borderId="0" xfId="4" applyFont="1" applyFill="1" applyAlignment="1">
      <alignment horizontal="center" vertical="top"/>
    </xf>
    <xf numFmtId="0" fontId="48" fillId="10" borderId="0" xfId="4" applyFont="1" applyAlignment="1">
      <alignment horizontal="center" vertical="top"/>
    </xf>
    <xf numFmtId="0" fontId="48" fillId="14" borderId="0" xfId="7" applyFont="1" applyBorder="1" applyAlignment="1">
      <alignment horizontal="center" vertical="top"/>
    </xf>
    <xf numFmtId="0" fontId="48" fillId="5" borderId="0" xfId="4" applyFont="1" applyFill="1" applyAlignment="1">
      <alignment horizontal="center" vertical="top"/>
    </xf>
    <xf numFmtId="0" fontId="152" fillId="2" borderId="110" xfId="1" applyFont="1" applyBorder="1" applyAlignment="1">
      <alignment horizontal="right" vertical="center"/>
    </xf>
    <xf numFmtId="0" fontId="152" fillId="2" borderId="113" xfId="1" applyFont="1" applyBorder="1" applyAlignment="1">
      <alignment horizontal="right" vertical="center"/>
    </xf>
    <xf numFmtId="0" fontId="104" fillId="0" borderId="0" xfId="0" applyFont="1" applyAlignment="1">
      <alignment horizontal="left" vertical="center"/>
    </xf>
    <xf numFmtId="0" fontId="138" fillId="18" borderId="0" xfId="0" applyFont="1" applyFill="1" applyAlignment="1">
      <alignment horizontal="center" vertical="center"/>
    </xf>
    <xf numFmtId="0" fontId="91" fillId="0" borderId="17" xfId="0" applyFont="1" applyBorder="1" applyAlignment="1">
      <alignment horizontal="center"/>
    </xf>
    <xf numFmtId="0" fontId="91" fillId="0" borderId="16" xfId="0" applyFont="1" applyBorder="1" applyAlignment="1">
      <alignment horizontal="center"/>
    </xf>
    <xf numFmtId="0" fontId="105" fillId="0" borderId="108" xfId="0" applyFont="1" applyBorder="1" applyAlignment="1">
      <alignment horizontal="right" vertical="center"/>
    </xf>
    <xf numFmtId="0" fontId="2" fillId="2" borderId="1" xfId="1" applyBorder="1" applyAlignment="1">
      <alignment horizontal="center"/>
    </xf>
    <xf numFmtId="0" fontId="2" fillId="2" borderId="18" xfId="1" applyBorder="1" applyAlignment="1">
      <alignment horizontal="center"/>
    </xf>
    <xf numFmtId="0" fontId="2" fillId="2" borderId="12" xfId="1" applyBorder="1" applyAlignment="1">
      <alignment horizontal="center"/>
    </xf>
    <xf numFmtId="0" fontId="138" fillId="5" borderId="0" xfId="0" applyFont="1" applyFill="1" applyAlignment="1">
      <alignment horizontal="center" vertical="center"/>
    </xf>
    <xf numFmtId="0" fontId="138" fillId="16" borderId="0" xfId="0" applyFont="1" applyFill="1" applyAlignment="1">
      <alignment horizontal="center" vertical="center"/>
    </xf>
    <xf numFmtId="0" fontId="138" fillId="9" borderId="0" xfId="0" applyFont="1" applyFill="1" applyAlignment="1">
      <alignment horizontal="center" vertical="center"/>
    </xf>
    <xf numFmtId="0" fontId="138" fillId="7" borderId="0" xfId="0" applyFont="1" applyFill="1" applyAlignment="1">
      <alignment horizontal="center" vertical="center"/>
    </xf>
    <xf numFmtId="0" fontId="2" fillId="2" borderId="30" xfId="1" applyBorder="1" applyAlignment="1">
      <alignment horizontal="center"/>
    </xf>
    <xf numFmtId="0" fontId="2" fillId="2" borderId="53" xfId="1" applyBorder="1" applyAlignment="1">
      <alignment horizontal="center"/>
    </xf>
    <xf numFmtId="0" fontId="2" fillId="2" borderId="65" xfId="1" applyBorder="1" applyAlignment="1">
      <alignment horizontal="center"/>
    </xf>
    <xf numFmtId="0" fontId="92" fillId="3" borderId="56" xfId="3" applyFont="1" applyBorder="1" applyAlignment="1">
      <alignment horizontal="right" vertical="center" wrapText="1"/>
    </xf>
    <xf numFmtId="0" fontId="139" fillId="4" borderId="0" xfId="4" applyFont="1" applyFill="1" applyAlignment="1">
      <alignment horizontal="center" vertical="center"/>
    </xf>
    <xf numFmtId="0" fontId="139" fillId="18" borderId="0" xfId="4" applyFont="1" applyFill="1" applyAlignment="1">
      <alignment horizontal="center" vertical="center"/>
    </xf>
    <xf numFmtId="0" fontId="92" fillId="3" borderId="56" xfId="3" applyFont="1" applyBorder="1" applyAlignment="1">
      <alignment horizontal="left" vertical="center"/>
    </xf>
    <xf numFmtId="0" fontId="92" fillId="3" borderId="0" xfId="3" applyFont="1" applyBorder="1" applyAlignment="1">
      <alignment horizontal="left" vertical="center"/>
    </xf>
    <xf numFmtId="0" fontId="92" fillId="3" borderId="97" xfId="3" applyFont="1" applyBorder="1" applyAlignment="1">
      <alignment horizontal="left" vertical="center"/>
    </xf>
    <xf numFmtId="0" fontId="92" fillId="3" borderId="98" xfId="3" applyFont="1" applyBorder="1" applyAlignment="1">
      <alignment horizontal="left" vertical="center"/>
    </xf>
    <xf numFmtId="0" fontId="139" fillId="10" borderId="0" xfId="4" applyFont="1" applyAlignment="1">
      <alignment horizontal="center" vertical="center"/>
    </xf>
    <xf numFmtId="0" fontId="139" fillId="8" borderId="0" xfId="4" applyFont="1" applyFill="1" applyAlignment="1">
      <alignment horizontal="center" vertical="center"/>
    </xf>
    <xf numFmtId="0" fontId="139" fillId="25" borderId="0" xfId="4" applyFont="1" applyFill="1" applyAlignment="1">
      <alignment horizontal="center" vertical="center"/>
    </xf>
    <xf numFmtId="0" fontId="139" fillId="16" borderId="0" xfId="4" applyFont="1" applyFill="1" applyAlignment="1">
      <alignment horizontal="center" vertical="center"/>
    </xf>
    <xf numFmtId="0" fontId="139" fillId="7" borderId="0" xfId="4" applyFont="1" applyFill="1" applyAlignment="1">
      <alignment horizontal="center" vertical="center"/>
    </xf>
    <xf numFmtId="0" fontId="22" fillId="11" borderId="0" xfId="5" applyFont="1" applyAlignment="1">
      <alignment horizontal="center" vertical="center"/>
    </xf>
    <xf numFmtId="0" fontId="22" fillId="10" borderId="0" xfId="4" applyFont="1" applyAlignment="1">
      <alignment horizontal="center" vertical="center"/>
    </xf>
    <xf numFmtId="0" fontId="22" fillId="4" borderId="0" xfId="5" applyFont="1" applyFill="1" applyAlignment="1">
      <alignment horizontal="center" vertical="center"/>
    </xf>
    <xf numFmtId="0" fontId="80" fillId="21" borderId="57" xfId="0" applyFont="1" applyFill="1" applyBorder="1" applyAlignment="1">
      <alignment horizontal="center" vertical="center" wrapText="1"/>
    </xf>
    <xf numFmtId="0" fontId="80" fillId="21" borderId="58" xfId="0" applyFont="1" applyFill="1" applyBorder="1" applyAlignment="1">
      <alignment horizontal="center" vertical="center" wrapText="1"/>
    </xf>
    <xf numFmtId="0" fontId="139" fillId="12" borderId="0" xfId="4" applyFont="1" applyFill="1" applyAlignment="1">
      <alignment horizontal="center" vertical="center"/>
    </xf>
    <xf numFmtId="0" fontId="0" fillId="0" borderId="0" xfId="0" applyFill="1" applyBorder="1" applyAlignment="1">
      <alignment horizontal="left" wrapText="1"/>
    </xf>
    <xf numFmtId="0" fontId="144" fillId="23" borderId="0" xfId="0" applyFont="1" applyFill="1" applyBorder="1" applyAlignment="1">
      <alignment horizontal="center"/>
    </xf>
    <xf numFmtId="0" fontId="88" fillId="0" borderId="0" xfId="0" applyFont="1" applyBorder="1" applyAlignment="1">
      <alignment horizontal="center"/>
    </xf>
    <xf numFmtId="0" fontId="88" fillId="0" borderId="90" xfId="0" applyFont="1" applyBorder="1" applyAlignment="1">
      <alignment horizontal="center"/>
    </xf>
    <xf numFmtId="0" fontId="88" fillId="0" borderId="8" xfId="0" applyFont="1" applyBorder="1" applyAlignment="1">
      <alignment horizontal="center" vertical="center"/>
    </xf>
    <xf numFmtId="0" fontId="88" fillId="0" borderId="0" xfId="0" applyFont="1" applyBorder="1" applyAlignment="1">
      <alignment horizontal="center" vertical="center"/>
    </xf>
    <xf numFmtId="0" fontId="158" fillId="0" borderId="128" xfId="0" applyFont="1" applyBorder="1" applyAlignment="1">
      <alignment horizontal="center"/>
    </xf>
    <xf numFmtId="0" fontId="88" fillId="0" borderId="120" xfId="0" applyFont="1" applyBorder="1" applyAlignment="1">
      <alignment horizontal="center" vertical="center"/>
    </xf>
    <xf numFmtId="0" fontId="88" fillId="0" borderId="95" xfId="0" applyFont="1" applyBorder="1" applyAlignment="1">
      <alignment horizontal="center" vertical="center"/>
    </xf>
    <xf numFmtId="0" fontId="88" fillId="0" borderId="0" xfId="0" applyFont="1" applyBorder="1" applyAlignment="1">
      <alignment horizontal="center" vertical="top" wrapText="1"/>
    </xf>
    <xf numFmtId="0" fontId="88" fillId="0" borderId="117" xfId="0" applyFont="1" applyBorder="1" applyAlignment="1">
      <alignment horizontal="center" vertical="top" wrapText="1"/>
    </xf>
    <xf numFmtId="0" fontId="0" fillId="17" borderId="0" xfId="0" applyFill="1" applyAlignment="1">
      <alignment horizontal="center" wrapText="1"/>
    </xf>
    <xf numFmtId="0" fontId="0" fillId="17" borderId="0" xfId="0" applyFill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42" fillId="23" borderId="0" xfId="0" applyFont="1" applyFill="1" applyAlignment="1">
      <alignment horizontal="center" vertical="center" wrapText="1"/>
    </xf>
    <xf numFmtId="0" fontId="138" fillId="17" borderId="0" xfId="0" applyFont="1" applyFill="1" applyAlignment="1">
      <alignment horizontal="center" wrapText="1"/>
    </xf>
    <xf numFmtId="0" fontId="1" fillId="0" borderId="4" xfId="0" applyFont="1" applyBorder="1" applyAlignment="1">
      <alignment horizontal="center"/>
    </xf>
    <xf numFmtId="9" fontId="123" fillId="17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23" fillId="0" borderId="0" xfId="0" applyFont="1" applyAlignment="1">
      <alignment horizontal="left" wrapText="1"/>
    </xf>
    <xf numFmtId="0" fontId="143" fillId="24" borderId="0" xfId="0" applyFont="1" applyFill="1" applyAlignment="1">
      <alignment horizontal="center" vertical="center" wrapText="1"/>
    </xf>
    <xf numFmtId="0" fontId="37" fillId="0" borderId="0" xfId="0" applyFont="1" applyAlignment="1">
      <alignment horizontal="left" vertical="center" wrapText="1"/>
    </xf>
    <xf numFmtId="0" fontId="126" fillId="0" borderId="0" xfId="0" applyFont="1" applyAlignment="1">
      <alignment horizontal="center" vertical="center" wrapText="1"/>
    </xf>
    <xf numFmtId="0" fontId="162" fillId="0" borderId="94" xfId="0" applyFont="1" applyBorder="1" applyAlignment="1">
      <alignment horizontal="center" vertical="center" wrapText="1"/>
    </xf>
    <xf numFmtId="0" fontId="123" fillId="23" borderId="8" xfId="0" applyFont="1" applyFill="1" applyBorder="1" applyAlignment="1">
      <alignment horizontal="center"/>
    </xf>
    <xf numFmtId="0" fontId="123" fillId="23" borderId="0" xfId="0" applyFont="1" applyFill="1" applyBorder="1" applyAlignment="1">
      <alignment horizontal="center"/>
    </xf>
    <xf numFmtId="0" fontId="123" fillId="23" borderId="118" xfId="0" applyFont="1" applyFill="1" applyBorder="1" applyAlignment="1">
      <alignment horizontal="center"/>
    </xf>
  </cellXfs>
  <cellStyles count="8">
    <cellStyle name="Bad" xfId="7" builtinId="27"/>
    <cellStyle name="Calculation" xfId="2" builtinId="22"/>
    <cellStyle name="Good" xfId="4" builtinId="26"/>
    <cellStyle name="Input" xfId="1" builtinId="20"/>
    <cellStyle name="Neutral" xfId="5" builtinId="28"/>
    <cellStyle name="Normal" xfId="0" builtinId="0"/>
    <cellStyle name="Output" xfId="3" builtinId="21"/>
    <cellStyle name="Percent" xfId="6" builtinId="5"/>
  </cellStyles>
  <dxfs count="29">
    <dxf>
      <font>
        <strike/>
        <color theme="2" tint="-0.24994659260841701"/>
      </font>
    </dxf>
    <dxf>
      <font>
        <color theme="1"/>
      </font>
    </dxf>
    <dxf>
      <font>
        <color theme="1"/>
      </font>
    </dxf>
    <dxf>
      <font>
        <color theme="1" tint="0.34998626667073579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2" tint="-0.749961851863155"/>
      </font>
    </dxf>
    <dxf>
      <font>
        <color theme="2" tint="-0.749961851863155"/>
      </font>
    </dxf>
    <dxf>
      <font>
        <color theme="2" tint="-0.749961851863155"/>
      </font>
    </dxf>
    <dxf>
      <font>
        <color theme="2" tint="-0.749961851863155"/>
      </font>
    </dxf>
    <dxf>
      <font>
        <color theme="2" tint="-0.749961851863155"/>
      </font>
    </dxf>
    <dxf>
      <font>
        <color theme="2" tint="-0.749961851863155"/>
      </font>
    </dxf>
    <dxf>
      <font>
        <color theme="2" tint="-0.749961851863155"/>
      </font>
    </dxf>
    <dxf>
      <font>
        <color theme="2" tint="-0.749961851863155"/>
      </font>
    </dxf>
    <dxf>
      <font>
        <color theme="2" tint="-0.749961851863155"/>
      </font>
    </dxf>
    <dxf>
      <font>
        <color theme="2" tint="-0.749961851863155"/>
      </font>
    </dxf>
    <dxf>
      <font>
        <color theme="2" tint="-0.749961851863155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</dxfs>
  <tableStyles count="0" defaultTableStyle="TableStyleMedium2" defaultPivotStyle="PivotStyleLight16"/>
  <colors>
    <mruColors>
      <color rgb="FFFF99FF"/>
      <color rgb="FF996633"/>
      <color rgb="FFFF697B"/>
      <color rgb="FFCC99FF"/>
      <color rgb="FFFFADAD"/>
      <color rgb="FFFF8B99"/>
      <color rgb="FFFEDBB0"/>
      <color rgb="FFFEE3C2"/>
      <color rgb="FFFFB0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83</xdr:row>
      <xdr:rowOff>137160</xdr:rowOff>
    </xdr:from>
    <xdr:to>
      <xdr:col>2</xdr:col>
      <xdr:colOff>129540</xdr:colOff>
      <xdr:row>85</xdr:row>
      <xdr:rowOff>68580</xdr:rowOff>
    </xdr:to>
    <xdr:pic>
      <xdr:nvPicPr>
        <xdr:cNvPr id="2" name="Picture 1" descr="https://licensebuttons.net/l/by-sa/3.0/88x31.png">
          <a:extLst>
            <a:ext uri="{FF2B5EF4-FFF2-40B4-BE49-F238E27FC236}">
              <a16:creationId xmlns:a16="http://schemas.microsoft.com/office/drawing/2014/main" id="{974053BC-0A3A-4AF0-8F77-66967785C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5438120"/>
          <a:ext cx="838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30</xdr:row>
      <xdr:rowOff>137160</xdr:rowOff>
    </xdr:from>
    <xdr:to>
      <xdr:col>2</xdr:col>
      <xdr:colOff>243840</xdr:colOff>
      <xdr:row>32</xdr:row>
      <xdr:rowOff>53340</xdr:rowOff>
    </xdr:to>
    <xdr:pic>
      <xdr:nvPicPr>
        <xdr:cNvPr id="2" name="Picture 1" descr="https://licensebuttons.net/l/by-sa/3.0/88x31.png">
          <a:extLst>
            <a:ext uri="{FF2B5EF4-FFF2-40B4-BE49-F238E27FC236}">
              <a16:creationId xmlns:a16="http://schemas.microsoft.com/office/drawing/2014/main" id="{4CD0A28B-1B6A-4214-946F-327D1BB0C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5798820"/>
          <a:ext cx="838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</xdr:colOff>
      <xdr:row>40</xdr:row>
      <xdr:rowOff>137160</xdr:rowOff>
    </xdr:from>
    <xdr:to>
      <xdr:col>4</xdr:col>
      <xdr:colOff>251460</xdr:colOff>
      <xdr:row>42</xdr:row>
      <xdr:rowOff>68580</xdr:rowOff>
    </xdr:to>
    <xdr:pic>
      <xdr:nvPicPr>
        <xdr:cNvPr id="4" name="Picture 3" descr="https://licensebuttons.net/l/by-sa/3.0/88x31.png">
          <a:extLst>
            <a:ext uri="{FF2B5EF4-FFF2-40B4-BE49-F238E27FC236}">
              <a16:creationId xmlns:a16="http://schemas.microsoft.com/office/drawing/2014/main" id="{EAC05B63-FA0F-4A46-AC4F-D53BFE446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5803880"/>
          <a:ext cx="838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</xdr:colOff>
      <xdr:row>42</xdr:row>
      <xdr:rowOff>137160</xdr:rowOff>
    </xdr:from>
    <xdr:to>
      <xdr:col>3</xdr:col>
      <xdr:colOff>182880</xdr:colOff>
      <xdr:row>44</xdr:row>
      <xdr:rowOff>76200</xdr:rowOff>
    </xdr:to>
    <xdr:pic>
      <xdr:nvPicPr>
        <xdr:cNvPr id="3" name="Picture 2" descr="https://licensebuttons.net/l/by-sa/3.0/88x31.png">
          <a:extLst>
            <a:ext uri="{FF2B5EF4-FFF2-40B4-BE49-F238E27FC236}">
              <a16:creationId xmlns:a16="http://schemas.microsoft.com/office/drawing/2014/main" id="{0D92389B-697B-44C2-8982-E1A95BF53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5803880"/>
          <a:ext cx="838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</xdr:colOff>
      <xdr:row>34</xdr:row>
      <xdr:rowOff>137160</xdr:rowOff>
    </xdr:from>
    <xdr:to>
      <xdr:col>3</xdr:col>
      <xdr:colOff>243840</xdr:colOff>
      <xdr:row>36</xdr:row>
      <xdr:rowOff>68580</xdr:rowOff>
    </xdr:to>
    <xdr:pic>
      <xdr:nvPicPr>
        <xdr:cNvPr id="3" name="Picture 2" descr="https://licensebuttons.net/l/by-sa/3.0/88x31.png">
          <a:extLst>
            <a:ext uri="{FF2B5EF4-FFF2-40B4-BE49-F238E27FC236}">
              <a16:creationId xmlns:a16="http://schemas.microsoft.com/office/drawing/2014/main" id="{8FB96E27-A45F-4827-89D8-FB935EF3F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5803880"/>
          <a:ext cx="838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</xdr:colOff>
      <xdr:row>65</xdr:row>
      <xdr:rowOff>137160</xdr:rowOff>
    </xdr:from>
    <xdr:to>
      <xdr:col>4</xdr:col>
      <xdr:colOff>99060</xdr:colOff>
      <xdr:row>67</xdr:row>
      <xdr:rowOff>68580</xdr:rowOff>
    </xdr:to>
    <xdr:pic>
      <xdr:nvPicPr>
        <xdr:cNvPr id="3" name="Picture 2" descr="https://licensebuttons.net/l/by-sa/3.0/88x31.png">
          <a:extLst>
            <a:ext uri="{FF2B5EF4-FFF2-40B4-BE49-F238E27FC236}">
              <a16:creationId xmlns:a16="http://schemas.microsoft.com/office/drawing/2014/main" id="{D6F71250-3281-40EC-B5A4-4470729B0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5803880"/>
          <a:ext cx="838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42</xdr:row>
      <xdr:rowOff>137160</xdr:rowOff>
    </xdr:from>
    <xdr:to>
      <xdr:col>2</xdr:col>
      <xdr:colOff>495300</xdr:colOff>
      <xdr:row>44</xdr:row>
      <xdr:rowOff>68580</xdr:rowOff>
    </xdr:to>
    <xdr:pic>
      <xdr:nvPicPr>
        <xdr:cNvPr id="3" name="Picture 2" descr="https://licensebuttons.net/l/by-sa/3.0/88x31.png">
          <a:extLst>
            <a:ext uri="{FF2B5EF4-FFF2-40B4-BE49-F238E27FC236}">
              <a16:creationId xmlns:a16="http://schemas.microsoft.com/office/drawing/2014/main" id="{9741997D-0028-4EDC-96D1-85D9EABF2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5803880"/>
          <a:ext cx="838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</xdr:colOff>
      <xdr:row>45</xdr:row>
      <xdr:rowOff>137160</xdr:rowOff>
    </xdr:from>
    <xdr:to>
      <xdr:col>4</xdr:col>
      <xdr:colOff>502920</xdr:colOff>
      <xdr:row>47</xdr:row>
      <xdr:rowOff>68580</xdr:rowOff>
    </xdr:to>
    <xdr:pic>
      <xdr:nvPicPr>
        <xdr:cNvPr id="3" name="Picture 2" descr="https://licensebuttons.net/l/by-sa/3.0/88x31.png">
          <a:extLst>
            <a:ext uri="{FF2B5EF4-FFF2-40B4-BE49-F238E27FC236}">
              <a16:creationId xmlns:a16="http://schemas.microsoft.com/office/drawing/2014/main" id="{A87CB75E-9AAF-42FA-A969-16AA7A3CD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7932420"/>
          <a:ext cx="838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86"/>
  <sheetViews>
    <sheetView tabSelected="1" zoomScaleNormal="100" workbookViewId="0">
      <selection activeCell="B2" sqref="B2"/>
    </sheetView>
  </sheetViews>
  <sheetFormatPr defaultRowHeight="14.4" x14ac:dyDescent="0.55000000000000004"/>
  <cols>
    <col min="1" max="1" width="29.20703125" style="1" customWidth="1"/>
    <col min="2" max="2" width="10.5234375" customWidth="1"/>
    <col min="3" max="3" width="10.68359375" customWidth="1"/>
    <col min="4" max="4" width="9.7890625" customWidth="1"/>
    <col min="5" max="5" width="4.3125" customWidth="1"/>
    <col min="6" max="6" width="9.20703125" customWidth="1"/>
    <col min="7" max="7" width="6.5234375" customWidth="1"/>
    <col min="8" max="8" width="28.1015625" customWidth="1"/>
    <col min="9" max="10" width="10.5234375" customWidth="1"/>
    <col min="11" max="11" width="10.89453125" customWidth="1"/>
    <col min="12" max="12" width="4.68359375" customWidth="1"/>
    <col min="13" max="13" width="11" customWidth="1"/>
    <col min="14" max="16" width="9.89453125" customWidth="1"/>
    <col min="17" max="17" width="25.20703125" customWidth="1"/>
    <col min="21" max="21" width="3.89453125" customWidth="1"/>
    <col min="24" max="24" width="26.3125" customWidth="1"/>
    <col min="28" max="28" width="4.3125" customWidth="1"/>
  </cols>
  <sheetData>
    <row r="1" spans="1:29" s="23" customFormat="1" ht="22.2" customHeight="1" x14ac:dyDescent="0.55000000000000004">
      <c r="A1" s="517" t="s">
        <v>297</v>
      </c>
      <c r="B1" s="517"/>
      <c r="C1" s="517"/>
      <c r="D1" s="517"/>
      <c r="E1" s="517"/>
      <c r="F1" s="517"/>
      <c r="G1" s="60"/>
      <c r="H1" s="519" t="s">
        <v>298</v>
      </c>
      <c r="I1" s="519"/>
      <c r="J1" s="519"/>
      <c r="K1" s="519"/>
      <c r="L1" s="519"/>
      <c r="M1" s="519"/>
      <c r="O1" s="84"/>
      <c r="P1"/>
      <c r="Q1" s="517" t="s">
        <v>300</v>
      </c>
      <c r="R1" s="517"/>
      <c r="S1" s="517"/>
      <c r="T1" s="517"/>
      <c r="U1" s="517"/>
      <c r="V1" s="517"/>
      <c r="W1" s="60"/>
      <c r="X1" s="519" t="s">
        <v>301</v>
      </c>
      <c r="Y1" s="519"/>
      <c r="Z1" s="519"/>
      <c r="AA1" s="519"/>
      <c r="AB1" s="519"/>
      <c r="AC1" s="519"/>
    </row>
    <row r="2" spans="1:29" x14ac:dyDescent="0.55000000000000004">
      <c r="A2" s="59" t="s">
        <v>2</v>
      </c>
      <c r="B2" s="3">
        <v>8</v>
      </c>
      <c r="C2" s="164" t="s">
        <v>180</v>
      </c>
      <c r="D2" s="48" t="s">
        <v>99</v>
      </c>
      <c r="H2" s="59" t="s">
        <v>2</v>
      </c>
      <c r="I2" s="3"/>
      <c r="J2" s="164" t="s">
        <v>180</v>
      </c>
      <c r="K2" s="48" t="s">
        <v>99</v>
      </c>
      <c r="O2" s="85"/>
      <c r="Q2" s="59" t="s">
        <v>2</v>
      </c>
      <c r="R2" s="3"/>
      <c r="S2" s="38"/>
      <c r="T2" s="76"/>
      <c r="X2" s="59" t="s">
        <v>2</v>
      </c>
      <c r="Y2" s="3"/>
      <c r="Z2" s="38"/>
      <c r="AA2" s="76"/>
    </row>
    <row r="3" spans="1:29" ht="14.4" customHeight="1" thickBot="1" x14ac:dyDescent="0.6">
      <c r="A3" s="164" t="s">
        <v>89</v>
      </c>
      <c r="B3" s="20">
        <v>0</v>
      </c>
      <c r="C3" s="295" t="s">
        <v>229</v>
      </c>
      <c r="D3" s="70">
        <v>100</v>
      </c>
      <c r="E3" s="38" t="s">
        <v>14</v>
      </c>
      <c r="H3" s="164" t="s">
        <v>89</v>
      </c>
      <c r="I3" s="20">
        <v>0</v>
      </c>
      <c r="J3" s="296" t="s">
        <v>229</v>
      </c>
      <c r="K3" s="70">
        <v>100</v>
      </c>
      <c r="L3" s="38" t="s">
        <v>14</v>
      </c>
      <c r="O3" s="85"/>
      <c r="Q3" s="252" t="s">
        <v>89</v>
      </c>
      <c r="R3" s="20">
        <v>0</v>
      </c>
      <c r="S3" s="75"/>
      <c r="T3" s="76"/>
      <c r="X3" s="252" t="s">
        <v>89</v>
      </c>
      <c r="Y3" s="20">
        <v>0</v>
      </c>
      <c r="Z3" s="75"/>
      <c r="AA3" s="76"/>
    </row>
    <row r="4" spans="1:29" ht="14.4" customHeight="1" thickTop="1" thickBot="1" x14ac:dyDescent="0.6">
      <c r="A4" s="59" t="s">
        <v>3</v>
      </c>
      <c r="B4" s="71">
        <v>0.05</v>
      </c>
      <c r="C4" s="163">
        <v>0</v>
      </c>
      <c r="D4" s="73" t="s">
        <v>12</v>
      </c>
      <c r="H4" s="59" t="s">
        <v>3</v>
      </c>
      <c r="I4" s="71">
        <v>0.05</v>
      </c>
      <c r="J4" s="163">
        <v>0</v>
      </c>
      <c r="K4" s="73" t="s">
        <v>12</v>
      </c>
      <c r="O4" s="85"/>
      <c r="Q4" s="265" t="s">
        <v>88</v>
      </c>
      <c r="R4" s="70">
        <v>10</v>
      </c>
      <c r="S4" s="38" t="s">
        <v>14</v>
      </c>
      <c r="T4" s="74"/>
      <c r="X4" s="265" t="s">
        <v>88</v>
      </c>
      <c r="Y4" s="70">
        <v>10</v>
      </c>
      <c r="Z4" s="38" t="s">
        <v>14</v>
      </c>
      <c r="AA4" s="74"/>
    </row>
    <row r="5" spans="1:29" ht="14.7" thickTop="1" x14ac:dyDescent="0.55000000000000004">
      <c r="B5" s="51"/>
      <c r="C5" s="27"/>
      <c r="D5" s="5"/>
      <c r="H5" s="1"/>
      <c r="I5" s="51"/>
      <c r="J5" s="27"/>
      <c r="K5" s="5"/>
      <c r="O5" s="85"/>
      <c r="Q5" s="59" t="s">
        <v>3</v>
      </c>
      <c r="R5" s="71">
        <v>0.05</v>
      </c>
      <c r="S5" s="163">
        <v>0</v>
      </c>
      <c r="T5" s="73" t="s">
        <v>38</v>
      </c>
      <c r="X5" s="59" t="s">
        <v>3</v>
      </c>
      <c r="Y5" s="71">
        <v>0.05</v>
      </c>
      <c r="Z5" s="163">
        <v>0</v>
      </c>
      <c r="AA5" s="73" t="s">
        <v>38</v>
      </c>
    </row>
    <row r="6" spans="1:29" x14ac:dyDescent="0.55000000000000004">
      <c r="A6" s="235" t="s">
        <v>2</v>
      </c>
      <c r="B6" s="236">
        <f>B2*(1+B4)</f>
        <v>8.4</v>
      </c>
      <c r="C6" s="237">
        <f>B2*(1+C4)</f>
        <v>8</v>
      </c>
      <c r="D6" s="238" t="s">
        <v>7</v>
      </c>
      <c r="E6" s="64"/>
      <c r="F6" s="61" t="s">
        <v>222</v>
      </c>
      <c r="H6" s="235" t="s">
        <v>2</v>
      </c>
      <c r="I6" s="236">
        <f>I2*(1+I4)</f>
        <v>0</v>
      </c>
      <c r="J6" s="237">
        <f>I2*(1+J4)</f>
        <v>0</v>
      </c>
      <c r="K6" s="238" t="s">
        <v>7</v>
      </c>
      <c r="L6" s="64"/>
      <c r="M6" s="61" t="s">
        <v>222</v>
      </c>
      <c r="N6" s="1"/>
      <c r="O6" s="85"/>
      <c r="Q6" s="1"/>
      <c r="R6" s="51"/>
      <c r="S6" s="27"/>
      <c r="T6" s="5"/>
      <c r="X6" s="1"/>
      <c r="Y6" s="51"/>
      <c r="Z6" s="27"/>
      <c r="AA6" s="5"/>
    </row>
    <row r="7" spans="1:29" x14ac:dyDescent="0.55000000000000004">
      <c r="A7" s="65"/>
      <c r="B7" s="219"/>
      <c r="C7" s="220"/>
      <c r="D7" s="221"/>
      <c r="E7" s="64"/>
      <c r="F7" s="61"/>
      <c r="H7" s="65"/>
      <c r="I7" s="219"/>
      <c r="J7" s="220"/>
      <c r="K7" s="221"/>
      <c r="L7" s="64"/>
      <c r="M7" s="61"/>
      <c r="O7" s="85"/>
      <c r="Q7" s="235" t="s">
        <v>2</v>
      </c>
      <c r="R7" s="236">
        <f>R2*(1+R5)</f>
        <v>0</v>
      </c>
      <c r="S7" s="237">
        <f>R2*(1+S5)</f>
        <v>0</v>
      </c>
      <c r="T7" s="238" t="s">
        <v>7</v>
      </c>
      <c r="U7" s="64"/>
      <c r="V7" s="61" t="s">
        <v>117</v>
      </c>
      <c r="X7" s="235" t="s">
        <v>2</v>
      </c>
      <c r="Y7" s="236">
        <f>Y2*(1+Y5)</f>
        <v>0</v>
      </c>
      <c r="Z7" s="237">
        <f>Y2*(1+Z5)</f>
        <v>0</v>
      </c>
      <c r="AA7" s="238" t="s">
        <v>7</v>
      </c>
      <c r="AB7" s="64"/>
      <c r="AC7" s="61" t="s">
        <v>117</v>
      </c>
    </row>
    <row r="8" spans="1:29" ht="14.4" customHeight="1" x14ac:dyDescent="0.75">
      <c r="A8" s="65" t="s">
        <v>98</v>
      </c>
      <c r="B8" s="173">
        <f>B6*D8</f>
        <v>310.8</v>
      </c>
      <c r="C8" s="175">
        <f>C6*D8</f>
        <v>296</v>
      </c>
      <c r="D8" s="176">
        <f>D18-SUM(D9:D16)</f>
        <v>37</v>
      </c>
      <c r="E8" s="64" t="s">
        <v>10</v>
      </c>
      <c r="F8" s="61"/>
      <c r="H8" s="65" t="s">
        <v>98</v>
      </c>
      <c r="I8" s="173">
        <f>I6*K8</f>
        <v>0</v>
      </c>
      <c r="J8" s="175">
        <f>J6*K8</f>
        <v>0</v>
      </c>
      <c r="K8" s="176">
        <f>K18-SUM(K9:K16)</f>
        <v>37</v>
      </c>
      <c r="L8" s="64" t="s">
        <v>10</v>
      </c>
      <c r="M8" s="61"/>
      <c r="O8" s="85"/>
      <c r="Q8" s="65"/>
      <c r="R8" s="216"/>
      <c r="S8" s="217"/>
      <c r="T8" s="67"/>
      <c r="U8" s="64"/>
      <c r="V8" s="6"/>
      <c r="X8" s="65"/>
      <c r="Y8" s="64"/>
      <c r="Z8" s="66"/>
      <c r="AA8" s="67"/>
      <c r="AB8" s="64"/>
      <c r="AC8" s="6"/>
    </row>
    <row r="9" spans="1:29" ht="14.4" customHeight="1" x14ac:dyDescent="0.75">
      <c r="A9" s="65" t="s">
        <v>1</v>
      </c>
      <c r="B9" s="173">
        <f>B6*D9</f>
        <v>84</v>
      </c>
      <c r="C9" s="175">
        <f>C6*D9</f>
        <v>80</v>
      </c>
      <c r="D9" s="173">
        <f>D18/5</f>
        <v>10</v>
      </c>
      <c r="E9" s="64" t="s">
        <v>10</v>
      </c>
      <c r="F9" s="61" t="s">
        <v>87</v>
      </c>
      <c r="H9" s="65" t="s">
        <v>1</v>
      </c>
      <c r="I9" s="173">
        <f>I6*K9</f>
        <v>0</v>
      </c>
      <c r="J9" s="175">
        <f>J6*K9</f>
        <v>0</v>
      </c>
      <c r="K9" s="173">
        <f>K18/5</f>
        <v>10</v>
      </c>
      <c r="L9" s="64" t="s">
        <v>10</v>
      </c>
      <c r="M9" s="61" t="s">
        <v>87</v>
      </c>
      <c r="O9" s="85"/>
      <c r="Q9" s="65" t="s">
        <v>98</v>
      </c>
      <c r="R9" s="173">
        <f>R7*T9</f>
        <v>0</v>
      </c>
      <c r="S9" s="175">
        <f>S7*T9</f>
        <v>0</v>
      </c>
      <c r="T9" s="176">
        <f>T18-SUM(T10:T16)</f>
        <v>15.7</v>
      </c>
      <c r="U9" s="64" t="s">
        <v>10</v>
      </c>
      <c r="V9" s="6"/>
      <c r="X9" s="65" t="s">
        <v>98</v>
      </c>
      <c r="Y9" s="173">
        <f>Y7*AA9</f>
        <v>0</v>
      </c>
      <c r="Z9" s="175">
        <f>Z7*AA9</f>
        <v>0</v>
      </c>
      <c r="AA9" s="176">
        <f>AA18-SUM(AA10:AA16)</f>
        <v>15.7</v>
      </c>
      <c r="AB9" s="64" t="s">
        <v>10</v>
      </c>
      <c r="AC9" s="6"/>
    </row>
    <row r="10" spans="1:29" x14ac:dyDescent="0.55000000000000004">
      <c r="A10" s="65" t="s">
        <v>0</v>
      </c>
      <c r="B10" s="173">
        <f>B6*D10</f>
        <v>8.4</v>
      </c>
      <c r="C10" s="175">
        <f>C6*D10</f>
        <v>8</v>
      </c>
      <c r="D10" s="173">
        <f>D18*0.2/10</f>
        <v>1</v>
      </c>
      <c r="E10" s="64" t="s">
        <v>10</v>
      </c>
      <c r="F10" s="61" t="s">
        <v>115</v>
      </c>
      <c r="H10" s="65" t="s">
        <v>0</v>
      </c>
      <c r="I10" s="173">
        <f>I6*K10</f>
        <v>0</v>
      </c>
      <c r="J10" s="175">
        <f>J6*K10</f>
        <v>0</v>
      </c>
      <c r="K10" s="173">
        <f>K18*0.2/10</f>
        <v>1</v>
      </c>
      <c r="L10" s="64" t="s">
        <v>10</v>
      </c>
      <c r="M10" s="61" t="s">
        <v>115</v>
      </c>
      <c r="O10" s="85"/>
      <c r="Q10" s="65" t="s">
        <v>230</v>
      </c>
      <c r="R10" s="173">
        <f>R7*T10</f>
        <v>0</v>
      </c>
      <c r="S10" s="175">
        <f>S7*T10</f>
        <v>0</v>
      </c>
      <c r="T10" s="173">
        <f>T18/10</f>
        <v>2</v>
      </c>
      <c r="U10" s="64" t="s">
        <v>10</v>
      </c>
      <c r="V10" s="89" t="s">
        <v>87</v>
      </c>
      <c r="X10" s="65" t="s">
        <v>230</v>
      </c>
      <c r="Y10" s="173">
        <f>Y7*AA10</f>
        <v>0</v>
      </c>
      <c r="Z10" s="175">
        <f>Z7*AA10</f>
        <v>0</v>
      </c>
      <c r="AA10" s="173">
        <f>AA18/10</f>
        <v>2</v>
      </c>
      <c r="AB10" s="64" t="s">
        <v>10</v>
      </c>
      <c r="AC10" s="89" t="s">
        <v>87</v>
      </c>
    </row>
    <row r="11" spans="1:29" x14ac:dyDescent="0.55000000000000004">
      <c r="A11" s="248" t="s">
        <v>5</v>
      </c>
      <c r="B11" s="253">
        <f>B6*D11</f>
        <v>0</v>
      </c>
      <c r="C11" s="254">
        <f>C6*D11</f>
        <v>0</v>
      </c>
      <c r="D11" s="253">
        <f>D18*B3</f>
        <v>0</v>
      </c>
      <c r="E11" s="247" t="s">
        <v>10</v>
      </c>
      <c r="F11" s="61" t="s">
        <v>84</v>
      </c>
      <c r="H11" s="248" t="s">
        <v>5</v>
      </c>
      <c r="I11" s="253">
        <f>I6*K11</f>
        <v>0</v>
      </c>
      <c r="J11" s="254">
        <f>J6*K11</f>
        <v>0</v>
      </c>
      <c r="K11" s="253">
        <f>K18*I3</f>
        <v>0</v>
      </c>
      <c r="L11" s="247" t="s">
        <v>10</v>
      </c>
      <c r="M11" s="61" t="s">
        <v>84</v>
      </c>
      <c r="O11" s="85"/>
      <c r="Q11" s="65" t="s">
        <v>0</v>
      </c>
      <c r="R11" s="173">
        <f>R7*T11</f>
        <v>0</v>
      </c>
      <c r="S11" s="175">
        <f>S7*T11</f>
        <v>0</v>
      </c>
      <c r="T11" s="173">
        <f>T18*0.2/10</f>
        <v>0.4</v>
      </c>
      <c r="U11" s="64" t="s">
        <v>10</v>
      </c>
      <c r="V11" s="89" t="s">
        <v>83</v>
      </c>
      <c r="X11" s="65" t="s">
        <v>0</v>
      </c>
      <c r="Y11" s="173">
        <f>Y7*AA11</f>
        <v>0</v>
      </c>
      <c r="Z11" s="175">
        <f>Z7*AA11</f>
        <v>0</v>
      </c>
      <c r="AA11" s="173">
        <f>AA18*0.2/10</f>
        <v>0.4</v>
      </c>
      <c r="AB11" s="64" t="s">
        <v>10</v>
      </c>
      <c r="AC11" s="89" t="s">
        <v>83</v>
      </c>
    </row>
    <row r="12" spans="1:29" x14ac:dyDescent="0.55000000000000004">
      <c r="A12" s="248" t="s">
        <v>266</v>
      </c>
      <c r="B12" s="253">
        <f>B6*D12</f>
        <v>0</v>
      </c>
      <c r="C12" s="254">
        <f>C6*D12</f>
        <v>0</v>
      </c>
      <c r="D12" s="253">
        <f>IF(D2="yes",D18/5,0)</f>
        <v>0</v>
      </c>
      <c r="E12" s="247" t="s">
        <v>10</v>
      </c>
      <c r="F12" s="61" t="s">
        <v>87</v>
      </c>
      <c r="H12" s="248" t="s">
        <v>266</v>
      </c>
      <c r="I12" s="253">
        <f>I6*K12</f>
        <v>0</v>
      </c>
      <c r="J12" s="254">
        <f>J6*K12</f>
        <v>0</v>
      </c>
      <c r="K12" s="253">
        <f>IF(K2="yes",K18/5,0)</f>
        <v>0</v>
      </c>
      <c r="L12" s="247" t="s">
        <v>10</v>
      </c>
      <c r="M12" s="61" t="s">
        <v>87</v>
      </c>
      <c r="O12" s="85"/>
      <c r="Q12" s="248" t="s">
        <v>5</v>
      </c>
      <c r="R12" s="253">
        <f>R7*T12</f>
        <v>0</v>
      </c>
      <c r="S12" s="254">
        <f>S7*T12</f>
        <v>0</v>
      </c>
      <c r="T12" s="253">
        <f>T18*R3</f>
        <v>0</v>
      </c>
      <c r="U12" s="247" t="s">
        <v>10</v>
      </c>
      <c r="V12" s="89" t="s">
        <v>84</v>
      </c>
      <c r="X12" s="248" t="s">
        <v>5</v>
      </c>
      <c r="Y12" s="253">
        <f>Y7*AA12</f>
        <v>0</v>
      </c>
      <c r="Z12" s="254">
        <f>Z7*AA12</f>
        <v>0</v>
      </c>
      <c r="AA12" s="253">
        <f>AA18*Y3</f>
        <v>0</v>
      </c>
      <c r="AB12" s="247" t="s">
        <v>10</v>
      </c>
      <c r="AC12" s="90" t="s">
        <v>118</v>
      </c>
    </row>
    <row r="13" spans="1:29" x14ac:dyDescent="0.55000000000000004">
      <c r="A13" s="65" t="s">
        <v>227</v>
      </c>
      <c r="B13" s="173">
        <f>B6*D13</f>
        <v>4.2</v>
      </c>
      <c r="C13" s="175">
        <f>C6*D13</f>
        <v>4</v>
      </c>
      <c r="D13" s="173">
        <f>0.02*D18/2</f>
        <v>0.5</v>
      </c>
      <c r="E13" s="64" t="s">
        <v>10</v>
      </c>
      <c r="F13" s="88" t="s">
        <v>116</v>
      </c>
      <c r="H13" s="65" t="s">
        <v>114</v>
      </c>
      <c r="I13" s="173">
        <f>I6*K13</f>
        <v>0</v>
      </c>
      <c r="J13" s="175">
        <f>J6*K13</f>
        <v>0</v>
      </c>
      <c r="K13" s="173">
        <f>0.02*K18/2</f>
        <v>0.5</v>
      </c>
      <c r="L13" s="64" t="s">
        <v>10</v>
      </c>
      <c r="M13" s="88" t="s">
        <v>116</v>
      </c>
      <c r="O13" s="85"/>
      <c r="Q13" s="65" t="s">
        <v>231</v>
      </c>
      <c r="R13" s="173">
        <f>R7*T13</f>
        <v>0</v>
      </c>
      <c r="S13" s="175">
        <f>S7*T13</f>
        <v>0</v>
      </c>
      <c r="T13" s="173">
        <f>0.025*T18/5</f>
        <v>0.1</v>
      </c>
      <c r="U13" s="64" t="s">
        <v>10</v>
      </c>
      <c r="V13" s="90" t="s">
        <v>118</v>
      </c>
      <c r="X13" s="65" t="s">
        <v>231</v>
      </c>
      <c r="Y13" s="173">
        <f>Y7*AA13</f>
        <v>0</v>
      </c>
      <c r="Z13" s="175">
        <f>Z7*AA13</f>
        <v>0</v>
      </c>
      <c r="AA13" s="173">
        <f>0.025*AA18/5</f>
        <v>0.1</v>
      </c>
      <c r="AB13" s="64" t="s">
        <v>10</v>
      </c>
      <c r="AC13" s="89" t="s">
        <v>84</v>
      </c>
    </row>
    <row r="14" spans="1:29" x14ac:dyDescent="0.55000000000000004">
      <c r="A14" s="65" t="s">
        <v>111</v>
      </c>
      <c r="B14" s="173">
        <f>B6*D14</f>
        <v>2.1</v>
      </c>
      <c r="C14" s="175">
        <f>C6*D14</f>
        <v>2</v>
      </c>
      <c r="D14" s="173">
        <f>0.5*D18/D3</f>
        <v>0.25</v>
      </c>
      <c r="E14" s="64" t="s">
        <v>10</v>
      </c>
      <c r="F14" s="61" t="s">
        <v>85</v>
      </c>
      <c r="G14" s="50"/>
      <c r="H14" s="65" t="s">
        <v>111</v>
      </c>
      <c r="I14" s="173">
        <f>I6*K14</f>
        <v>0</v>
      </c>
      <c r="J14" s="175">
        <f>J6*K14</f>
        <v>0</v>
      </c>
      <c r="K14" s="173">
        <f>0.5*K18/K3</f>
        <v>0.25</v>
      </c>
      <c r="L14" s="64" t="s">
        <v>10</v>
      </c>
      <c r="M14" s="61" t="s">
        <v>85</v>
      </c>
      <c r="O14" s="85"/>
      <c r="Q14" s="65" t="s">
        <v>111</v>
      </c>
      <c r="R14" s="173">
        <f>R7*T14</f>
        <v>0</v>
      </c>
      <c r="S14" s="175">
        <f>S7*T14</f>
        <v>0</v>
      </c>
      <c r="T14" s="173">
        <f>T18*0.2/R4</f>
        <v>0.4</v>
      </c>
      <c r="U14" s="64" t="s">
        <v>10</v>
      </c>
      <c r="V14" s="89" t="s">
        <v>109</v>
      </c>
      <c r="X14" s="65" t="s">
        <v>111</v>
      </c>
      <c r="Y14" s="173">
        <f>Y7*AA14</f>
        <v>0</v>
      </c>
      <c r="Z14" s="175">
        <f>Z7*AA14</f>
        <v>0</v>
      </c>
      <c r="AA14" s="173">
        <f>AA18*0.2/Y4</f>
        <v>0.4</v>
      </c>
      <c r="AB14" s="64" t="s">
        <v>10</v>
      </c>
      <c r="AC14" s="89" t="s">
        <v>109</v>
      </c>
    </row>
    <row r="15" spans="1:29" x14ac:dyDescent="0.55000000000000004">
      <c r="A15" s="65" t="s">
        <v>112</v>
      </c>
      <c r="B15" s="173">
        <f>B6*D15</f>
        <v>2.1</v>
      </c>
      <c r="C15" s="175">
        <f>C6*D15</f>
        <v>2</v>
      </c>
      <c r="D15" s="173">
        <f>0.5*D18/D3</f>
        <v>0.25</v>
      </c>
      <c r="E15" s="64" t="s">
        <v>10</v>
      </c>
      <c r="F15" s="61" t="s">
        <v>85</v>
      </c>
      <c r="H15" s="65" t="s">
        <v>112</v>
      </c>
      <c r="I15" s="173">
        <f>I6*K15</f>
        <v>0</v>
      </c>
      <c r="J15" s="175">
        <f>J6*K15</f>
        <v>0</v>
      </c>
      <c r="K15" s="173">
        <f>0.5*K18/K3</f>
        <v>0.25</v>
      </c>
      <c r="L15" s="64" t="s">
        <v>10</v>
      </c>
      <c r="M15" s="61" t="s">
        <v>85</v>
      </c>
      <c r="O15" s="85"/>
      <c r="Q15" s="65" t="s">
        <v>112</v>
      </c>
      <c r="R15" s="173">
        <f>R7*T15</f>
        <v>0</v>
      </c>
      <c r="S15" s="175">
        <f>S7*T15</f>
        <v>0</v>
      </c>
      <c r="T15" s="173">
        <f>T18*0.2/R4</f>
        <v>0.4</v>
      </c>
      <c r="U15" s="64" t="s">
        <v>10</v>
      </c>
      <c r="V15" s="89" t="s">
        <v>109</v>
      </c>
      <c r="W15" s="50"/>
      <c r="X15" s="65" t="s">
        <v>112</v>
      </c>
      <c r="Y15" s="173">
        <f>Y7*AA15</f>
        <v>0</v>
      </c>
      <c r="Z15" s="175">
        <f>Z7*AA15</f>
        <v>0</v>
      </c>
      <c r="AA15" s="173">
        <f>AA18*0.2/Y4</f>
        <v>0.4</v>
      </c>
      <c r="AB15" s="64" t="s">
        <v>10</v>
      </c>
      <c r="AC15" s="89" t="s">
        <v>109</v>
      </c>
    </row>
    <row r="16" spans="1:29" x14ac:dyDescent="0.55000000000000004">
      <c r="A16" s="65" t="s">
        <v>110</v>
      </c>
      <c r="B16" s="173">
        <f>B6*D16</f>
        <v>8.4</v>
      </c>
      <c r="C16" s="175">
        <f>C6*D16</f>
        <v>8</v>
      </c>
      <c r="D16" s="177">
        <v>1</v>
      </c>
      <c r="E16" s="64" t="s">
        <v>10</v>
      </c>
      <c r="F16" s="61" t="s">
        <v>86</v>
      </c>
      <c r="H16" s="65" t="s">
        <v>110</v>
      </c>
      <c r="I16" s="173">
        <f>I6*K16</f>
        <v>0</v>
      </c>
      <c r="J16" s="175">
        <f>J6*K16</f>
        <v>0</v>
      </c>
      <c r="K16" s="177">
        <v>1</v>
      </c>
      <c r="L16" s="64" t="s">
        <v>10</v>
      </c>
      <c r="M16" s="61" t="s">
        <v>86</v>
      </c>
      <c r="O16" s="85"/>
      <c r="Q16" s="65" t="s">
        <v>113</v>
      </c>
      <c r="R16" s="173">
        <f>R7*T16</f>
        <v>0</v>
      </c>
      <c r="S16" s="175">
        <f>S7*T16</f>
        <v>0</v>
      </c>
      <c r="T16" s="177">
        <v>1</v>
      </c>
      <c r="U16" s="64" t="s">
        <v>10</v>
      </c>
      <c r="V16" s="89" t="s">
        <v>86</v>
      </c>
      <c r="X16" s="65" t="s">
        <v>113</v>
      </c>
      <c r="Y16" s="173">
        <f>Y7*AA16</f>
        <v>0</v>
      </c>
      <c r="Z16" s="175">
        <f>Z7*AA16</f>
        <v>0</v>
      </c>
      <c r="AA16" s="177">
        <v>1</v>
      </c>
      <c r="AB16" s="64" t="s">
        <v>10</v>
      </c>
      <c r="AC16" s="89" t="s">
        <v>86</v>
      </c>
    </row>
    <row r="17" spans="1:30" x14ac:dyDescent="0.55000000000000004">
      <c r="A17"/>
      <c r="B17" s="178"/>
      <c r="C17" s="179"/>
      <c r="D17" s="180"/>
      <c r="I17" s="178"/>
      <c r="J17" s="179"/>
      <c r="K17" s="180"/>
      <c r="O17" s="85"/>
      <c r="R17" s="178"/>
      <c r="S17" s="179"/>
      <c r="T17" s="180"/>
      <c r="V17" s="6"/>
      <c r="Y17" s="178"/>
      <c r="Z17" s="179"/>
      <c r="AA17" s="180"/>
      <c r="AC17" s="6"/>
    </row>
    <row r="18" spans="1:30" x14ac:dyDescent="0.55000000000000004">
      <c r="A18" s="68" t="s">
        <v>4</v>
      </c>
      <c r="B18" s="181">
        <f>SUM(B8:B16)</f>
        <v>420</v>
      </c>
      <c r="C18" s="182">
        <f>SUM(C8:C16)</f>
        <v>400</v>
      </c>
      <c r="D18" s="218">
        <v>50</v>
      </c>
      <c r="E18" s="56" t="s">
        <v>10</v>
      </c>
      <c r="H18" s="68" t="s">
        <v>4</v>
      </c>
      <c r="I18" s="181">
        <f>SUM(I8:I16)</f>
        <v>0</v>
      </c>
      <c r="J18" s="182">
        <f>SUM(J8:J16)</f>
        <v>0</v>
      </c>
      <c r="K18" s="218">
        <v>50</v>
      </c>
      <c r="L18" s="56" t="s">
        <v>10</v>
      </c>
      <c r="O18" s="85"/>
      <c r="Q18" s="68" t="s">
        <v>4</v>
      </c>
      <c r="R18" s="181">
        <f>SUM(R9:R16)</f>
        <v>0</v>
      </c>
      <c r="S18" s="182">
        <f>SUM(S9:S16)</f>
        <v>0</v>
      </c>
      <c r="T18" s="218">
        <v>20</v>
      </c>
      <c r="U18" s="56" t="s">
        <v>10</v>
      </c>
      <c r="X18" s="68" t="s">
        <v>4</v>
      </c>
      <c r="Y18" s="181">
        <f>SUM(Y9:Y16)</f>
        <v>0</v>
      </c>
      <c r="Z18" s="182">
        <f>SUM(Z9:Z16)</f>
        <v>0</v>
      </c>
      <c r="AA18" s="218">
        <v>20</v>
      </c>
      <c r="AB18" s="56" t="s">
        <v>10</v>
      </c>
    </row>
    <row r="19" spans="1:30" x14ac:dyDescent="0.55000000000000004">
      <c r="A19" s="68" t="s">
        <v>103</v>
      </c>
      <c r="B19" s="181">
        <f>SUM(B8:B15)</f>
        <v>411.6</v>
      </c>
      <c r="C19" s="182">
        <f>SUM(C8:C15)</f>
        <v>392</v>
      </c>
      <c r="D19" s="183">
        <f>SUM(D8:D15)</f>
        <v>49</v>
      </c>
      <c r="E19" s="56" t="s">
        <v>10</v>
      </c>
      <c r="H19" s="68" t="s">
        <v>103</v>
      </c>
      <c r="I19" s="181">
        <f>SUM(I8:I15)</f>
        <v>0</v>
      </c>
      <c r="J19" s="182">
        <f>SUM(J8:J15)</f>
        <v>0</v>
      </c>
      <c r="K19" s="183">
        <f>SUM(K8:K15)</f>
        <v>49</v>
      </c>
      <c r="L19" s="56" t="s">
        <v>10</v>
      </c>
      <c r="O19" s="85"/>
      <c r="Q19" s="68" t="s">
        <v>103</v>
      </c>
      <c r="R19" s="181">
        <f>SUM(R9:R15)</f>
        <v>0</v>
      </c>
      <c r="S19" s="182">
        <f>SUM(S9:S15)</f>
        <v>0</v>
      </c>
      <c r="T19" s="183">
        <f>SUM(T9:T15)</f>
        <v>18.999999999999996</v>
      </c>
      <c r="U19" s="56" t="s">
        <v>10</v>
      </c>
      <c r="X19" s="68" t="s">
        <v>103</v>
      </c>
      <c r="Y19" s="181">
        <f>SUM(Y9:Y15)</f>
        <v>0</v>
      </c>
      <c r="Z19" s="182">
        <f>SUM(Z9:Z15)</f>
        <v>0</v>
      </c>
      <c r="AA19" s="183">
        <f>SUM(AA9:AA15)</f>
        <v>18.999999999999996</v>
      </c>
      <c r="AB19" s="56" t="s">
        <v>10</v>
      </c>
    </row>
    <row r="20" spans="1:30" x14ac:dyDescent="0.55000000000000004">
      <c r="A20" s="68" t="s">
        <v>104</v>
      </c>
      <c r="B20" s="181">
        <f>SUM(B8:B13,B16)</f>
        <v>415.79999999999995</v>
      </c>
      <c r="C20" s="182">
        <f>SUM(C8:C13,C16)</f>
        <v>396</v>
      </c>
      <c r="D20" s="183">
        <f>SUM(D8:D13,D16)</f>
        <v>49.5</v>
      </c>
      <c r="E20" s="56" t="s">
        <v>10</v>
      </c>
      <c r="H20" s="68" t="s">
        <v>104</v>
      </c>
      <c r="I20" s="181">
        <f>SUM(I8:I13,I16)</f>
        <v>0</v>
      </c>
      <c r="J20" s="182">
        <f>SUM(J8:J13,J16)</f>
        <v>0</v>
      </c>
      <c r="K20" s="183">
        <f>SUM(K8:K13,K16)</f>
        <v>49.5</v>
      </c>
      <c r="L20" s="56" t="s">
        <v>10</v>
      </c>
      <c r="O20" s="85"/>
      <c r="Q20" s="68" t="s">
        <v>104</v>
      </c>
      <c r="R20" s="181">
        <f>SUM(R9:R13,R16)</f>
        <v>0</v>
      </c>
      <c r="S20" s="182">
        <f>SUM(S9:S13,S16)</f>
        <v>0</v>
      </c>
      <c r="T20" s="183">
        <f>SUM(T9:T13,T16)</f>
        <v>19.2</v>
      </c>
      <c r="U20" s="56" t="s">
        <v>10</v>
      </c>
      <c r="X20" s="68" t="s">
        <v>104</v>
      </c>
      <c r="Y20" s="181">
        <f>SUM(Y9:Y13,Y16)</f>
        <v>0</v>
      </c>
      <c r="Z20" s="182">
        <f>SUM(Z9:Z13,Z16)</f>
        <v>0</v>
      </c>
      <c r="AA20" s="183">
        <f>SUM(AA9:AA13,AA16)</f>
        <v>19.2</v>
      </c>
      <c r="AB20" s="56" t="s">
        <v>10</v>
      </c>
    </row>
    <row r="21" spans="1:30" x14ac:dyDescent="0.55000000000000004">
      <c r="A21" s="68" t="s">
        <v>105</v>
      </c>
      <c r="B21" s="181">
        <f>SUM(B8:B13)</f>
        <v>407.4</v>
      </c>
      <c r="C21" s="182">
        <f>SUM(C8:C13)</f>
        <v>388</v>
      </c>
      <c r="D21" s="183">
        <f>SUM(D8:D13)</f>
        <v>48.5</v>
      </c>
      <c r="E21" s="56" t="s">
        <v>10</v>
      </c>
      <c r="H21" s="68" t="s">
        <v>105</v>
      </c>
      <c r="I21" s="181">
        <f>SUM(I8:I13)</f>
        <v>0</v>
      </c>
      <c r="J21" s="182">
        <f>SUM(J8:J13)</f>
        <v>0</v>
      </c>
      <c r="K21" s="183">
        <f>SUM(K8:K13)</f>
        <v>48.5</v>
      </c>
      <c r="L21" s="56" t="s">
        <v>10</v>
      </c>
      <c r="O21" s="85"/>
      <c r="Q21" s="68" t="s">
        <v>105</v>
      </c>
      <c r="R21" s="181">
        <f>SUM(R9:R13)</f>
        <v>0</v>
      </c>
      <c r="S21" s="182">
        <f>SUM(S9:S13)</f>
        <v>0</v>
      </c>
      <c r="T21" s="183">
        <f>SUM(T9:T13)</f>
        <v>18.2</v>
      </c>
      <c r="U21" s="56" t="s">
        <v>10</v>
      </c>
      <c r="X21" s="68" t="s">
        <v>105</v>
      </c>
      <c r="Y21" s="181">
        <f>SUM(Y9:Y13)</f>
        <v>0</v>
      </c>
      <c r="Z21" s="182">
        <f>SUM(Z9:Z13)</f>
        <v>0</v>
      </c>
      <c r="AA21" s="183">
        <f>SUM(AA9:AA13)</f>
        <v>18.2</v>
      </c>
      <c r="AB21" s="56" t="s">
        <v>10</v>
      </c>
    </row>
    <row r="22" spans="1:30" x14ac:dyDescent="0.55000000000000004">
      <c r="O22" s="85"/>
      <c r="Q22" s="1"/>
    </row>
    <row r="23" spans="1:30" x14ac:dyDescent="0.55000000000000004">
      <c r="H23" s="1"/>
      <c r="M23" s="38"/>
      <c r="N23" s="83"/>
      <c r="O23" s="85"/>
      <c r="Q23" s="1"/>
      <c r="X23" s="1"/>
    </row>
    <row r="24" spans="1:30" x14ac:dyDescent="0.55000000000000004">
      <c r="D24" s="25" t="s">
        <v>60</v>
      </c>
      <c r="H24" s="1"/>
      <c r="K24" s="25" t="s">
        <v>60</v>
      </c>
      <c r="M24" s="38"/>
      <c r="N24" s="83"/>
      <c r="O24" s="85"/>
      <c r="Q24" s="1"/>
      <c r="T24" s="25" t="s">
        <v>60</v>
      </c>
      <c r="X24" s="1"/>
    </row>
    <row r="25" spans="1:30" ht="17.399999999999999" x14ac:dyDescent="0.75">
      <c r="A25" s="166"/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83"/>
      <c r="O25" s="85"/>
      <c r="Q25" s="167"/>
      <c r="R25" s="167"/>
      <c r="S25" s="167"/>
      <c r="T25" s="167"/>
      <c r="U25" s="167"/>
      <c r="V25" s="167"/>
      <c r="X25" s="1"/>
    </row>
    <row r="26" spans="1:30" s="82" customFormat="1" ht="22.2" customHeight="1" x14ac:dyDescent="0.75">
      <c r="A26" s="516" t="s">
        <v>299</v>
      </c>
      <c r="B26" s="516"/>
      <c r="C26" s="516"/>
      <c r="D26" s="516"/>
      <c r="E26" s="516"/>
      <c r="F26" s="516"/>
      <c r="G26" s="60"/>
      <c r="H26" s="518" t="s">
        <v>228</v>
      </c>
      <c r="I26" s="518"/>
      <c r="J26" s="518"/>
      <c r="K26" s="518"/>
      <c r="L26" s="518"/>
      <c r="M26" s="518"/>
      <c r="N26" s="83"/>
      <c r="O26" s="86"/>
      <c r="P26"/>
      <c r="Q26" s="516" t="s">
        <v>302</v>
      </c>
      <c r="R26" s="516"/>
      <c r="S26" s="516"/>
      <c r="T26" s="516"/>
      <c r="U26" s="516"/>
      <c r="V26" s="516"/>
      <c r="W26" s="167"/>
      <c r="X26" s="518" t="s">
        <v>119</v>
      </c>
      <c r="Y26" s="518"/>
      <c r="Z26" s="518"/>
      <c r="AA26" s="518"/>
      <c r="AB26" s="518"/>
      <c r="AC26" s="518"/>
    </row>
    <row r="27" spans="1:30" s="23" customFormat="1" ht="14.4" customHeight="1" x14ac:dyDescent="0.55000000000000004">
      <c r="A27" s="59" t="s">
        <v>2</v>
      </c>
      <c r="B27" s="3"/>
      <c r="C27" s="164" t="s">
        <v>180</v>
      </c>
      <c r="D27" s="48" t="s">
        <v>99</v>
      </c>
      <c r="E27"/>
      <c r="F27"/>
      <c r="G27"/>
      <c r="H27" s="59" t="s">
        <v>2</v>
      </c>
      <c r="I27" s="3"/>
      <c r="J27" s="164" t="s">
        <v>180</v>
      </c>
      <c r="K27" s="48" t="s">
        <v>99</v>
      </c>
      <c r="L27"/>
      <c r="M27"/>
      <c r="N27" s="83"/>
      <c r="O27" s="84"/>
      <c r="P27"/>
      <c r="Q27" s="59" t="s">
        <v>2</v>
      </c>
      <c r="R27" s="3"/>
      <c r="S27" s="38"/>
      <c r="T27" s="76"/>
      <c r="U27"/>
      <c r="V27"/>
      <c r="W27" s="60"/>
      <c r="X27" s="59" t="s">
        <v>2</v>
      </c>
      <c r="Y27" s="3"/>
      <c r="Z27" s="38"/>
      <c r="AA27" s="76"/>
      <c r="AB27"/>
      <c r="AC27"/>
      <c r="AD27"/>
    </row>
    <row r="28" spans="1:30" ht="14.7" thickBot="1" x14ac:dyDescent="0.6">
      <c r="A28" s="164" t="s">
        <v>89</v>
      </c>
      <c r="B28" s="20">
        <v>0</v>
      </c>
      <c r="C28" s="295" t="s">
        <v>229</v>
      </c>
      <c r="D28" s="70">
        <v>100</v>
      </c>
      <c r="E28" s="38" t="s">
        <v>14</v>
      </c>
      <c r="H28" s="164" t="s">
        <v>89</v>
      </c>
      <c r="I28" s="20">
        <v>0</v>
      </c>
      <c r="J28" s="295" t="s">
        <v>229</v>
      </c>
      <c r="K28" s="70">
        <v>100</v>
      </c>
      <c r="L28" s="38" t="s">
        <v>14</v>
      </c>
      <c r="N28" s="83"/>
      <c r="O28" s="85"/>
      <c r="Q28" s="252" t="s">
        <v>89</v>
      </c>
      <c r="R28" s="20">
        <v>0</v>
      </c>
      <c r="S28" s="75"/>
      <c r="T28" s="76"/>
      <c r="X28" s="252" t="s">
        <v>89</v>
      </c>
      <c r="Y28" s="20">
        <v>0</v>
      </c>
      <c r="Z28" s="75"/>
      <c r="AA28" s="76"/>
    </row>
    <row r="29" spans="1:30" ht="15" thickTop="1" thickBot="1" x14ac:dyDescent="0.6">
      <c r="A29" s="59" t="s">
        <v>3</v>
      </c>
      <c r="B29" s="71">
        <v>0.05</v>
      </c>
      <c r="C29" s="163">
        <v>0</v>
      </c>
      <c r="D29" s="73" t="s">
        <v>12</v>
      </c>
      <c r="H29" s="59" t="s">
        <v>3</v>
      </c>
      <c r="I29" s="71">
        <v>0.05</v>
      </c>
      <c r="J29" s="163">
        <v>0</v>
      </c>
      <c r="K29" s="73" t="s">
        <v>12</v>
      </c>
      <c r="N29" s="83"/>
      <c r="O29" s="85"/>
      <c r="Q29" s="265" t="s">
        <v>88</v>
      </c>
      <c r="R29" s="70">
        <v>10</v>
      </c>
      <c r="S29" s="38" t="s">
        <v>14</v>
      </c>
      <c r="T29" s="74"/>
      <c r="X29" s="265" t="s">
        <v>88</v>
      </c>
      <c r="Y29" s="70">
        <v>10</v>
      </c>
      <c r="Z29" s="38" t="s">
        <v>14</v>
      </c>
      <c r="AA29" s="74"/>
    </row>
    <row r="30" spans="1:30" ht="15" customHeight="1" thickTop="1" x14ac:dyDescent="0.55000000000000004">
      <c r="B30" s="51"/>
      <c r="C30" s="27"/>
      <c r="D30" s="5"/>
      <c r="H30" s="1"/>
      <c r="I30" s="51"/>
      <c r="J30" s="27"/>
      <c r="K30" s="5"/>
      <c r="N30" s="83"/>
      <c r="O30" s="85"/>
      <c r="Q30" s="59" t="s">
        <v>3</v>
      </c>
      <c r="R30" s="71">
        <v>0.05</v>
      </c>
      <c r="S30" s="72">
        <v>0</v>
      </c>
      <c r="T30" s="73" t="s">
        <v>38</v>
      </c>
      <c r="X30" s="59" t="s">
        <v>3</v>
      </c>
      <c r="Y30" s="71">
        <v>0.05</v>
      </c>
      <c r="Z30" s="163">
        <v>0</v>
      </c>
      <c r="AA30" s="73" t="s">
        <v>38</v>
      </c>
    </row>
    <row r="31" spans="1:30" x14ac:dyDescent="0.55000000000000004">
      <c r="A31" s="235" t="s">
        <v>2</v>
      </c>
      <c r="B31" s="236">
        <f>B27*(1+B29)</f>
        <v>0</v>
      </c>
      <c r="C31" s="237">
        <f>B27*(1+C29)</f>
        <v>0</v>
      </c>
      <c r="D31" s="238" t="s">
        <v>7</v>
      </c>
      <c r="E31" s="64"/>
      <c r="F31" s="61" t="s">
        <v>222</v>
      </c>
      <c r="H31" s="235" t="s">
        <v>2</v>
      </c>
      <c r="I31" s="236">
        <f>I27*(1+I29)</f>
        <v>0</v>
      </c>
      <c r="J31" s="237">
        <f>I27*(1+J29)</f>
        <v>0</v>
      </c>
      <c r="K31" s="238" t="s">
        <v>7</v>
      </c>
      <c r="L31" s="64"/>
      <c r="M31" s="61" t="s">
        <v>222</v>
      </c>
      <c r="N31" s="83"/>
      <c r="O31" s="85"/>
      <c r="Q31" s="1"/>
      <c r="R31" s="51"/>
      <c r="S31" s="27"/>
      <c r="T31" s="5"/>
      <c r="X31" s="1"/>
      <c r="Y31" s="51"/>
      <c r="Z31" s="27"/>
      <c r="AA31" s="5"/>
    </row>
    <row r="32" spans="1:30" x14ac:dyDescent="0.55000000000000004">
      <c r="A32" s="65"/>
      <c r="B32" s="219"/>
      <c r="C32" s="220"/>
      <c r="D32" s="221"/>
      <c r="E32" s="64"/>
      <c r="F32" s="61"/>
      <c r="H32" s="65"/>
      <c r="I32" s="219"/>
      <c r="J32" s="220"/>
      <c r="K32" s="221"/>
      <c r="L32" s="64"/>
      <c r="M32" s="61"/>
      <c r="N32" s="83"/>
      <c r="O32" s="85"/>
      <c r="Q32" s="235" t="s">
        <v>2</v>
      </c>
      <c r="R32" s="236">
        <f>R27*(1+R30)</f>
        <v>0</v>
      </c>
      <c r="S32" s="237">
        <f>R27*(1+S30)</f>
        <v>0</v>
      </c>
      <c r="T32" s="238" t="s">
        <v>7</v>
      </c>
      <c r="U32" s="64"/>
      <c r="V32" s="61" t="s">
        <v>117</v>
      </c>
      <c r="X32" s="235" t="s">
        <v>2</v>
      </c>
      <c r="Y32" s="236">
        <f>Y27*(1+Y30)</f>
        <v>0</v>
      </c>
      <c r="Z32" s="237">
        <f>Y27*(1+Z30)</f>
        <v>0</v>
      </c>
      <c r="AA32" s="238" t="s">
        <v>7</v>
      </c>
      <c r="AB32" s="64"/>
      <c r="AC32" s="61" t="s">
        <v>117</v>
      </c>
    </row>
    <row r="33" spans="1:30" ht="16.8" x14ac:dyDescent="0.75">
      <c r="A33" s="65" t="s">
        <v>98</v>
      </c>
      <c r="B33" s="173">
        <f>B31*D33</f>
        <v>0</v>
      </c>
      <c r="C33" s="175">
        <f>C31*D33</f>
        <v>0</v>
      </c>
      <c r="D33" s="176">
        <f>D43-SUM(D34:D41)</f>
        <v>37</v>
      </c>
      <c r="E33" s="64" t="s">
        <v>10</v>
      </c>
      <c r="F33" s="61"/>
      <c r="H33" s="65" t="s">
        <v>98</v>
      </c>
      <c r="I33" s="173">
        <f>I31*K33</f>
        <v>0</v>
      </c>
      <c r="J33" s="175">
        <f>J31*K33</f>
        <v>0</v>
      </c>
      <c r="K33" s="176">
        <f>K43-SUM(K34:K41)</f>
        <v>14.2</v>
      </c>
      <c r="L33" s="64" t="s">
        <v>10</v>
      </c>
      <c r="M33" s="61"/>
      <c r="N33" s="83"/>
      <c r="O33" s="85"/>
      <c r="Q33" s="65"/>
      <c r="R33" s="64"/>
      <c r="S33" s="66"/>
      <c r="T33" s="67"/>
      <c r="U33" s="64"/>
      <c r="V33" s="6"/>
      <c r="X33" s="65"/>
      <c r="Y33" s="216"/>
      <c r="Z33" s="217"/>
      <c r="AA33" s="67"/>
      <c r="AB33" s="64"/>
      <c r="AC33" s="6"/>
    </row>
    <row r="34" spans="1:30" ht="14.4" customHeight="1" x14ac:dyDescent="0.75">
      <c r="A34" s="65" t="s">
        <v>1</v>
      </c>
      <c r="B34" s="173">
        <f>B31*D34</f>
        <v>0</v>
      </c>
      <c r="C34" s="175">
        <f>C31*D34</f>
        <v>0</v>
      </c>
      <c r="D34" s="173">
        <f>D43/5</f>
        <v>10</v>
      </c>
      <c r="E34" s="64" t="s">
        <v>10</v>
      </c>
      <c r="F34" s="61" t="s">
        <v>87</v>
      </c>
      <c r="H34" s="65" t="s">
        <v>1</v>
      </c>
      <c r="I34" s="173">
        <f>I31*K34</f>
        <v>0</v>
      </c>
      <c r="J34" s="175">
        <f>J31*K34</f>
        <v>0</v>
      </c>
      <c r="K34" s="173">
        <f>K43/5</f>
        <v>4</v>
      </c>
      <c r="L34" s="64" t="s">
        <v>10</v>
      </c>
      <c r="M34" s="61" t="s">
        <v>87</v>
      </c>
      <c r="N34" s="83"/>
      <c r="O34" s="85"/>
      <c r="Q34" s="65" t="s">
        <v>98</v>
      </c>
      <c r="R34" s="173">
        <f>R32*T34</f>
        <v>0</v>
      </c>
      <c r="S34" s="175">
        <f>S32*T34</f>
        <v>0</v>
      </c>
      <c r="T34" s="176">
        <f>T43-SUM(T35:T41)</f>
        <v>15.7</v>
      </c>
      <c r="U34" s="64" t="s">
        <v>10</v>
      </c>
      <c r="V34" s="6"/>
      <c r="X34" s="65" t="s">
        <v>98</v>
      </c>
      <c r="Y34" s="173">
        <f>Y32*AA34</f>
        <v>0</v>
      </c>
      <c r="Z34" s="175">
        <f>Z32*AA34</f>
        <v>0</v>
      </c>
      <c r="AA34" s="176">
        <f>AA44-SUM(AA35:AA42)</f>
        <v>15.7</v>
      </c>
      <c r="AB34" s="64" t="s">
        <v>10</v>
      </c>
      <c r="AC34" s="6"/>
    </row>
    <row r="35" spans="1:30" x14ac:dyDescent="0.55000000000000004">
      <c r="A35" s="65" t="s">
        <v>0</v>
      </c>
      <c r="B35" s="173">
        <f>B31*D35</f>
        <v>0</v>
      </c>
      <c r="C35" s="175">
        <f>C31*D35</f>
        <v>0</v>
      </c>
      <c r="D35" s="173">
        <f>D43*0.2/10</f>
        <v>1</v>
      </c>
      <c r="E35" s="64" t="s">
        <v>10</v>
      </c>
      <c r="F35" s="61" t="s">
        <v>115</v>
      </c>
      <c r="H35" s="65" t="s">
        <v>0</v>
      </c>
      <c r="I35" s="173">
        <f>I31*K35</f>
        <v>0</v>
      </c>
      <c r="J35" s="175">
        <f>J31*K35</f>
        <v>0</v>
      </c>
      <c r="K35" s="169">
        <f>K43*0.2/10</f>
        <v>0.4</v>
      </c>
      <c r="L35" s="64" t="s">
        <v>10</v>
      </c>
      <c r="M35" s="61" t="s">
        <v>115</v>
      </c>
      <c r="N35" s="83"/>
      <c r="O35" s="85"/>
      <c r="Q35" s="65" t="s">
        <v>230</v>
      </c>
      <c r="R35" s="173">
        <f>R32*T35</f>
        <v>0</v>
      </c>
      <c r="S35" s="175">
        <f>S32*T35</f>
        <v>0</v>
      </c>
      <c r="T35" s="173">
        <f>T43/10</f>
        <v>2</v>
      </c>
      <c r="U35" s="64" t="s">
        <v>10</v>
      </c>
      <c r="V35" s="89" t="s">
        <v>87</v>
      </c>
      <c r="X35" s="65" t="s">
        <v>230</v>
      </c>
      <c r="Y35" s="173">
        <f>Y32*AA35</f>
        <v>0</v>
      </c>
      <c r="Z35" s="175">
        <f>Z32*AA35</f>
        <v>0</v>
      </c>
      <c r="AA35" s="173">
        <f>AA44/10</f>
        <v>2</v>
      </c>
      <c r="AB35" s="64" t="s">
        <v>10</v>
      </c>
      <c r="AC35" s="89" t="s">
        <v>87</v>
      </c>
    </row>
    <row r="36" spans="1:30" x14ac:dyDescent="0.55000000000000004">
      <c r="A36" s="248" t="s">
        <v>5</v>
      </c>
      <c r="B36" s="253">
        <f>B31*D36</f>
        <v>0</v>
      </c>
      <c r="C36" s="254">
        <f>C31*D36</f>
        <v>0</v>
      </c>
      <c r="D36" s="253">
        <f>D43*B28</f>
        <v>0</v>
      </c>
      <c r="E36" s="247" t="s">
        <v>10</v>
      </c>
      <c r="F36" s="61" t="s">
        <v>84</v>
      </c>
      <c r="H36" s="65" t="s">
        <v>5</v>
      </c>
      <c r="I36" s="173">
        <f>I31*K36</f>
        <v>0</v>
      </c>
      <c r="J36" s="175">
        <f>J31*K36</f>
        <v>0</v>
      </c>
      <c r="K36" s="173">
        <f>K43*I28</f>
        <v>0</v>
      </c>
      <c r="L36" s="247" t="s">
        <v>10</v>
      </c>
      <c r="M36" s="61" t="s">
        <v>84</v>
      </c>
      <c r="N36" s="83"/>
      <c r="O36" s="85"/>
      <c r="Q36" s="65" t="s">
        <v>0</v>
      </c>
      <c r="R36" s="173">
        <f>R32*T36</f>
        <v>0</v>
      </c>
      <c r="S36" s="175">
        <f>S32*T36</f>
        <v>0</v>
      </c>
      <c r="T36" s="173">
        <f>T43*0.2/10</f>
        <v>0.4</v>
      </c>
      <c r="U36" s="64" t="s">
        <v>10</v>
      </c>
      <c r="V36" s="89" t="s">
        <v>83</v>
      </c>
      <c r="X36" s="65" t="s">
        <v>0</v>
      </c>
      <c r="Y36" s="173">
        <f>Y32*AA36</f>
        <v>0</v>
      </c>
      <c r="Z36" s="175">
        <f>Z32*AA36</f>
        <v>0</v>
      </c>
      <c r="AA36" s="169">
        <f>AA44*0.2/10</f>
        <v>0.4</v>
      </c>
      <c r="AB36" s="64" t="s">
        <v>10</v>
      </c>
      <c r="AC36" s="89" t="s">
        <v>83</v>
      </c>
    </row>
    <row r="37" spans="1:30" x14ac:dyDescent="0.55000000000000004">
      <c r="A37" s="248" t="s">
        <v>266</v>
      </c>
      <c r="B37" s="253">
        <f>B31*D37</f>
        <v>0</v>
      </c>
      <c r="C37" s="254">
        <f>C31*D37</f>
        <v>0</v>
      </c>
      <c r="D37" s="253">
        <f>IF(D27="yes",D43/5,0)</f>
        <v>0</v>
      </c>
      <c r="E37" s="247" t="s">
        <v>10</v>
      </c>
      <c r="F37" s="61" t="s">
        <v>87</v>
      </c>
      <c r="H37" s="65" t="s">
        <v>266</v>
      </c>
      <c r="I37" s="173">
        <f>I31*K37</f>
        <v>0</v>
      </c>
      <c r="J37" s="175">
        <f>J31*K37</f>
        <v>0</v>
      </c>
      <c r="K37" s="169">
        <f>IF(K27="yes",K43/5,0)</f>
        <v>0</v>
      </c>
      <c r="L37" s="247" t="s">
        <v>10</v>
      </c>
      <c r="M37" s="61" t="s">
        <v>87</v>
      </c>
      <c r="N37" s="83"/>
      <c r="O37" s="85"/>
      <c r="Q37" s="65" t="s">
        <v>231</v>
      </c>
      <c r="R37" s="173">
        <f>R32*T37</f>
        <v>0</v>
      </c>
      <c r="S37" s="175">
        <f>S32*T37</f>
        <v>0</v>
      </c>
      <c r="T37" s="173">
        <f>0.025*T43/5</f>
        <v>0.1</v>
      </c>
      <c r="U37" s="64" t="s">
        <v>10</v>
      </c>
      <c r="V37" s="90" t="s">
        <v>118</v>
      </c>
      <c r="X37" s="65" t="s">
        <v>5</v>
      </c>
      <c r="Y37" s="173">
        <f>Y32*AA37</f>
        <v>0</v>
      </c>
      <c r="Z37" s="175">
        <f>Z32*AA37</f>
        <v>0</v>
      </c>
      <c r="AA37" s="173">
        <f>AA44*Y28</f>
        <v>0</v>
      </c>
      <c r="AB37" s="64" t="s">
        <v>10</v>
      </c>
      <c r="AC37" s="89" t="s">
        <v>84</v>
      </c>
    </row>
    <row r="38" spans="1:30" ht="16.8" x14ac:dyDescent="0.75">
      <c r="A38" s="65" t="s">
        <v>114</v>
      </c>
      <c r="B38" s="173">
        <f>B31*D38</f>
        <v>0</v>
      </c>
      <c r="C38" s="175">
        <f>C31*D38</f>
        <v>0</v>
      </c>
      <c r="D38" s="173">
        <f>0.02*D43/2</f>
        <v>0.5</v>
      </c>
      <c r="E38" s="64" t="s">
        <v>10</v>
      </c>
      <c r="F38" s="88" t="s">
        <v>116</v>
      </c>
      <c r="H38" s="65" t="s">
        <v>114</v>
      </c>
      <c r="I38" s="173">
        <f>I31*K38</f>
        <v>0</v>
      </c>
      <c r="J38" s="175">
        <f>J31*K38</f>
        <v>0</v>
      </c>
      <c r="K38" s="169">
        <f>0.02*K43/2</f>
        <v>0.2</v>
      </c>
      <c r="L38" s="64" t="s">
        <v>10</v>
      </c>
      <c r="M38" s="88" t="s">
        <v>116</v>
      </c>
      <c r="N38" s="83"/>
      <c r="O38" s="85"/>
      <c r="Q38" s="248" t="s">
        <v>5</v>
      </c>
      <c r="R38" s="253">
        <f>R32*T38</f>
        <v>0</v>
      </c>
      <c r="S38" s="254">
        <f>S32*T38</f>
        <v>0</v>
      </c>
      <c r="T38" s="253">
        <f>T43*R28</f>
        <v>0</v>
      </c>
      <c r="U38" s="247" t="s">
        <v>10</v>
      </c>
      <c r="V38" s="89" t="s">
        <v>84</v>
      </c>
      <c r="X38" s="65" t="s">
        <v>232</v>
      </c>
      <c r="Y38" s="173">
        <f>Y32*AA38</f>
        <v>0</v>
      </c>
      <c r="Z38" s="175">
        <f>Z32*AA38</f>
        <v>0</v>
      </c>
      <c r="AA38" s="169">
        <v>0</v>
      </c>
      <c r="AB38" s="64" t="s">
        <v>10</v>
      </c>
      <c r="AC38" s="89"/>
    </row>
    <row r="39" spans="1:30" x14ac:dyDescent="0.55000000000000004">
      <c r="A39" s="65" t="s">
        <v>111</v>
      </c>
      <c r="B39" s="173">
        <f>B31*D39</f>
        <v>0</v>
      </c>
      <c r="C39" s="175">
        <f>C31*D39</f>
        <v>0</v>
      </c>
      <c r="D39" s="173">
        <f>0.5*D43/D28</f>
        <v>0.25</v>
      </c>
      <c r="E39" s="64" t="s">
        <v>10</v>
      </c>
      <c r="F39" s="61" t="s">
        <v>85</v>
      </c>
      <c r="G39" s="50"/>
      <c r="H39" s="65" t="s">
        <v>111</v>
      </c>
      <c r="I39" s="173">
        <f>I31*K39</f>
        <v>0</v>
      </c>
      <c r="J39" s="175">
        <f>J31*K39</f>
        <v>0</v>
      </c>
      <c r="K39" s="169">
        <f>0.5*K43/K28</f>
        <v>0.1</v>
      </c>
      <c r="L39" s="64" t="s">
        <v>10</v>
      </c>
      <c r="M39" s="61" t="s">
        <v>85</v>
      </c>
      <c r="N39" s="83"/>
      <c r="O39" s="85"/>
      <c r="Q39" s="65" t="s">
        <v>111</v>
      </c>
      <c r="R39" s="173">
        <f>R32*T39</f>
        <v>0</v>
      </c>
      <c r="S39" s="175">
        <f>S32*T39</f>
        <v>0</v>
      </c>
      <c r="T39" s="173">
        <f>T43*0.2/R29</f>
        <v>0.4</v>
      </c>
      <c r="U39" s="64" t="s">
        <v>10</v>
      </c>
      <c r="V39" s="89" t="s">
        <v>109</v>
      </c>
      <c r="X39" s="65" t="s">
        <v>231</v>
      </c>
      <c r="Y39" s="173">
        <f>Y32*AA39</f>
        <v>0</v>
      </c>
      <c r="Z39" s="175">
        <f>Z32*AA39</f>
        <v>0</v>
      </c>
      <c r="AA39" s="266">
        <f>0.025*AA44/5</f>
        <v>0.1</v>
      </c>
      <c r="AB39" s="64" t="s">
        <v>10</v>
      </c>
      <c r="AC39" s="90" t="s">
        <v>118</v>
      </c>
    </row>
    <row r="40" spans="1:30" x14ac:dyDescent="0.55000000000000004">
      <c r="A40" s="65" t="s">
        <v>112</v>
      </c>
      <c r="B40" s="173">
        <f>B31*D40</f>
        <v>0</v>
      </c>
      <c r="C40" s="175">
        <f>C31*D40</f>
        <v>0</v>
      </c>
      <c r="D40" s="173">
        <f>0.5*D43/D28</f>
        <v>0.25</v>
      </c>
      <c r="E40" s="64" t="s">
        <v>10</v>
      </c>
      <c r="F40" s="61" t="s">
        <v>85</v>
      </c>
      <c r="H40" s="65" t="s">
        <v>112</v>
      </c>
      <c r="I40" s="173">
        <f>I31*K40</f>
        <v>0</v>
      </c>
      <c r="J40" s="175">
        <f>J31*K40</f>
        <v>0</v>
      </c>
      <c r="K40" s="169">
        <f>0.5*K43/K28</f>
        <v>0.1</v>
      </c>
      <c r="L40" s="64" t="s">
        <v>10</v>
      </c>
      <c r="M40" s="61" t="s">
        <v>85</v>
      </c>
      <c r="N40" s="83"/>
      <c r="O40" s="85"/>
      <c r="Q40" s="65" t="s">
        <v>112</v>
      </c>
      <c r="R40" s="173">
        <f>R32*T40</f>
        <v>0</v>
      </c>
      <c r="S40" s="175">
        <f>S32*T40</f>
        <v>0</v>
      </c>
      <c r="T40" s="173">
        <f>T43*0.2/R29</f>
        <v>0.4</v>
      </c>
      <c r="U40" s="64" t="s">
        <v>10</v>
      </c>
      <c r="V40" s="89" t="s">
        <v>109</v>
      </c>
      <c r="W40" s="50"/>
      <c r="X40" s="65" t="s">
        <v>111</v>
      </c>
      <c r="Y40" s="173">
        <f>Y32*AA40</f>
        <v>0</v>
      </c>
      <c r="Z40" s="175">
        <f>Z32*AA40</f>
        <v>0</v>
      </c>
      <c r="AA40" s="266">
        <f>AA44*0.2/Y29</f>
        <v>0.4</v>
      </c>
      <c r="AB40" s="64" t="s">
        <v>10</v>
      </c>
      <c r="AC40" s="89" t="s">
        <v>109</v>
      </c>
    </row>
    <row r="41" spans="1:30" x14ac:dyDescent="0.55000000000000004">
      <c r="A41" s="65" t="s">
        <v>110</v>
      </c>
      <c r="B41" s="173">
        <f>B31*D41</f>
        <v>0</v>
      </c>
      <c r="C41" s="175">
        <f>C31*D41</f>
        <v>0</v>
      </c>
      <c r="D41" s="177">
        <v>1</v>
      </c>
      <c r="E41" s="64" t="s">
        <v>10</v>
      </c>
      <c r="F41" s="61" t="s">
        <v>86</v>
      </c>
      <c r="H41" s="65" t="s">
        <v>110</v>
      </c>
      <c r="I41" s="173">
        <f>I31*K41</f>
        <v>0</v>
      </c>
      <c r="J41" s="175">
        <f>J31*K41</f>
        <v>0</v>
      </c>
      <c r="K41" s="177">
        <v>1</v>
      </c>
      <c r="L41" s="64" t="s">
        <v>10</v>
      </c>
      <c r="M41" s="61" t="s">
        <v>86</v>
      </c>
      <c r="N41" s="83"/>
      <c r="O41" s="85"/>
      <c r="Q41" s="65" t="s">
        <v>113</v>
      </c>
      <c r="R41" s="173">
        <f>R32*T41</f>
        <v>0</v>
      </c>
      <c r="S41" s="175">
        <f>S32*T41</f>
        <v>0</v>
      </c>
      <c r="T41" s="177">
        <v>1</v>
      </c>
      <c r="U41" s="64" t="s">
        <v>10</v>
      </c>
      <c r="V41" s="89" t="s">
        <v>86</v>
      </c>
      <c r="X41" s="65" t="s">
        <v>112</v>
      </c>
      <c r="Y41" s="173">
        <f>Y32*AA41</f>
        <v>0</v>
      </c>
      <c r="Z41" s="175">
        <f>Z32*AA41</f>
        <v>0</v>
      </c>
      <c r="AA41" s="266">
        <f>AA44*0.2/Y29</f>
        <v>0.4</v>
      </c>
      <c r="AB41" s="64" t="s">
        <v>10</v>
      </c>
      <c r="AC41" s="89" t="s">
        <v>109</v>
      </c>
    </row>
    <row r="42" spans="1:30" x14ac:dyDescent="0.55000000000000004">
      <c r="A42"/>
      <c r="B42" s="178"/>
      <c r="C42" s="179"/>
      <c r="D42" s="180"/>
      <c r="I42" s="178"/>
      <c r="J42" s="179"/>
      <c r="K42" s="180"/>
      <c r="N42" s="83"/>
      <c r="O42" s="85"/>
      <c r="R42" s="178"/>
      <c r="S42" s="179"/>
      <c r="T42" s="180"/>
      <c r="V42" s="6"/>
      <c r="X42" s="65" t="s">
        <v>113</v>
      </c>
      <c r="Y42" s="173">
        <f>Y32*AA42</f>
        <v>0</v>
      </c>
      <c r="Z42" s="175">
        <f>Z32*AA42</f>
        <v>0</v>
      </c>
      <c r="AA42" s="177">
        <v>1</v>
      </c>
      <c r="AB42" s="64" t="s">
        <v>10</v>
      </c>
      <c r="AC42" s="89" t="s">
        <v>86</v>
      </c>
    </row>
    <row r="43" spans="1:30" x14ac:dyDescent="0.55000000000000004">
      <c r="A43" s="68" t="s">
        <v>4</v>
      </c>
      <c r="B43" s="181">
        <f>SUM(B33:B41)</f>
        <v>0</v>
      </c>
      <c r="C43" s="182">
        <f>SUM(C33:C41)</f>
        <v>0</v>
      </c>
      <c r="D43" s="218">
        <v>50</v>
      </c>
      <c r="E43" s="56" t="s">
        <v>10</v>
      </c>
      <c r="H43" s="68" t="s">
        <v>4</v>
      </c>
      <c r="I43" s="181">
        <f>SUM(I33:I41)</f>
        <v>0</v>
      </c>
      <c r="J43" s="182">
        <f>SUM(J33:J41)</f>
        <v>0</v>
      </c>
      <c r="K43" s="218">
        <v>20</v>
      </c>
      <c r="L43" s="56" t="s">
        <v>10</v>
      </c>
      <c r="N43" s="83"/>
      <c r="O43" s="85"/>
      <c r="Q43" s="68" t="s">
        <v>4</v>
      </c>
      <c r="R43" s="181">
        <f>SUM(R34:R41)</f>
        <v>0</v>
      </c>
      <c r="S43" s="182">
        <f>SUM(S34:S41)</f>
        <v>0</v>
      </c>
      <c r="T43" s="218">
        <v>20</v>
      </c>
      <c r="U43" s="56" t="s">
        <v>10</v>
      </c>
      <c r="Y43" s="178"/>
      <c r="Z43" s="179"/>
      <c r="AA43" s="180"/>
      <c r="AC43" s="6"/>
    </row>
    <row r="44" spans="1:30" x14ac:dyDescent="0.55000000000000004">
      <c r="A44" s="68" t="s">
        <v>103</v>
      </c>
      <c r="B44" s="181">
        <f>SUM(B33:B40)</f>
        <v>0</v>
      </c>
      <c r="C44" s="182">
        <f>SUM(C33:C40)</f>
        <v>0</v>
      </c>
      <c r="D44" s="183">
        <f>SUM(D33:D40)</f>
        <v>49</v>
      </c>
      <c r="E44" s="56" t="s">
        <v>10</v>
      </c>
      <c r="H44" s="68" t="s">
        <v>103</v>
      </c>
      <c r="I44" s="181">
        <f>SUM(I33:I40)</f>
        <v>0</v>
      </c>
      <c r="J44" s="182">
        <f>SUM(J33:J40)</f>
        <v>0</v>
      </c>
      <c r="K44" s="183">
        <f>SUM(K33:K40)</f>
        <v>19</v>
      </c>
      <c r="L44" s="56" t="s">
        <v>10</v>
      </c>
      <c r="N44" s="83"/>
      <c r="O44" s="85"/>
      <c r="Q44" s="68" t="s">
        <v>103</v>
      </c>
      <c r="R44" s="181">
        <f>SUM(R34:R40)</f>
        <v>0</v>
      </c>
      <c r="S44" s="182">
        <f>SUM(S34:S40)</f>
        <v>0</v>
      </c>
      <c r="T44" s="183">
        <f>SUM(T34:T40)</f>
        <v>18.999999999999996</v>
      </c>
      <c r="U44" s="56" t="s">
        <v>10</v>
      </c>
      <c r="X44" s="68" t="s">
        <v>4</v>
      </c>
      <c r="Y44" s="181">
        <f>SUM(Y34:Y42)</f>
        <v>0</v>
      </c>
      <c r="Z44" s="182">
        <f>SUM(Z34:Z42)</f>
        <v>0</v>
      </c>
      <c r="AA44" s="218">
        <v>20</v>
      </c>
      <c r="AB44" s="56" t="s">
        <v>10</v>
      </c>
    </row>
    <row r="45" spans="1:30" x14ac:dyDescent="0.55000000000000004">
      <c r="A45" s="68" t="s">
        <v>104</v>
      </c>
      <c r="B45" s="181">
        <f>SUM(B33:B38,B41)</f>
        <v>0</v>
      </c>
      <c r="C45" s="182">
        <f>SUM(C33:C38,C41)</f>
        <v>0</v>
      </c>
      <c r="D45" s="183">
        <f>SUM(D33:D38,D41)</f>
        <v>49.5</v>
      </c>
      <c r="E45" s="56" t="s">
        <v>10</v>
      </c>
      <c r="H45" s="68" t="s">
        <v>104</v>
      </c>
      <c r="I45" s="181">
        <f>SUM(I33:I38,I41)</f>
        <v>0</v>
      </c>
      <c r="J45" s="182">
        <f>SUM(J33:J38,J41)</f>
        <v>0</v>
      </c>
      <c r="K45" s="183">
        <f>SUM(K33:K38,K41)</f>
        <v>19.799999999999997</v>
      </c>
      <c r="L45" s="56" t="s">
        <v>10</v>
      </c>
      <c r="N45" s="83"/>
      <c r="O45" s="85"/>
      <c r="Q45" s="68" t="s">
        <v>104</v>
      </c>
      <c r="R45" s="181">
        <f>SUM(R34:R38,R41)</f>
        <v>0</v>
      </c>
      <c r="S45" s="182">
        <f>SUM(S34:S38,S41)</f>
        <v>0</v>
      </c>
      <c r="T45" s="183">
        <f>SUM(T34:T38,T41)</f>
        <v>19.2</v>
      </c>
      <c r="U45" s="56" t="s">
        <v>10</v>
      </c>
      <c r="X45" s="68" t="s">
        <v>103</v>
      </c>
      <c r="Y45" s="181">
        <f>SUM(Y34:Y41)</f>
        <v>0</v>
      </c>
      <c r="Z45" s="182">
        <f>SUM(Z34:Z41)</f>
        <v>0</v>
      </c>
      <c r="AA45" s="183">
        <f>SUM(AA34:AA41)</f>
        <v>18.999999999999996</v>
      </c>
      <c r="AB45" s="56" t="s">
        <v>10</v>
      </c>
    </row>
    <row r="46" spans="1:30" x14ac:dyDescent="0.55000000000000004">
      <c r="A46" s="68" t="s">
        <v>105</v>
      </c>
      <c r="B46" s="181">
        <f>SUM(B33:B38)</f>
        <v>0</v>
      </c>
      <c r="C46" s="182">
        <f>SUM(C33:C38)</f>
        <v>0</v>
      </c>
      <c r="D46" s="183">
        <f>SUM(D33:D38)</f>
        <v>48.5</v>
      </c>
      <c r="E46" s="56" t="s">
        <v>10</v>
      </c>
      <c r="H46" s="68" t="s">
        <v>105</v>
      </c>
      <c r="I46" s="181">
        <f>SUM(I33:I38)</f>
        <v>0</v>
      </c>
      <c r="J46" s="182">
        <f>SUM(J33:J38)</f>
        <v>0</v>
      </c>
      <c r="K46" s="183">
        <f>SUM(K33:K38)</f>
        <v>18.799999999999997</v>
      </c>
      <c r="L46" s="56" t="s">
        <v>10</v>
      </c>
      <c r="N46" s="83"/>
      <c r="O46" s="85"/>
      <c r="Q46" s="68" t="s">
        <v>105</v>
      </c>
      <c r="R46" s="181">
        <f>SUM(R34:R38)</f>
        <v>0</v>
      </c>
      <c r="S46" s="182">
        <f>SUM(S34:S38)</f>
        <v>0</v>
      </c>
      <c r="T46" s="183">
        <f>SUM(T34:T38)</f>
        <v>18.2</v>
      </c>
      <c r="U46" s="56" t="s">
        <v>10</v>
      </c>
      <c r="X46" s="68" t="s">
        <v>104</v>
      </c>
      <c r="Y46" s="181">
        <f>SUM(Y34:Y39,Y42)</f>
        <v>0</v>
      </c>
      <c r="Z46" s="182">
        <f>SUM(Z34:Z39,Z42)</f>
        <v>0</v>
      </c>
      <c r="AA46" s="183">
        <f>SUM(AA34:AA39,AA42)</f>
        <v>19.2</v>
      </c>
      <c r="AB46" s="56" t="s">
        <v>10</v>
      </c>
    </row>
    <row r="47" spans="1:30" s="11" customFormat="1" x14ac:dyDescent="0.55000000000000004">
      <c r="A47" s="1"/>
      <c r="B47"/>
      <c r="C47"/>
      <c r="D47"/>
      <c r="E47"/>
      <c r="F47"/>
      <c r="G47"/>
      <c r="H47"/>
      <c r="I47"/>
      <c r="J47"/>
      <c r="K47"/>
      <c r="L47"/>
      <c r="M47"/>
      <c r="N47"/>
      <c r="O47" s="87"/>
      <c r="P47"/>
      <c r="Q47"/>
      <c r="R47"/>
      <c r="S47"/>
      <c r="T47"/>
      <c r="U47"/>
      <c r="V47"/>
      <c r="W47"/>
      <c r="X47" s="68" t="s">
        <v>105</v>
      </c>
      <c r="Y47" s="181">
        <f>SUM(Y34:Y39)</f>
        <v>0</v>
      </c>
      <c r="Z47" s="182">
        <f>SUM(Z34:Z39)</f>
        <v>0</v>
      </c>
      <c r="AA47" s="183">
        <f>SUM(AA34:AA39)</f>
        <v>18.2</v>
      </c>
      <c r="AB47" s="56" t="s">
        <v>10</v>
      </c>
      <c r="AC47"/>
      <c r="AD47"/>
    </row>
    <row r="48" spans="1:30" x14ac:dyDescent="0.55000000000000004">
      <c r="O48" s="87"/>
    </row>
    <row r="49" spans="1:15" x14ac:dyDescent="0.55000000000000004">
      <c r="A49" s="161"/>
      <c r="K49" s="25" t="s">
        <v>233</v>
      </c>
      <c r="O49" s="87"/>
    </row>
    <row r="50" spans="1:15" x14ac:dyDescent="0.55000000000000004">
      <c r="O50" s="87"/>
    </row>
    <row r="53" spans="1:15" ht="20.7" x14ac:dyDescent="0.9">
      <c r="A53" s="294" t="s">
        <v>91</v>
      </c>
      <c r="B53" s="255"/>
      <c r="C53" s="255"/>
      <c r="D53" s="255"/>
      <c r="E53" s="255"/>
      <c r="F53" s="255"/>
      <c r="G53" s="255"/>
      <c r="H53" s="255"/>
      <c r="I53" s="255"/>
      <c r="J53" s="255"/>
    </row>
    <row r="54" spans="1:15" ht="18" x14ac:dyDescent="0.55000000000000004">
      <c r="A54" s="214"/>
      <c r="B54" s="13" t="s">
        <v>27</v>
      </c>
      <c r="C54" s="211"/>
      <c r="D54" s="514" t="s">
        <v>40</v>
      </c>
      <c r="E54" s="515"/>
      <c r="F54" s="215" t="str">
        <f>CONCATENATE("[component] ","in ",TEXT(D65,0)," ",TEXT(E65,0))</f>
        <v>[component] in 50 µL</v>
      </c>
      <c r="G54" s="14"/>
      <c r="I54" s="213" t="s">
        <v>199</v>
      </c>
      <c r="J54" s="14"/>
    </row>
    <row r="55" spans="1:15" ht="16.8" x14ac:dyDescent="0.75">
      <c r="A55" s="1" t="s">
        <v>8</v>
      </c>
      <c r="B55" s="3">
        <v>55</v>
      </c>
      <c r="C55" s="209" t="s">
        <v>17</v>
      </c>
      <c r="D55" s="208">
        <f>D65-SUM(D56:D63)</f>
        <v>31.5</v>
      </c>
      <c r="E55" s="210" t="str">
        <f>E79</f>
        <v>µL</v>
      </c>
      <c r="F55">
        <v>34.1</v>
      </c>
      <c r="G55" t="str">
        <f t="shared" ref="G55:G63" si="0">C55</f>
        <v>M</v>
      </c>
      <c r="I55" s="185" t="s">
        <v>12</v>
      </c>
      <c r="J55" s="184" t="s">
        <v>17</v>
      </c>
    </row>
    <row r="56" spans="1:15" x14ac:dyDescent="0.55000000000000004">
      <c r="A56" s="1" t="s">
        <v>93</v>
      </c>
      <c r="B56" s="3">
        <v>5</v>
      </c>
      <c r="C56" s="209" t="s">
        <v>15</v>
      </c>
      <c r="D56" s="208">
        <f>D65*F56/B56</f>
        <v>10</v>
      </c>
      <c r="E56" s="210" t="str">
        <f>E79</f>
        <v>µL</v>
      </c>
      <c r="F56" s="29">
        <v>1</v>
      </c>
      <c r="G56" t="str">
        <f t="shared" si="0"/>
        <v>×</v>
      </c>
      <c r="I56" s="184">
        <v>1</v>
      </c>
      <c r="J56" s="184" t="s">
        <v>15</v>
      </c>
    </row>
    <row r="57" spans="1:15" x14ac:dyDescent="0.55000000000000004">
      <c r="A57" s="1" t="s">
        <v>19</v>
      </c>
      <c r="B57" s="3">
        <v>10</v>
      </c>
      <c r="C57" s="209" t="s">
        <v>14</v>
      </c>
      <c r="D57" s="208">
        <f>D65*F57/B57</f>
        <v>1</v>
      </c>
      <c r="E57" s="210" t="str">
        <f>E79</f>
        <v>µL</v>
      </c>
      <c r="F57" s="29">
        <v>0.2</v>
      </c>
      <c r="G57" t="str">
        <f t="shared" si="0"/>
        <v>µM</v>
      </c>
      <c r="I57" s="184">
        <v>0.2</v>
      </c>
      <c r="J57" s="184" t="s">
        <v>14</v>
      </c>
    </row>
    <row r="58" spans="1:15" x14ac:dyDescent="0.55000000000000004">
      <c r="A58" s="1" t="s">
        <v>94</v>
      </c>
      <c r="B58" s="8">
        <v>2000</v>
      </c>
      <c r="C58" s="209" t="s">
        <v>18</v>
      </c>
      <c r="D58" s="208">
        <f>D65*F58/B58</f>
        <v>0.5</v>
      </c>
      <c r="E58" s="210" t="str">
        <f>E79</f>
        <v>µL</v>
      </c>
      <c r="F58" s="29">
        <v>20</v>
      </c>
      <c r="G58" t="str">
        <f t="shared" si="0"/>
        <v>U/mL</v>
      </c>
      <c r="I58" s="184">
        <v>20</v>
      </c>
      <c r="J58" s="184" t="s">
        <v>18</v>
      </c>
    </row>
    <row r="59" spans="1:15" x14ac:dyDescent="0.55000000000000004">
      <c r="A59" s="1" t="s">
        <v>5</v>
      </c>
      <c r="B59" s="3">
        <v>100</v>
      </c>
      <c r="C59" s="209" t="s">
        <v>16</v>
      </c>
      <c r="D59" s="208">
        <f>D65*F59/B59</f>
        <v>1.5</v>
      </c>
      <c r="E59" s="210" t="str">
        <f>E79</f>
        <v>µL</v>
      </c>
      <c r="F59" s="29">
        <v>3</v>
      </c>
      <c r="G59" t="str">
        <f t="shared" si="0"/>
        <v>%</v>
      </c>
      <c r="I59" s="185" t="s">
        <v>24</v>
      </c>
      <c r="J59" s="184" t="s">
        <v>16</v>
      </c>
    </row>
    <row r="60" spans="1:15" x14ac:dyDescent="0.55000000000000004">
      <c r="A60" s="1" t="s">
        <v>210</v>
      </c>
      <c r="B60" s="3">
        <v>0</v>
      </c>
      <c r="C60" s="209" t="s">
        <v>76</v>
      </c>
      <c r="D60" s="208"/>
      <c r="E60" s="210" t="str">
        <f>E79</f>
        <v>µL</v>
      </c>
      <c r="F60" s="29">
        <v>0</v>
      </c>
      <c r="G60" t="str">
        <f t="shared" si="0"/>
        <v>mM</v>
      </c>
      <c r="I60" s="185">
        <v>0</v>
      </c>
      <c r="J60" s="184" t="s">
        <v>76</v>
      </c>
    </row>
    <row r="61" spans="1:15" x14ac:dyDescent="0.55000000000000004">
      <c r="A61" s="1" t="s">
        <v>20</v>
      </c>
      <c r="B61" s="3">
        <v>10</v>
      </c>
      <c r="C61" s="209" t="s">
        <v>14</v>
      </c>
      <c r="D61" s="208">
        <f>D65*F61/B61</f>
        <v>2.5</v>
      </c>
      <c r="E61" s="210" t="str">
        <f>E79</f>
        <v>µL</v>
      </c>
      <c r="F61" s="29">
        <v>0.5</v>
      </c>
      <c r="G61" t="str">
        <f t="shared" si="0"/>
        <v>µM</v>
      </c>
      <c r="I61" s="184">
        <v>0.5</v>
      </c>
      <c r="J61" s="184" t="s">
        <v>14</v>
      </c>
    </row>
    <row r="62" spans="1:15" x14ac:dyDescent="0.55000000000000004">
      <c r="A62" s="1" t="s">
        <v>21</v>
      </c>
      <c r="B62" s="3">
        <v>10</v>
      </c>
      <c r="C62" s="209" t="s">
        <v>14</v>
      </c>
      <c r="D62" s="208">
        <f>D65*F62/B62</f>
        <v>2.5</v>
      </c>
      <c r="E62" s="210" t="str">
        <f>E79</f>
        <v>µL</v>
      </c>
      <c r="F62" s="29">
        <v>0.5</v>
      </c>
      <c r="G62" t="str">
        <f t="shared" si="0"/>
        <v>µM</v>
      </c>
      <c r="I62" s="184">
        <v>0.5</v>
      </c>
      <c r="J62" s="184" t="s">
        <v>14</v>
      </c>
    </row>
    <row r="63" spans="1:15" x14ac:dyDescent="0.55000000000000004">
      <c r="A63" s="1" t="s">
        <v>23</v>
      </c>
      <c r="B63" s="3">
        <v>50</v>
      </c>
      <c r="C63" s="209" t="s">
        <v>22</v>
      </c>
      <c r="D63" s="208">
        <f>D65*F63/B63</f>
        <v>0.5</v>
      </c>
      <c r="E63" s="210" t="str">
        <f>E79</f>
        <v>µL</v>
      </c>
      <c r="F63" s="29">
        <v>0.5</v>
      </c>
      <c r="G63" t="str">
        <f t="shared" si="0"/>
        <v>ng/µL</v>
      </c>
      <c r="I63" s="185">
        <v>1</v>
      </c>
      <c r="J63" s="184" t="s">
        <v>95</v>
      </c>
    </row>
    <row r="64" spans="1:15" x14ac:dyDescent="0.55000000000000004">
      <c r="D64" s="6"/>
    </row>
    <row r="65" spans="1:10" x14ac:dyDescent="0.55000000000000004">
      <c r="A65" s="1" t="s">
        <v>4</v>
      </c>
      <c r="D65" s="3">
        <v>50</v>
      </c>
      <c r="E65" s="3" t="s">
        <v>10</v>
      </c>
    </row>
    <row r="66" spans="1:10" x14ac:dyDescent="0.55000000000000004">
      <c r="B66" s="6"/>
    </row>
    <row r="67" spans="1:10" ht="20.7" x14ac:dyDescent="0.9">
      <c r="A67" s="294" t="s">
        <v>92</v>
      </c>
      <c r="B67" s="255"/>
      <c r="C67" s="255"/>
      <c r="D67" s="255"/>
      <c r="E67" s="255"/>
      <c r="F67" s="255"/>
      <c r="G67" s="255"/>
      <c r="H67" s="255"/>
      <c r="I67" s="255"/>
      <c r="J67" s="255"/>
    </row>
    <row r="68" spans="1:10" ht="18" x14ac:dyDescent="0.55000000000000004">
      <c r="B68" s="13" t="s">
        <v>27</v>
      </c>
      <c r="C68" s="211"/>
      <c r="D68" s="512" t="s">
        <v>40</v>
      </c>
      <c r="E68" s="513"/>
      <c r="F68" s="13" t="str">
        <f>CONCATENATE("[component] ","In ",TEXT(D79,0)," ",TEXT(E79,0),":")</f>
        <v>[component] In 50 µL:</v>
      </c>
      <c r="H68" s="13"/>
      <c r="I68" s="213" t="s">
        <v>199</v>
      </c>
      <c r="J68" s="14"/>
    </row>
    <row r="69" spans="1:10" ht="16.8" x14ac:dyDescent="0.75">
      <c r="A69" s="1" t="s">
        <v>8</v>
      </c>
      <c r="B69" s="3">
        <v>55</v>
      </c>
      <c r="C69" s="209" t="s">
        <v>17</v>
      </c>
      <c r="D69" s="28">
        <f>D79-SUM(D70:D77)</f>
        <v>35.5</v>
      </c>
      <c r="E69" s="212" t="str">
        <f>E79</f>
        <v>µL</v>
      </c>
      <c r="F69" s="4">
        <f>B69*D69/D79</f>
        <v>39.049999999999997</v>
      </c>
      <c r="G69" s="4" t="str">
        <f t="shared" ref="G69:G77" si="1">C69</f>
        <v>M</v>
      </c>
      <c r="I69" s="16" t="s">
        <v>12</v>
      </c>
      <c r="J69" s="17" t="s">
        <v>17</v>
      </c>
    </row>
    <row r="70" spans="1:10" x14ac:dyDescent="0.55000000000000004">
      <c r="A70" s="1" t="s">
        <v>93</v>
      </c>
      <c r="B70" s="3">
        <v>5</v>
      </c>
      <c r="C70" s="209" t="s">
        <v>15</v>
      </c>
      <c r="D70" s="29">
        <f>D79/5</f>
        <v>10</v>
      </c>
      <c r="E70" s="212" t="str">
        <f>E79</f>
        <v>µL</v>
      </c>
      <c r="F70" s="4">
        <f>B70*D70/D79</f>
        <v>1</v>
      </c>
      <c r="G70" s="4" t="str">
        <f t="shared" si="1"/>
        <v>×</v>
      </c>
      <c r="I70" s="17">
        <v>1</v>
      </c>
      <c r="J70" s="17" t="s">
        <v>15</v>
      </c>
    </row>
    <row r="71" spans="1:10" x14ac:dyDescent="0.55000000000000004">
      <c r="A71" s="1" t="s">
        <v>19</v>
      </c>
      <c r="B71" s="3">
        <v>10</v>
      </c>
      <c r="C71" s="209" t="s">
        <v>14</v>
      </c>
      <c r="D71" s="29">
        <v>1</v>
      </c>
      <c r="E71" s="212" t="str">
        <f>E79</f>
        <v>µL</v>
      </c>
      <c r="F71" s="4">
        <f>B71*D71/D79</f>
        <v>0.2</v>
      </c>
      <c r="G71" s="4" t="str">
        <f t="shared" si="1"/>
        <v>µM</v>
      </c>
      <c r="I71" s="17">
        <v>0.2</v>
      </c>
      <c r="J71" s="17" t="s">
        <v>14</v>
      </c>
    </row>
    <row r="72" spans="1:10" x14ac:dyDescent="0.55000000000000004">
      <c r="A72" s="1" t="s">
        <v>94</v>
      </c>
      <c r="B72" s="8">
        <v>2000</v>
      </c>
      <c r="C72" s="209" t="s">
        <v>18</v>
      </c>
      <c r="D72" s="29">
        <v>0.5</v>
      </c>
      <c r="E72" s="212" t="str">
        <f>E79</f>
        <v>µL</v>
      </c>
      <c r="F72" s="4">
        <f>B72*D72/D79</f>
        <v>20</v>
      </c>
      <c r="G72" s="4" t="str">
        <f t="shared" si="1"/>
        <v>U/mL</v>
      </c>
      <c r="I72" s="17">
        <v>20</v>
      </c>
      <c r="J72" s="17" t="s">
        <v>18</v>
      </c>
    </row>
    <row r="73" spans="1:10" x14ac:dyDescent="0.55000000000000004">
      <c r="A73" s="1" t="s">
        <v>5</v>
      </c>
      <c r="B73" s="3">
        <v>100</v>
      </c>
      <c r="C73" s="209" t="s">
        <v>16</v>
      </c>
      <c r="D73" s="29">
        <v>1.5</v>
      </c>
      <c r="E73" s="212" t="str">
        <f>E79</f>
        <v>µL</v>
      </c>
      <c r="F73" s="4">
        <f>B73*D73/D79</f>
        <v>3</v>
      </c>
      <c r="G73" s="4" t="str">
        <f t="shared" si="1"/>
        <v>%</v>
      </c>
      <c r="I73" s="16" t="s">
        <v>24</v>
      </c>
      <c r="J73" s="17" t="s">
        <v>16</v>
      </c>
    </row>
    <row r="74" spans="1:10" x14ac:dyDescent="0.55000000000000004">
      <c r="A74" s="1" t="s">
        <v>210</v>
      </c>
      <c r="B74" s="3"/>
      <c r="C74" s="209" t="s">
        <v>76</v>
      </c>
      <c r="D74" s="29"/>
      <c r="E74" s="212" t="str">
        <f>E79</f>
        <v>µL</v>
      </c>
      <c r="F74" s="4"/>
      <c r="G74" s="4" t="str">
        <f t="shared" si="1"/>
        <v>mM</v>
      </c>
      <c r="I74" s="16">
        <v>0</v>
      </c>
      <c r="J74" s="17" t="s">
        <v>76</v>
      </c>
    </row>
    <row r="75" spans="1:10" x14ac:dyDescent="0.55000000000000004">
      <c r="A75" s="1" t="s">
        <v>20</v>
      </c>
      <c r="B75" s="3">
        <v>100</v>
      </c>
      <c r="C75" s="209" t="s">
        <v>14</v>
      </c>
      <c r="D75" s="29">
        <v>0.25</v>
      </c>
      <c r="E75" s="212" t="str">
        <f>E79</f>
        <v>µL</v>
      </c>
      <c r="F75" s="4">
        <f>B75*D75/D79</f>
        <v>0.5</v>
      </c>
      <c r="G75" s="4" t="str">
        <f t="shared" si="1"/>
        <v>µM</v>
      </c>
      <c r="I75" s="17">
        <v>0.5</v>
      </c>
      <c r="J75" s="17" t="s">
        <v>14</v>
      </c>
    </row>
    <row r="76" spans="1:10" x14ac:dyDescent="0.55000000000000004">
      <c r="A76" s="1" t="s">
        <v>21</v>
      </c>
      <c r="B76" s="3">
        <v>100</v>
      </c>
      <c r="C76" s="209" t="s">
        <v>14</v>
      </c>
      <c r="D76" s="29">
        <v>0.25</v>
      </c>
      <c r="E76" s="212" t="str">
        <f>E79</f>
        <v>µL</v>
      </c>
      <c r="F76" s="4">
        <f>B76*D76/D79</f>
        <v>0.5</v>
      </c>
      <c r="G76" s="4" t="str">
        <f t="shared" si="1"/>
        <v>µM</v>
      </c>
      <c r="I76" s="17">
        <v>0.5</v>
      </c>
      <c r="J76" s="17" t="s">
        <v>14</v>
      </c>
    </row>
    <row r="77" spans="1:10" x14ac:dyDescent="0.55000000000000004">
      <c r="A77" s="1" t="s">
        <v>23</v>
      </c>
      <c r="B77" s="3">
        <v>77</v>
      </c>
      <c r="C77" s="209" t="s">
        <v>22</v>
      </c>
      <c r="D77" s="29">
        <v>1</v>
      </c>
      <c r="E77" s="212" t="str">
        <f>E79</f>
        <v>µL</v>
      </c>
      <c r="F77" s="4">
        <f>B77*D77/D79</f>
        <v>1.54</v>
      </c>
      <c r="G77" s="4" t="str">
        <f t="shared" si="1"/>
        <v>ng/µL</v>
      </c>
      <c r="I77" s="16" t="s">
        <v>26</v>
      </c>
      <c r="J77" s="17" t="s">
        <v>25</v>
      </c>
    </row>
    <row r="78" spans="1:10" x14ac:dyDescent="0.55000000000000004">
      <c r="C78" s="212"/>
      <c r="D78" s="6"/>
    </row>
    <row r="79" spans="1:10" x14ac:dyDescent="0.55000000000000004">
      <c r="A79" s="1" t="s">
        <v>4</v>
      </c>
      <c r="D79" s="3">
        <v>50</v>
      </c>
      <c r="E79" s="3" t="s">
        <v>10</v>
      </c>
    </row>
    <row r="81" spans="1:1" s="286" customFormat="1" x14ac:dyDescent="0.55000000000000004">
      <c r="A81" s="1"/>
    </row>
    <row r="82" spans="1:1" s="286" customFormat="1" x14ac:dyDescent="0.55000000000000004">
      <c r="A82" s="1"/>
    </row>
    <row r="84" spans="1:1" x14ac:dyDescent="0.55000000000000004">
      <c r="A84" s="161" t="s">
        <v>179</v>
      </c>
    </row>
    <row r="85" spans="1:1" x14ac:dyDescent="0.55000000000000004">
      <c r="A85" s="161" t="s">
        <v>255</v>
      </c>
    </row>
    <row r="86" spans="1:1" x14ac:dyDescent="0.55000000000000004">
      <c r="A86" s="297" t="s">
        <v>254</v>
      </c>
    </row>
  </sheetData>
  <mergeCells count="10">
    <mergeCell ref="D68:E68"/>
    <mergeCell ref="D54:E54"/>
    <mergeCell ref="A26:F26"/>
    <mergeCell ref="Q1:V1"/>
    <mergeCell ref="X26:AC26"/>
    <mergeCell ref="X1:AC1"/>
    <mergeCell ref="A1:F1"/>
    <mergeCell ref="H26:M26"/>
    <mergeCell ref="H1:M1"/>
    <mergeCell ref="Q26:V26"/>
  </mergeCells>
  <conditionalFormatting sqref="A12:E12">
    <cfRule type="expression" dxfId="28" priority="12">
      <formula>$D$2="yes"</formula>
    </cfRule>
  </conditionalFormatting>
  <conditionalFormatting sqref="A11:E11">
    <cfRule type="expression" dxfId="27" priority="11">
      <formula>$B$3&gt;0</formula>
    </cfRule>
  </conditionalFormatting>
  <conditionalFormatting sqref="H12:L12">
    <cfRule type="expression" dxfId="26" priority="10">
      <formula>$K$2="yes"</formula>
    </cfRule>
  </conditionalFormatting>
  <conditionalFormatting sqref="H11:L11">
    <cfRule type="expression" dxfId="25" priority="9">
      <formula>$I$3&gt;0</formula>
    </cfRule>
  </conditionalFormatting>
  <conditionalFormatting sqref="A37:E37">
    <cfRule type="expression" dxfId="24" priority="6">
      <formula>$D$27="yes"</formula>
    </cfRule>
  </conditionalFormatting>
  <conditionalFormatting sqref="A36:E36">
    <cfRule type="expression" dxfId="23" priority="5">
      <formula>$B$28&gt;0</formula>
    </cfRule>
  </conditionalFormatting>
  <conditionalFormatting sqref="Q12:U12">
    <cfRule type="expression" dxfId="22" priority="4">
      <formula>$R$3&gt;0</formula>
    </cfRule>
  </conditionalFormatting>
  <conditionalFormatting sqref="X12:AB12">
    <cfRule type="expression" dxfId="21" priority="3">
      <formula>$Y$3&gt;0</formula>
    </cfRule>
  </conditionalFormatting>
  <conditionalFormatting sqref="Q38:U38">
    <cfRule type="expression" dxfId="20" priority="2">
      <formula>$R$28&gt;0</formula>
    </cfRule>
  </conditionalFormatting>
  <conditionalFormatting sqref="H36:L36">
    <cfRule type="expression" dxfId="19" priority="1">
      <formula>$I$28&gt;0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507E-CD1F-4F97-859E-B983BA0BDC0E}">
  <sheetPr codeName="Sheet2"/>
  <dimension ref="A1:AZ45"/>
  <sheetViews>
    <sheetView zoomScaleNormal="100" workbookViewId="0">
      <selection activeCell="B2" sqref="B2"/>
    </sheetView>
  </sheetViews>
  <sheetFormatPr defaultColWidth="8.89453125" defaultRowHeight="14.4" x14ac:dyDescent="0.55000000000000004"/>
  <cols>
    <col min="1" max="1" width="25.20703125" style="358" customWidth="1"/>
    <col min="2" max="4" width="8.89453125" style="358"/>
    <col min="5" max="5" width="8.3125" style="358" customWidth="1"/>
    <col min="6" max="6" width="4.5234375" style="358" customWidth="1"/>
    <col min="7" max="7" width="12" style="358" customWidth="1"/>
    <col min="8" max="8" width="24.89453125" style="358" customWidth="1"/>
    <col min="9" max="11" width="8.89453125" style="358"/>
    <col min="12" max="12" width="8.68359375" style="358" customWidth="1"/>
    <col min="13" max="13" width="4.41796875" style="358" customWidth="1"/>
    <col min="14" max="14" width="11.68359375" style="358" customWidth="1"/>
    <col min="15" max="15" width="25" style="358" customWidth="1"/>
    <col min="16" max="18" width="8.89453125" style="358"/>
    <col min="19" max="19" width="7.20703125" style="358" customWidth="1"/>
    <col min="20" max="20" width="3.68359375" style="358" customWidth="1"/>
    <col min="21" max="21" width="21" style="358" customWidth="1"/>
    <col min="22" max="22" width="25" style="358" customWidth="1"/>
    <col min="23" max="23" width="9.5234375" style="358" customWidth="1"/>
    <col min="24" max="25" width="8.89453125" style="358"/>
    <col min="26" max="26" width="3.68359375" style="358" customWidth="1"/>
    <col min="27" max="27" width="14.20703125" style="358" customWidth="1"/>
    <col min="28" max="28" width="8.89453125" style="358"/>
    <col min="29" max="29" width="15" style="358" customWidth="1"/>
    <col min="30" max="30" width="13" style="358" customWidth="1"/>
    <col min="31" max="31" width="12.20703125" style="365" customWidth="1"/>
    <col min="32" max="32" width="8.89453125" style="45"/>
    <col min="33" max="33" width="7.89453125" style="365" bestFit="1" customWidth="1"/>
    <col min="34" max="34" width="8.89453125" style="45"/>
    <col min="35" max="35" width="8.1015625" style="365" customWidth="1"/>
    <col min="36" max="36" width="8.89453125" style="45"/>
    <col min="37" max="37" width="8.89453125" style="365"/>
    <col min="38" max="38" width="8.89453125" style="45"/>
    <col min="39" max="39" width="8.89453125" style="365"/>
    <col min="40" max="40" width="8.89453125" style="45"/>
    <col min="41" max="41" width="8.89453125" style="365"/>
    <col min="42" max="42" width="8.89453125" style="45"/>
    <col min="43" max="43" width="8.89453125" style="365"/>
    <col min="44" max="44" width="8.89453125" style="45"/>
    <col min="45" max="45" width="8.89453125" style="365"/>
    <col min="46" max="46" width="8.89453125" style="45"/>
    <col min="47" max="47" width="8.89453125" style="365"/>
    <col min="48" max="48" width="8.89453125" style="45"/>
    <col min="49" max="49" width="8.89453125" style="365"/>
    <col min="50" max="50" width="8.89453125" style="45"/>
    <col min="51" max="51" width="8.89453125" style="358"/>
    <col min="52" max="52" width="12.1015625" style="358" customWidth="1"/>
    <col min="53" max="16384" width="8.89453125" style="358"/>
  </cols>
  <sheetData>
    <row r="1" spans="1:52" s="24" customFormat="1" ht="22.2" customHeight="1" x14ac:dyDescent="0.75">
      <c r="A1" s="530" t="s">
        <v>307</v>
      </c>
      <c r="B1" s="530"/>
      <c r="C1" s="530"/>
      <c r="D1" s="530"/>
      <c r="E1" s="530"/>
      <c r="F1" s="530"/>
      <c r="H1" s="531" t="s">
        <v>308</v>
      </c>
      <c r="I1" s="531"/>
      <c r="J1" s="531"/>
      <c r="K1" s="531"/>
      <c r="L1" s="531"/>
      <c r="O1" s="532" t="s">
        <v>309</v>
      </c>
      <c r="P1" s="532"/>
      <c r="Q1" s="532"/>
      <c r="R1" s="532"/>
      <c r="S1" s="532"/>
      <c r="V1" s="533" t="s">
        <v>146</v>
      </c>
      <c r="W1" s="533"/>
      <c r="X1" s="533"/>
      <c r="Y1" s="533"/>
      <c r="Z1" s="533"/>
      <c r="AB1" s="383" t="s">
        <v>147</v>
      </c>
      <c r="AC1" s="153" t="s">
        <v>148</v>
      </c>
      <c r="AD1" s="154" t="s">
        <v>149</v>
      </c>
      <c r="AE1" s="383" t="s">
        <v>150</v>
      </c>
      <c r="AF1" s="159" t="s">
        <v>151</v>
      </c>
      <c r="AG1" s="383" t="s">
        <v>152</v>
      </c>
      <c r="AH1" s="159" t="s">
        <v>153</v>
      </c>
      <c r="AI1" s="383" t="s">
        <v>154</v>
      </c>
      <c r="AJ1" s="159" t="s">
        <v>155</v>
      </c>
      <c r="AK1" s="383" t="s">
        <v>156</v>
      </c>
      <c r="AL1" s="159" t="s">
        <v>157</v>
      </c>
      <c r="AM1" s="383" t="s">
        <v>158</v>
      </c>
      <c r="AN1" s="159" t="s">
        <v>159</v>
      </c>
      <c r="AO1" s="383" t="s">
        <v>160</v>
      </c>
      <c r="AP1" s="159" t="s">
        <v>161</v>
      </c>
      <c r="AQ1" s="383" t="s">
        <v>162</v>
      </c>
      <c r="AR1" s="159" t="s">
        <v>163</v>
      </c>
      <c r="AS1" s="383" t="s">
        <v>164</v>
      </c>
      <c r="AT1" s="159" t="s">
        <v>165</v>
      </c>
      <c r="AU1" s="383" t="s">
        <v>166</v>
      </c>
      <c r="AV1" s="159" t="s">
        <v>167</v>
      </c>
      <c r="AW1" s="383" t="s">
        <v>168</v>
      </c>
      <c r="AX1" s="159" t="s">
        <v>169</v>
      </c>
      <c r="AZ1" s="155" t="s">
        <v>170</v>
      </c>
    </row>
    <row r="2" spans="1:52" ht="14.7" thickBot="1" x14ac:dyDescent="0.6">
      <c r="A2" s="390" t="s">
        <v>2</v>
      </c>
      <c r="B2" s="393">
        <v>10</v>
      </c>
      <c r="C2" s="394"/>
      <c r="D2" s="392" t="s">
        <v>100</v>
      </c>
      <c r="E2" s="393" t="s">
        <v>253</v>
      </c>
      <c r="F2" s="399"/>
      <c r="H2" s="390" t="s">
        <v>2</v>
      </c>
      <c r="I2" s="393">
        <v>0</v>
      </c>
      <c r="J2" s="394"/>
      <c r="K2" s="392" t="s">
        <v>100</v>
      </c>
      <c r="L2" s="393" t="s">
        <v>253</v>
      </c>
      <c r="M2" s="399"/>
      <c r="N2" s="363"/>
      <c r="O2" s="390" t="s">
        <v>2</v>
      </c>
      <c r="P2" s="393">
        <v>0</v>
      </c>
      <c r="Q2" s="394"/>
      <c r="R2" s="392" t="s">
        <v>100</v>
      </c>
      <c r="S2" s="393" t="s">
        <v>253</v>
      </c>
      <c r="T2" s="399"/>
      <c r="U2" s="192"/>
      <c r="V2" s="389" t="s">
        <v>2</v>
      </c>
      <c r="W2" s="264">
        <v>1</v>
      </c>
      <c r="X2" s="392" t="s">
        <v>100</v>
      </c>
      <c r="Y2" s="393" t="s">
        <v>253</v>
      </c>
      <c r="Z2" s="361"/>
      <c r="AA2" s="363"/>
      <c r="AB2" s="365" t="s">
        <v>28</v>
      </c>
      <c r="AC2" s="397"/>
      <c r="AD2" s="366" t="str">
        <f>IF(AZ2=0,"",MAX(AZ2:AZ21)-AZ2)</f>
        <v/>
      </c>
      <c r="AE2" s="396"/>
      <c r="AF2" s="395"/>
      <c r="AG2" s="396"/>
      <c r="AH2" s="395"/>
      <c r="AI2" s="396"/>
      <c r="AJ2" s="395"/>
      <c r="AK2" s="396"/>
      <c r="AL2" s="395"/>
      <c r="AM2" s="396"/>
      <c r="AN2" s="395"/>
      <c r="AO2" s="396"/>
      <c r="AP2" s="395"/>
      <c r="AQ2" s="396"/>
      <c r="AR2" s="395"/>
      <c r="AS2" s="396"/>
      <c r="AT2" s="395"/>
      <c r="AU2" s="396"/>
      <c r="AV2" s="395"/>
      <c r="AW2" s="396"/>
      <c r="AX2" s="395"/>
      <c r="AZ2" s="366">
        <f>SUM(AF2,AH2,AJ2,AL2,AN2,AP2,AR2,AT2,AV2,AX2)</f>
        <v>0</v>
      </c>
    </row>
    <row r="3" spans="1:52" ht="14.7" thickTop="1" x14ac:dyDescent="0.55000000000000004">
      <c r="A3" s="390" t="s">
        <v>280</v>
      </c>
      <c r="B3" s="534">
        <v>6</v>
      </c>
      <c r="C3" s="535"/>
      <c r="D3" s="536"/>
      <c r="E3" s="361">
        <v>1</v>
      </c>
      <c r="F3" s="363"/>
      <c r="H3" s="390" t="s">
        <v>280</v>
      </c>
      <c r="I3" s="534">
        <v>0</v>
      </c>
      <c r="J3" s="535"/>
      <c r="K3" s="536"/>
      <c r="L3" s="361">
        <v>1</v>
      </c>
      <c r="M3" s="363"/>
      <c r="N3" s="363"/>
      <c r="O3" s="390" t="s">
        <v>310</v>
      </c>
      <c r="P3" s="534">
        <v>0</v>
      </c>
      <c r="Q3" s="535"/>
      <c r="R3" s="536"/>
      <c r="S3" s="361">
        <v>1</v>
      </c>
      <c r="T3" s="363"/>
      <c r="U3" s="363"/>
      <c r="V3" s="389" t="s">
        <v>3</v>
      </c>
      <c r="W3" s="263">
        <v>0.02</v>
      </c>
      <c r="X3" s="260">
        <v>0</v>
      </c>
      <c r="Y3" s="361" t="s">
        <v>38</v>
      </c>
      <c r="Z3" s="449"/>
      <c r="AB3" s="365" t="s">
        <v>29</v>
      </c>
      <c r="AC3" s="397"/>
      <c r="AD3" s="366" t="str">
        <f>IF(AZ3=0,"",MAX(AZ2:AZ21)-AZ3)</f>
        <v/>
      </c>
      <c r="AE3" s="396"/>
      <c r="AF3" s="395"/>
      <c r="AG3" s="396"/>
      <c r="AH3" s="395"/>
      <c r="AI3" s="396"/>
      <c r="AJ3" s="395"/>
      <c r="AK3" s="396"/>
      <c r="AL3" s="395"/>
      <c r="AM3" s="396"/>
      <c r="AN3" s="395"/>
      <c r="AO3" s="396"/>
      <c r="AP3" s="395"/>
      <c r="AQ3" s="396"/>
      <c r="AR3" s="395"/>
      <c r="AS3" s="396"/>
      <c r="AT3" s="395"/>
      <c r="AU3" s="396"/>
      <c r="AV3" s="395"/>
      <c r="AW3" s="396"/>
      <c r="AX3" s="395"/>
      <c r="AZ3" s="366">
        <f t="shared" ref="AZ3:AZ21" si="0">SUM(AF3,AH3,AJ3,AL3,AN3,AP3,AR3,AT3,AV3,AX3)</f>
        <v>0</v>
      </c>
    </row>
    <row r="4" spans="1:52" x14ac:dyDescent="0.55000000000000004">
      <c r="A4" s="390" t="s">
        <v>234</v>
      </c>
      <c r="B4" s="527">
        <v>1</v>
      </c>
      <c r="C4" s="528"/>
      <c r="D4" s="529"/>
      <c r="E4" s="361">
        <v>1</v>
      </c>
      <c r="F4" s="363"/>
      <c r="H4" s="390" t="s">
        <v>234</v>
      </c>
      <c r="I4" s="527">
        <v>0</v>
      </c>
      <c r="J4" s="528"/>
      <c r="K4" s="529"/>
      <c r="L4" s="361">
        <v>1</v>
      </c>
      <c r="M4" s="363"/>
      <c r="N4" s="363"/>
      <c r="O4" s="390" t="s">
        <v>234</v>
      </c>
      <c r="P4" s="527">
        <v>0</v>
      </c>
      <c r="Q4" s="528"/>
      <c r="R4" s="529"/>
      <c r="S4" s="361">
        <v>1</v>
      </c>
      <c r="T4" s="363"/>
      <c r="U4" s="363"/>
      <c r="W4" s="259"/>
      <c r="X4" s="261"/>
      <c r="Y4" s="371"/>
      <c r="Z4" s="363"/>
      <c r="AB4" s="365" t="s">
        <v>30</v>
      </c>
      <c r="AC4" s="397"/>
      <c r="AD4" s="366" t="str">
        <f>IF(AZ4=0,"",MAX(AZ2:AZ21)-AZ4)</f>
        <v/>
      </c>
      <c r="AE4" s="396"/>
      <c r="AF4" s="395"/>
      <c r="AG4" s="396"/>
      <c r="AH4" s="395"/>
      <c r="AI4" s="396"/>
      <c r="AJ4" s="395"/>
      <c r="AK4" s="396"/>
      <c r="AL4" s="395"/>
      <c r="AM4" s="396"/>
      <c r="AN4" s="395"/>
      <c r="AO4" s="396"/>
      <c r="AP4" s="395"/>
      <c r="AQ4" s="396"/>
      <c r="AR4" s="395"/>
      <c r="AS4" s="396"/>
      <c r="AT4" s="395"/>
      <c r="AU4" s="396"/>
      <c r="AV4" s="395"/>
      <c r="AW4" s="396"/>
      <c r="AX4" s="395"/>
      <c r="AZ4" s="366">
        <f t="shared" si="0"/>
        <v>0</v>
      </c>
    </row>
    <row r="5" spans="1:52" x14ac:dyDescent="0.55000000000000004">
      <c r="A5" s="390" t="s">
        <v>311</v>
      </c>
      <c r="B5" s="527">
        <v>0</v>
      </c>
      <c r="C5" s="528"/>
      <c r="D5" s="529"/>
      <c r="E5" s="361">
        <v>1</v>
      </c>
      <c r="F5" s="363"/>
      <c r="H5" s="390" t="s">
        <v>311</v>
      </c>
      <c r="I5" s="527">
        <v>0</v>
      </c>
      <c r="J5" s="528"/>
      <c r="K5" s="529"/>
      <c r="L5" s="361">
        <v>1</v>
      </c>
      <c r="M5" s="363"/>
      <c r="N5" s="363"/>
      <c r="O5" s="390" t="s">
        <v>311</v>
      </c>
      <c r="P5" s="527">
        <v>0</v>
      </c>
      <c r="Q5" s="528"/>
      <c r="R5" s="529"/>
      <c r="S5" s="361">
        <v>1</v>
      </c>
      <c r="T5" s="363"/>
      <c r="U5" s="363"/>
      <c r="V5" s="398" t="s">
        <v>2</v>
      </c>
      <c r="W5" s="239">
        <f>W2*(1+W3)</f>
        <v>1.02</v>
      </c>
      <c r="X5" s="262">
        <f>W2*(1+X3)</f>
        <v>1</v>
      </c>
      <c r="Y5" s="414" t="s">
        <v>7</v>
      </c>
      <c r="Z5" s="363"/>
      <c r="AB5" s="365" t="s">
        <v>31</v>
      </c>
      <c r="AC5" s="397"/>
      <c r="AD5" s="366" t="str">
        <f>IF(AZ5=0,"",MAX(AZ2:AZ21)-AZ5)</f>
        <v/>
      </c>
      <c r="AE5" s="396"/>
      <c r="AF5" s="395"/>
      <c r="AG5" s="396"/>
      <c r="AH5" s="395"/>
      <c r="AI5" s="396"/>
      <c r="AJ5" s="395"/>
      <c r="AK5" s="396"/>
      <c r="AL5" s="395"/>
      <c r="AM5" s="396"/>
      <c r="AN5" s="395"/>
      <c r="AO5" s="396"/>
      <c r="AP5" s="395"/>
      <c r="AQ5" s="396"/>
      <c r="AR5" s="395"/>
      <c r="AS5" s="396"/>
      <c r="AT5" s="395"/>
      <c r="AU5" s="396"/>
      <c r="AV5" s="395"/>
      <c r="AW5" s="396"/>
      <c r="AX5" s="395"/>
      <c r="AZ5" s="366">
        <f t="shared" si="0"/>
        <v>0</v>
      </c>
    </row>
    <row r="6" spans="1:52" x14ac:dyDescent="0.55000000000000004">
      <c r="A6" s="390" t="s">
        <v>3</v>
      </c>
      <c r="B6" s="401">
        <v>0.02</v>
      </c>
      <c r="C6" s="402">
        <v>0</v>
      </c>
      <c r="D6" s="382">
        <v>0</v>
      </c>
      <c r="E6" s="361" t="s">
        <v>38</v>
      </c>
      <c r="F6" s="363"/>
      <c r="H6" s="390" t="s">
        <v>3</v>
      </c>
      <c r="I6" s="401">
        <v>0.02</v>
      </c>
      <c r="J6" s="402">
        <v>0</v>
      </c>
      <c r="K6" s="382">
        <v>0</v>
      </c>
      <c r="L6" s="361" t="s">
        <v>38</v>
      </c>
      <c r="M6" s="363"/>
      <c r="N6" s="363"/>
      <c r="O6" s="390" t="s">
        <v>3</v>
      </c>
      <c r="P6" s="401">
        <v>0.02</v>
      </c>
      <c r="Q6" s="402">
        <v>0</v>
      </c>
      <c r="R6" s="382">
        <v>0</v>
      </c>
      <c r="S6" s="361" t="s">
        <v>38</v>
      </c>
      <c r="T6" s="363"/>
      <c r="U6" s="363"/>
      <c r="V6" s="364"/>
      <c r="W6" s="368"/>
      <c r="X6" s="380"/>
      <c r="Y6" s="400" t="str">
        <f>IF(SUM(Y10:Y11)&gt;0.1*Y14, "Warning: high [enzyme]. Raise rxn volume. Or lower enzyme volume.","")</f>
        <v/>
      </c>
      <c r="Z6" s="363"/>
      <c r="AB6" s="365" t="s">
        <v>32</v>
      </c>
      <c r="AC6" s="397"/>
      <c r="AD6" s="366" t="str">
        <f>IF(AZ6=0,"",MAX(AZ2:AZ21)-AZ6)</f>
        <v/>
      </c>
      <c r="AE6" s="396"/>
      <c r="AF6" s="395"/>
      <c r="AG6" s="396"/>
      <c r="AH6" s="395"/>
      <c r="AI6" s="396"/>
      <c r="AJ6" s="395"/>
      <c r="AK6" s="396"/>
      <c r="AL6" s="395"/>
      <c r="AM6" s="396"/>
      <c r="AN6" s="395"/>
      <c r="AO6" s="396"/>
      <c r="AP6" s="395"/>
      <c r="AQ6" s="396"/>
      <c r="AR6" s="395"/>
      <c r="AS6" s="396"/>
      <c r="AT6" s="395"/>
      <c r="AU6" s="396"/>
      <c r="AV6" s="395"/>
      <c r="AW6" s="396"/>
      <c r="AX6" s="395"/>
      <c r="AZ6" s="366">
        <f>SUM(AF6,AH6,AJ6,AL6,AN6,AP6,AR6,AT6,AV6,AX6)</f>
        <v>0</v>
      </c>
    </row>
    <row r="7" spans="1:52" ht="16.8" x14ac:dyDescent="0.75">
      <c r="B7" s="403"/>
      <c r="D7" s="381"/>
      <c r="E7" s="371"/>
      <c r="F7" s="363"/>
      <c r="I7" s="403"/>
      <c r="K7" s="381"/>
      <c r="L7" s="371"/>
      <c r="M7" s="363"/>
      <c r="N7" s="363"/>
      <c r="P7" s="403"/>
      <c r="R7" s="381"/>
      <c r="S7" s="371"/>
      <c r="T7" s="363"/>
      <c r="U7" s="363"/>
      <c r="V7" s="364" t="s">
        <v>13</v>
      </c>
      <c r="W7" s="406">
        <f>W5*Y7</f>
        <v>11.22</v>
      </c>
      <c r="X7" s="256">
        <f>X5*Y7</f>
        <v>11</v>
      </c>
      <c r="Y7" s="156">
        <f>Y14-SUM(Y8:Y12)</f>
        <v>11</v>
      </c>
      <c r="Z7" s="363" t="s">
        <v>10</v>
      </c>
      <c r="AB7" s="365" t="s">
        <v>33</v>
      </c>
      <c r="AC7" s="397"/>
      <c r="AD7" s="366" t="str">
        <f>IF(AZ7=0,"",MAX(AZ2:AZ21)-AZ7)</f>
        <v/>
      </c>
      <c r="AE7" s="396"/>
      <c r="AF7" s="395"/>
      <c r="AG7" s="396"/>
      <c r="AH7" s="395"/>
      <c r="AI7" s="396"/>
      <c r="AJ7" s="395"/>
      <c r="AK7" s="396"/>
      <c r="AL7" s="395"/>
      <c r="AM7" s="396"/>
      <c r="AN7" s="395"/>
      <c r="AO7" s="396"/>
      <c r="AP7" s="395"/>
      <c r="AQ7" s="396"/>
      <c r="AR7" s="395"/>
      <c r="AS7" s="396"/>
      <c r="AT7" s="395"/>
      <c r="AU7" s="396"/>
      <c r="AV7" s="395"/>
      <c r="AW7" s="396"/>
      <c r="AX7" s="395"/>
      <c r="AZ7" s="366">
        <f>SUM(AF7,AH7,AJ7,AL7,AN7,AP7,AR7,AT7,AV7,AX7)</f>
        <v>0</v>
      </c>
    </row>
    <row r="8" spans="1:52" x14ac:dyDescent="0.55000000000000004">
      <c r="A8" s="398" t="s">
        <v>2</v>
      </c>
      <c r="B8" s="411">
        <f>B2*(1+B6)</f>
        <v>10.199999999999999</v>
      </c>
      <c r="C8" s="412">
        <f>B2*(1+D6)</f>
        <v>10</v>
      </c>
      <c r="D8" s="413">
        <v>1</v>
      </c>
      <c r="E8" s="414" t="s">
        <v>7</v>
      </c>
      <c r="F8" s="363"/>
      <c r="H8" s="398" t="s">
        <v>2</v>
      </c>
      <c r="I8" s="411">
        <f>I2*(1+I6)</f>
        <v>0</v>
      </c>
      <c r="J8" s="412">
        <f>I2*(1+K6)</f>
        <v>0</v>
      </c>
      <c r="K8" s="413">
        <v>1</v>
      </c>
      <c r="L8" s="414" t="s">
        <v>7</v>
      </c>
      <c r="M8" s="363"/>
      <c r="N8" s="363"/>
      <c r="O8" s="398" t="s">
        <v>2</v>
      </c>
      <c r="P8" s="411">
        <f>P2*(1+P6)</f>
        <v>0</v>
      </c>
      <c r="Q8" s="412">
        <f>P2*(1+R6)</f>
        <v>0</v>
      </c>
      <c r="R8" s="413">
        <v>1</v>
      </c>
      <c r="S8" s="414" t="s">
        <v>7</v>
      </c>
      <c r="T8" s="363"/>
      <c r="U8" s="363"/>
      <c r="V8" s="364" t="s">
        <v>11</v>
      </c>
      <c r="W8" s="406">
        <f>W5*Y8</f>
        <v>1.53</v>
      </c>
      <c r="X8" s="377">
        <f>X5*Y8</f>
        <v>1.5</v>
      </c>
      <c r="Y8" s="369">
        <f>Y14/10</f>
        <v>1.5</v>
      </c>
      <c r="Z8" s="363" t="s">
        <v>10</v>
      </c>
      <c r="AB8" s="365" t="s">
        <v>34</v>
      </c>
      <c r="AC8" s="397"/>
      <c r="AD8" s="366" t="str">
        <f>IF(AZ8=0,"",MAX(AZ2:AZ21)-AZ8)</f>
        <v/>
      </c>
      <c r="AE8" s="396"/>
      <c r="AF8" s="395"/>
      <c r="AG8" s="396"/>
      <c r="AH8" s="395"/>
      <c r="AI8" s="396"/>
      <c r="AJ8" s="395"/>
      <c r="AK8" s="396"/>
      <c r="AL8" s="395"/>
      <c r="AM8" s="396"/>
      <c r="AN8" s="395"/>
      <c r="AO8" s="396"/>
      <c r="AP8" s="395"/>
      <c r="AQ8" s="396"/>
      <c r="AR8" s="395"/>
      <c r="AS8" s="396"/>
      <c r="AT8" s="395"/>
      <c r="AU8" s="396"/>
      <c r="AV8" s="395"/>
      <c r="AW8" s="396"/>
      <c r="AX8" s="395"/>
      <c r="AZ8" s="366">
        <f t="shared" si="0"/>
        <v>0</v>
      </c>
    </row>
    <row r="9" spans="1:52" x14ac:dyDescent="0.55000000000000004">
      <c r="A9" s="364"/>
      <c r="B9" s="405"/>
      <c r="C9" s="380"/>
      <c r="D9" s="400"/>
      <c r="E9" s="400" t="str">
        <f>IF(SUM(E13:E14)&gt;0.1*E21, "Warning: high [enzyme]. Raise rxn volume. Or lower enzyme volume.","")</f>
        <v/>
      </c>
      <c r="F9" s="437" t="s">
        <v>288</v>
      </c>
      <c r="H9" s="364"/>
      <c r="I9" s="405"/>
      <c r="J9" s="380"/>
      <c r="K9" s="400"/>
      <c r="L9" s="400" t="str">
        <f>IF(SUM(L13:L14)&gt;0.1*L21, "Warning: high [enzyme]. Raise rxn volume. Or lower enzyme volume.","")</f>
        <v/>
      </c>
      <c r="M9" s="437" t="s">
        <v>288</v>
      </c>
      <c r="N9" s="363"/>
      <c r="O9" s="364"/>
      <c r="P9" s="405"/>
      <c r="Q9" s="380"/>
      <c r="R9" s="400"/>
      <c r="S9" s="400" t="str">
        <f>IF(SUM(S13:S14)&gt;0.1*S21, "Warning: high [enzyme]. Raise rxn volume. Or lower enzyme volume.","")</f>
        <v/>
      </c>
      <c r="T9" s="437" t="s">
        <v>288</v>
      </c>
      <c r="U9" s="363"/>
      <c r="V9" s="416" t="s">
        <v>215</v>
      </c>
      <c r="W9" s="438">
        <f>W5*Y9</f>
        <v>1.53</v>
      </c>
      <c r="X9" s="419">
        <f>Y9*X5</f>
        <v>1.5</v>
      </c>
      <c r="Y9" s="417">
        <f>IF($Y$2="yes",Y14/10,0)</f>
        <v>1.5</v>
      </c>
      <c r="Z9" s="415" t="s">
        <v>10</v>
      </c>
      <c r="AB9" s="365" t="s">
        <v>35</v>
      </c>
      <c r="AC9" s="397"/>
      <c r="AD9" s="366" t="str">
        <f>IF(AZ9=0,"",MAX(AZ2:AZ21)-AZ9)</f>
        <v/>
      </c>
      <c r="AE9" s="396"/>
      <c r="AF9" s="395"/>
      <c r="AG9" s="396"/>
      <c r="AH9" s="395"/>
      <c r="AI9" s="396"/>
      <c r="AJ9" s="395"/>
      <c r="AK9" s="396"/>
      <c r="AL9" s="395"/>
      <c r="AM9" s="396"/>
      <c r="AN9" s="395"/>
      <c r="AO9" s="396"/>
      <c r="AP9" s="395"/>
      <c r="AQ9" s="396"/>
      <c r="AR9" s="395"/>
      <c r="AS9" s="396"/>
      <c r="AT9" s="395"/>
      <c r="AU9" s="396"/>
      <c r="AV9" s="395"/>
      <c r="AW9" s="396"/>
      <c r="AX9" s="395"/>
      <c r="AZ9" s="366">
        <f t="shared" si="0"/>
        <v>0</v>
      </c>
    </row>
    <row r="10" spans="1:52" ht="16.8" x14ac:dyDescent="0.75">
      <c r="A10" s="364" t="s">
        <v>13</v>
      </c>
      <c r="B10" s="406">
        <f>B8*E10</f>
        <v>76.5</v>
      </c>
      <c r="C10" s="404">
        <f>C8*E10</f>
        <v>75</v>
      </c>
      <c r="D10" s="379">
        <f>E21-SUM(E11:E14,E16*B3,E17*B4,E19*B5)</f>
        <v>7.5</v>
      </c>
      <c r="E10" s="369">
        <f>E21-SUM(E11:E14,E16*B3,E17*B4,E19*B5)</f>
        <v>7.5</v>
      </c>
      <c r="F10" s="363" t="s">
        <v>10</v>
      </c>
      <c r="G10" s="371"/>
      <c r="H10" s="364" t="s">
        <v>13</v>
      </c>
      <c r="I10" s="406">
        <f>I8*L10</f>
        <v>0</v>
      </c>
      <c r="J10" s="404">
        <f>J8*L10</f>
        <v>0</v>
      </c>
      <c r="K10" s="379">
        <f>L21-SUM(L11:L14,L16*I3,L17*I4,L19*I5)</f>
        <v>11</v>
      </c>
      <c r="L10" s="369">
        <f>L21-SUM(L11:L14,L16*I3,L17*I4,L19*I5)</f>
        <v>11</v>
      </c>
      <c r="M10" s="363" t="s">
        <v>10</v>
      </c>
      <c r="N10" s="363"/>
      <c r="O10" s="364" t="s">
        <v>13</v>
      </c>
      <c r="P10" s="406">
        <f>P8*S10</f>
        <v>0</v>
      </c>
      <c r="Q10" s="404">
        <f>Q8*S10</f>
        <v>0</v>
      </c>
      <c r="R10" s="379">
        <f>S21-SUM(S11:S14,S16*P3,S17*P4,S19*P5)</f>
        <v>11</v>
      </c>
      <c r="S10" s="369">
        <f>S21-SUM(S11:S14,S16*P3,S17*P4,S19*P5)</f>
        <v>11</v>
      </c>
      <c r="T10" s="363" t="s">
        <v>10</v>
      </c>
      <c r="U10" s="363"/>
      <c r="V10" s="364" t="s">
        <v>223</v>
      </c>
      <c r="W10" s="406">
        <f>W5*Y10</f>
        <v>0.51</v>
      </c>
      <c r="X10" s="377">
        <f>X5*Y10</f>
        <v>0.5</v>
      </c>
      <c r="Y10" s="360">
        <v>0.5</v>
      </c>
      <c r="Z10" s="363" t="s">
        <v>10</v>
      </c>
      <c r="AB10" s="365" t="s">
        <v>36</v>
      </c>
      <c r="AC10" s="397"/>
      <c r="AD10" s="366" t="str">
        <f>IF(AZ10=0,"",MAX(AZ2:AZ21)-AZ10)</f>
        <v/>
      </c>
      <c r="AE10" s="396"/>
      <c r="AF10" s="395"/>
      <c r="AG10" s="396"/>
      <c r="AH10" s="395"/>
      <c r="AI10" s="396"/>
      <c r="AJ10" s="395"/>
      <c r="AK10" s="396"/>
      <c r="AL10" s="395"/>
      <c r="AM10" s="396"/>
      <c r="AN10" s="395"/>
      <c r="AO10" s="396"/>
      <c r="AP10" s="395"/>
      <c r="AQ10" s="396"/>
      <c r="AR10" s="395"/>
      <c r="AS10" s="396"/>
      <c r="AT10" s="395"/>
      <c r="AU10" s="396"/>
      <c r="AV10" s="395"/>
      <c r="AW10" s="396"/>
      <c r="AX10" s="395"/>
      <c r="AZ10" s="366">
        <f t="shared" si="0"/>
        <v>0</v>
      </c>
    </row>
    <row r="11" spans="1:52" x14ac:dyDescent="0.55000000000000004">
      <c r="A11" s="364" t="s">
        <v>11</v>
      </c>
      <c r="B11" s="406">
        <f>B8*E11</f>
        <v>15.299999999999999</v>
      </c>
      <c r="C11" s="377">
        <f>C8*E11</f>
        <v>15</v>
      </c>
      <c r="D11" s="379">
        <f>D8*E11</f>
        <v>1.5</v>
      </c>
      <c r="E11" s="369">
        <f>E21/10</f>
        <v>1.5</v>
      </c>
      <c r="F11" s="363" t="s">
        <v>10</v>
      </c>
      <c r="G11" s="371"/>
      <c r="H11" s="364" t="s">
        <v>11</v>
      </c>
      <c r="I11" s="406">
        <f>I8*L11</f>
        <v>0</v>
      </c>
      <c r="J11" s="377">
        <f>J8*L11</f>
        <v>0</v>
      </c>
      <c r="K11" s="379">
        <f>K8*L11</f>
        <v>1.5</v>
      </c>
      <c r="L11" s="369">
        <f>L21/10</f>
        <v>1.5</v>
      </c>
      <c r="M11" s="363" t="s">
        <v>10</v>
      </c>
      <c r="N11" s="363"/>
      <c r="O11" s="364" t="s">
        <v>11</v>
      </c>
      <c r="P11" s="406">
        <f>P8*S11</f>
        <v>0</v>
      </c>
      <c r="Q11" s="377">
        <f>Q8*S11</f>
        <v>0</v>
      </c>
      <c r="R11" s="379">
        <f>R8*S11</f>
        <v>1.5</v>
      </c>
      <c r="S11" s="369">
        <f>S21/10</f>
        <v>1.5</v>
      </c>
      <c r="T11" s="363" t="s">
        <v>10</v>
      </c>
      <c r="U11" s="363"/>
      <c r="V11" s="364" t="s">
        <v>283</v>
      </c>
      <c r="W11" s="406">
        <f>W5*Y11</f>
        <v>0.51</v>
      </c>
      <c r="X11" s="377">
        <f>X5*Y11</f>
        <v>0.5</v>
      </c>
      <c r="Y11" s="360">
        <v>0.5</v>
      </c>
      <c r="Z11" s="363" t="s">
        <v>10</v>
      </c>
      <c r="AB11" s="365" t="s">
        <v>37</v>
      </c>
      <c r="AC11" s="397"/>
      <c r="AD11" s="366" t="str">
        <f>IF(AZ11=0,"",MAX(AZ2:AZ21)-AZ11)</f>
        <v/>
      </c>
      <c r="AE11" s="396"/>
      <c r="AF11" s="395"/>
      <c r="AG11" s="396"/>
      <c r="AH11" s="395"/>
      <c r="AI11" s="396"/>
      <c r="AJ11" s="395"/>
      <c r="AK11" s="396"/>
      <c r="AL11" s="395"/>
      <c r="AM11" s="396"/>
      <c r="AN11" s="395"/>
      <c r="AO11" s="396"/>
      <c r="AP11" s="395"/>
      <c r="AQ11" s="396"/>
      <c r="AR11" s="395"/>
      <c r="AS11" s="396"/>
      <c r="AT11" s="395"/>
      <c r="AU11" s="396"/>
      <c r="AV11" s="395"/>
      <c r="AW11" s="396"/>
      <c r="AX11" s="395"/>
      <c r="AZ11" s="366">
        <f t="shared" si="0"/>
        <v>0</v>
      </c>
    </row>
    <row r="12" spans="1:52" x14ac:dyDescent="0.55000000000000004">
      <c r="A12" s="416" t="s">
        <v>215</v>
      </c>
      <c r="B12" s="418">
        <f>B8*E12</f>
        <v>15.299999999999999</v>
      </c>
      <c r="C12" s="419">
        <f>C8*E12</f>
        <v>15</v>
      </c>
      <c r="D12" s="419">
        <f>D8*E12</f>
        <v>1.5</v>
      </c>
      <c r="E12" s="417">
        <f>IF(E2="yes",E21/10,0)</f>
        <v>1.5</v>
      </c>
      <c r="F12" s="415" t="s">
        <v>10</v>
      </c>
      <c r="G12" s="371"/>
      <c r="H12" s="416" t="s">
        <v>215</v>
      </c>
      <c r="I12" s="418">
        <f>I8*L12</f>
        <v>0</v>
      </c>
      <c r="J12" s="419">
        <f>J8*L12</f>
        <v>0</v>
      </c>
      <c r="K12" s="419">
        <f>K8*L12</f>
        <v>1.5</v>
      </c>
      <c r="L12" s="417">
        <f>IF(L2="yes",L21/10,0)</f>
        <v>1.5</v>
      </c>
      <c r="M12" s="415" t="s">
        <v>10</v>
      </c>
      <c r="N12" s="363"/>
      <c r="O12" s="416" t="s">
        <v>215</v>
      </c>
      <c r="P12" s="418">
        <f>P8*S12</f>
        <v>0</v>
      </c>
      <c r="Q12" s="419">
        <f>Q8*S12</f>
        <v>0</v>
      </c>
      <c r="R12" s="419">
        <f>R8*S12</f>
        <v>1.5</v>
      </c>
      <c r="S12" s="417">
        <f>IF(S2="yes",S21/10,0)</f>
        <v>1.5</v>
      </c>
      <c r="T12" s="415" t="s">
        <v>10</v>
      </c>
      <c r="U12" s="363"/>
      <c r="V12" s="364" t="s">
        <v>171</v>
      </c>
      <c r="W12" s="157">
        <f>Y12*W5</f>
        <v>0</v>
      </c>
      <c r="X12" s="257">
        <f>Y12*X5</f>
        <v>0</v>
      </c>
      <c r="Y12" s="158">
        <f>MAX(AZ2:AZ21)</f>
        <v>0</v>
      </c>
      <c r="Z12" s="363" t="s">
        <v>10</v>
      </c>
      <c r="AB12" s="365" t="s">
        <v>41</v>
      </c>
      <c r="AC12" s="397"/>
      <c r="AD12" s="366" t="str">
        <f>IF(AZ12=0,"",MAX(AZ2:AZ21)-AZ12)</f>
        <v/>
      </c>
      <c r="AE12" s="396"/>
      <c r="AF12" s="395"/>
      <c r="AG12" s="396"/>
      <c r="AH12" s="395"/>
      <c r="AI12" s="396"/>
      <c r="AJ12" s="395"/>
      <c r="AK12" s="396"/>
      <c r="AL12" s="395"/>
      <c r="AM12" s="396"/>
      <c r="AN12" s="395"/>
      <c r="AO12" s="396"/>
      <c r="AP12" s="395"/>
      <c r="AQ12" s="396"/>
      <c r="AR12" s="395"/>
      <c r="AS12" s="396"/>
      <c r="AT12" s="395"/>
      <c r="AU12" s="396"/>
      <c r="AV12" s="395"/>
      <c r="AW12" s="396"/>
      <c r="AX12" s="395"/>
      <c r="AZ12" s="366">
        <f t="shared" si="0"/>
        <v>0</v>
      </c>
    </row>
    <row r="13" spans="1:52" ht="16.8" x14ac:dyDescent="0.75">
      <c r="A13" s="364" t="s">
        <v>223</v>
      </c>
      <c r="B13" s="406">
        <f>B8*E13</f>
        <v>5.0999999999999996</v>
      </c>
      <c r="C13" s="377">
        <f>C8*E13</f>
        <v>5</v>
      </c>
      <c r="D13" s="377">
        <f>D8*E13</f>
        <v>0.5</v>
      </c>
      <c r="E13" s="360">
        <v>0.5</v>
      </c>
      <c r="F13" s="363" t="s">
        <v>10</v>
      </c>
      <c r="H13" s="364" t="s">
        <v>223</v>
      </c>
      <c r="I13" s="406">
        <f>I8*L13</f>
        <v>0</v>
      </c>
      <c r="J13" s="377">
        <f>J8*L13</f>
        <v>0</v>
      </c>
      <c r="K13" s="377">
        <f>K8*L13</f>
        <v>0.5</v>
      </c>
      <c r="L13" s="360">
        <v>0.5</v>
      </c>
      <c r="M13" s="363" t="s">
        <v>10</v>
      </c>
      <c r="N13" s="363"/>
      <c r="O13" s="364" t="s">
        <v>223</v>
      </c>
      <c r="P13" s="406">
        <f>P8*S13</f>
        <v>0</v>
      </c>
      <c r="Q13" s="377">
        <f>Q8*S13</f>
        <v>0</v>
      </c>
      <c r="R13" s="377">
        <f>R8*S13</f>
        <v>0.5</v>
      </c>
      <c r="S13" s="360">
        <v>0.5</v>
      </c>
      <c r="T13" s="363" t="s">
        <v>10</v>
      </c>
      <c r="U13" s="363"/>
      <c r="V13" s="364"/>
      <c r="W13" s="368"/>
      <c r="X13" s="378"/>
      <c r="Y13" s="362"/>
      <c r="Z13" s="363"/>
      <c r="AB13" s="365" t="s">
        <v>42</v>
      </c>
      <c r="AC13" s="397"/>
      <c r="AD13" s="366" t="str">
        <f>IF(AZ13=0,"",MAX(AZ2:AZ21)-AZ13)</f>
        <v/>
      </c>
      <c r="AE13" s="396"/>
      <c r="AF13" s="395"/>
      <c r="AG13" s="396"/>
      <c r="AH13" s="395"/>
      <c r="AI13" s="396"/>
      <c r="AJ13" s="395"/>
      <c r="AK13" s="396"/>
      <c r="AL13" s="395"/>
      <c r="AM13" s="396"/>
      <c r="AN13" s="395"/>
      <c r="AO13" s="396"/>
      <c r="AP13" s="395"/>
      <c r="AQ13" s="396"/>
      <c r="AR13" s="395"/>
      <c r="AS13" s="396"/>
      <c r="AT13" s="395"/>
      <c r="AU13" s="396"/>
      <c r="AV13" s="395"/>
      <c r="AW13" s="396"/>
      <c r="AX13" s="395"/>
      <c r="AZ13" s="366">
        <f t="shared" si="0"/>
        <v>0</v>
      </c>
    </row>
    <row r="14" spans="1:52" s="362" customFormat="1" x14ac:dyDescent="0.55000000000000004">
      <c r="A14" s="364" t="s">
        <v>283</v>
      </c>
      <c r="B14" s="406">
        <f>B8*E14</f>
        <v>5.0999999999999996</v>
      </c>
      <c r="C14" s="377">
        <f>C8*E14</f>
        <v>5</v>
      </c>
      <c r="D14" s="377">
        <f>D8*E14</f>
        <v>0.5</v>
      </c>
      <c r="E14" s="360">
        <v>0.5</v>
      </c>
      <c r="F14" s="363" t="s">
        <v>10</v>
      </c>
      <c r="G14" s="358"/>
      <c r="H14" s="364" t="s">
        <v>283</v>
      </c>
      <c r="I14" s="406">
        <f>I8*L14</f>
        <v>0</v>
      </c>
      <c r="J14" s="377">
        <f>J8*L14</f>
        <v>0</v>
      </c>
      <c r="K14" s="377">
        <f>K8*L14</f>
        <v>0.5</v>
      </c>
      <c r="L14" s="360">
        <v>0.5</v>
      </c>
      <c r="M14" s="363" t="s">
        <v>10</v>
      </c>
      <c r="N14" s="363"/>
      <c r="O14" s="364" t="s">
        <v>283</v>
      </c>
      <c r="P14" s="406">
        <f>P8*S14</f>
        <v>0</v>
      </c>
      <c r="Q14" s="377">
        <f>Q8*S14</f>
        <v>0</v>
      </c>
      <c r="R14" s="377">
        <f>R8*S14</f>
        <v>0.5</v>
      </c>
      <c r="S14" s="360">
        <v>0.5</v>
      </c>
      <c r="T14" s="363" t="s">
        <v>10</v>
      </c>
      <c r="U14" s="384"/>
      <c r="V14" s="391" t="s">
        <v>4</v>
      </c>
      <c r="W14" s="373">
        <f>SUM(W7:W12)</f>
        <v>15.299999999999999</v>
      </c>
      <c r="X14" s="385">
        <f>SUM(X7:X12)</f>
        <v>15</v>
      </c>
      <c r="Y14" s="386">
        <v>15</v>
      </c>
      <c r="Z14" s="374" t="s">
        <v>10</v>
      </c>
      <c r="AB14" s="365" t="s">
        <v>43</v>
      </c>
      <c r="AC14" s="397"/>
      <c r="AD14" s="366" t="str">
        <f>IF(AZ14=0,"",MAX(AZ2:AZ21)-AZ14)</f>
        <v/>
      </c>
      <c r="AE14" s="396"/>
      <c r="AF14" s="395"/>
      <c r="AG14" s="396"/>
      <c r="AH14" s="395"/>
      <c r="AI14" s="396"/>
      <c r="AJ14" s="395"/>
      <c r="AK14" s="396"/>
      <c r="AL14" s="395"/>
      <c r="AM14" s="396"/>
      <c r="AN14" s="395"/>
      <c r="AO14" s="396"/>
      <c r="AP14" s="395"/>
      <c r="AQ14" s="396"/>
      <c r="AR14" s="395"/>
      <c r="AS14" s="396"/>
      <c r="AT14" s="395"/>
      <c r="AU14" s="396"/>
      <c r="AV14" s="395"/>
      <c r="AW14" s="396"/>
      <c r="AX14" s="395"/>
      <c r="AZ14" s="366">
        <f t="shared" si="0"/>
        <v>0</v>
      </c>
    </row>
    <row r="15" spans="1:52" x14ac:dyDescent="0.55000000000000004">
      <c r="A15" s="383"/>
      <c r="B15" s="524" t="s">
        <v>4</v>
      </c>
      <c r="C15" s="524"/>
      <c r="D15" s="525"/>
      <c r="E15" s="409" t="s">
        <v>97</v>
      </c>
      <c r="F15" s="384"/>
      <c r="G15" s="362"/>
      <c r="H15" s="383"/>
      <c r="I15" s="524" t="s">
        <v>4</v>
      </c>
      <c r="J15" s="524"/>
      <c r="K15" s="525"/>
      <c r="L15" s="409" t="s">
        <v>97</v>
      </c>
      <c r="M15" s="384"/>
      <c r="N15" s="384"/>
      <c r="O15" s="383"/>
      <c r="P15" s="524" t="s">
        <v>4</v>
      </c>
      <c r="Q15" s="524"/>
      <c r="R15" s="525"/>
      <c r="S15" s="409" t="s">
        <v>97</v>
      </c>
      <c r="T15" s="384"/>
      <c r="U15" s="363"/>
      <c r="V15" s="391" t="s">
        <v>90</v>
      </c>
      <c r="W15" s="373">
        <f>SUM(W7:W11)</f>
        <v>15.299999999999999</v>
      </c>
      <c r="X15" s="385">
        <f>SUM(X7:X11)</f>
        <v>15</v>
      </c>
      <c r="Y15" s="375">
        <f>SUM(Y7:Y11)</f>
        <v>15</v>
      </c>
      <c r="Z15" s="374" t="s">
        <v>10</v>
      </c>
      <c r="AB15" s="365" t="s">
        <v>44</v>
      </c>
      <c r="AC15" s="397"/>
      <c r="AD15" s="366" t="str">
        <f>IF(AZ15=0,"",MAX(AZ2:AZ21)-AZ15)</f>
        <v/>
      </c>
      <c r="AE15" s="396"/>
      <c r="AF15" s="395"/>
      <c r="AG15" s="396"/>
      <c r="AH15" s="395"/>
      <c r="AI15" s="396"/>
      <c r="AJ15" s="395"/>
      <c r="AK15" s="396"/>
      <c r="AL15" s="395"/>
      <c r="AM15" s="396"/>
      <c r="AN15" s="395"/>
      <c r="AO15" s="396"/>
      <c r="AP15" s="395"/>
      <c r="AQ15" s="396"/>
      <c r="AR15" s="395"/>
      <c r="AS15" s="396"/>
      <c r="AT15" s="395"/>
      <c r="AU15" s="396"/>
      <c r="AV15" s="395"/>
      <c r="AW15" s="396"/>
      <c r="AX15" s="395"/>
      <c r="AZ15" s="366">
        <f t="shared" si="0"/>
        <v>0</v>
      </c>
    </row>
    <row r="16" spans="1:52" x14ac:dyDescent="0.55000000000000004">
      <c r="A16" s="364" t="s">
        <v>312</v>
      </c>
      <c r="B16" s="406">
        <f>B8*B3*E16</f>
        <v>30.599999999999998</v>
      </c>
      <c r="C16" s="404">
        <f>C8*B3*E16</f>
        <v>30</v>
      </c>
      <c r="D16" s="379">
        <f>D8*B3*E16</f>
        <v>3</v>
      </c>
      <c r="E16" s="360">
        <v>0.5</v>
      </c>
      <c r="F16" s="363" t="s">
        <v>10</v>
      </c>
      <c r="H16" s="364" t="s">
        <v>312</v>
      </c>
      <c r="I16" s="406">
        <f>I8*I3*L16</f>
        <v>0</v>
      </c>
      <c r="J16" s="404">
        <f>J8*I3*L16</f>
        <v>0</v>
      </c>
      <c r="K16" s="379">
        <f>K8*I3*L16</f>
        <v>0</v>
      </c>
      <c r="L16" s="360">
        <v>0.5</v>
      </c>
      <c r="M16" s="363" t="s">
        <v>10</v>
      </c>
      <c r="N16" s="363"/>
      <c r="O16" s="364" t="s">
        <v>312</v>
      </c>
      <c r="P16" s="406">
        <f>P8*P3*S16</f>
        <v>0</v>
      </c>
      <c r="Q16" s="404">
        <f>Q8*P3*S16</f>
        <v>0</v>
      </c>
      <c r="R16" s="379">
        <f>R8*P3*S16</f>
        <v>0</v>
      </c>
      <c r="S16" s="360">
        <v>0.5</v>
      </c>
      <c r="T16" s="363" t="s">
        <v>10</v>
      </c>
      <c r="U16" s="363"/>
      <c r="V16" s="391" t="s">
        <v>96</v>
      </c>
      <c r="W16" s="373">
        <f>SUM(W7:W12)</f>
        <v>15.299999999999999</v>
      </c>
      <c r="X16" s="258">
        <f>SUM(X7:X12)</f>
        <v>15</v>
      </c>
      <c r="Y16" s="388" t="s">
        <v>38</v>
      </c>
      <c r="Z16" s="374" t="s">
        <v>10</v>
      </c>
      <c r="AB16" s="365" t="s">
        <v>45</v>
      </c>
      <c r="AC16" s="397"/>
      <c r="AD16" s="366" t="str">
        <f>IF(AZ16=0,"",MAX(AZ2:AZ21)-AZ16)</f>
        <v/>
      </c>
      <c r="AE16" s="396"/>
      <c r="AF16" s="395"/>
      <c r="AG16" s="396"/>
      <c r="AH16" s="395"/>
      <c r="AI16" s="396"/>
      <c r="AJ16" s="395"/>
      <c r="AK16" s="396"/>
      <c r="AL16" s="395"/>
      <c r="AM16" s="396"/>
      <c r="AN16" s="395"/>
      <c r="AO16" s="396"/>
      <c r="AP16" s="395"/>
      <c r="AQ16" s="396"/>
      <c r="AR16" s="395"/>
      <c r="AS16" s="396"/>
      <c r="AT16" s="395"/>
      <c r="AU16" s="396"/>
      <c r="AV16" s="395"/>
      <c r="AW16" s="396"/>
      <c r="AX16" s="395"/>
      <c r="AZ16" s="366">
        <f t="shared" si="0"/>
        <v>0</v>
      </c>
    </row>
    <row r="17" spans="1:52" x14ac:dyDescent="0.55000000000000004">
      <c r="A17" s="526" t="s">
        <v>235</v>
      </c>
      <c r="B17" s="439">
        <f>B8*B4*E17</f>
        <v>5.0999999999999996</v>
      </c>
      <c r="C17" s="440">
        <f>C8*B4*E17</f>
        <v>5</v>
      </c>
      <c r="D17" s="440">
        <f>D8*B4*E17</f>
        <v>0.5</v>
      </c>
      <c r="E17" s="520">
        <v>0.5</v>
      </c>
      <c r="F17" s="522" t="s">
        <v>10</v>
      </c>
      <c r="H17" s="526" t="s">
        <v>235</v>
      </c>
      <c r="I17" s="439">
        <f>I8*I4*L17</f>
        <v>0</v>
      </c>
      <c r="J17" s="440">
        <f>J8*I4*L17</f>
        <v>0</v>
      </c>
      <c r="K17" s="440">
        <f>K8*I4*L17</f>
        <v>0</v>
      </c>
      <c r="L17" s="520">
        <v>0.5</v>
      </c>
      <c r="M17" s="522" t="s">
        <v>10</v>
      </c>
      <c r="N17" s="363"/>
      <c r="O17" s="526" t="s">
        <v>235</v>
      </c>
      <c r="P17" s="439">
        <f>P8*P4*S17</f>
        <v>0</v>
      </c>
      <c r="Q17" s="440">
        <f>Q8*P4*S17</f>
        <v>0</v>
      </c>
      <c r="R17" s="440">
        <f>R8*P4*S17</f>
        <v>0</v>
      </c>
      <c r="S17" s="520">
        <v>0.5</v>
      </c>
      <c r="T17" s="522" t="s">
        <v>10</v>
      </c>
      <c r="U17" s="363"/>
      <c r="AB17" s="365" t="s">
        <v>46</v>
      </c>
      <c r="AC17" s="397"/>
      <c r="AD17" s="366" t="str">
        <f>IF(AZ17=0,"",MAX(AZ2:AZ21)-AZ17)</f>
        <v/>
      </c>
      <c r="AE17" s="396"/>
      <c r="AF17" s="395"/>
      <c r="AG17" s="396"/>
      <c r="AH17" s="395"/>
      <c r="AI17" s="396"/>
      <c r="AJ17" s="395"/>
      <c r="AK17" s="396"/>
      <c r="AL17" s="395"/>
      <c r="AM17" s="396"/>
      <c r="AN17" s="395"/>
      <c r="AO17" s="396"/>
      <c r="AP17" s="395"/>
      <c r="AQ17" s="396"/>
      <c r="AR17" s="395"/>
      <c r="AS17" s="396"/>
      <c r="AT17" s="395"/>
      <c r="AU17" s="396"/>
      <c r="AV17" s="395"/>
      <c r="AW17" s="396"/>
      <c r="AX17" s="395"/>
      <c r="AZ17" s="366">
        <f t="shared" si="0"/>
        <v>0</v>
      </c>
    </row>
    <row r="18" spans="1:52" x14ac:dyDescent="0.55000000000000004">
      <c r="A18" s="526"/>
      <c r="B18" s="441" t="str">
        <f>IF(B4=0,"",_xlfn.CONCAT("(",B8*E17," × ",B4,")"))</f>
        <v>(5.1 × 1)</v>
      </c>
      <c r="C18" s="442" t="str">
        <f>IF(B4=0,"",_xlfn.CONCAT("(",C8*E17," × ",B4,")"))</f>
        <v>(5 × 1)</v>
      </c>
      <c r="D18" s="443" t="str">
        <f>IF(B4=0,"",_xlfn.CONCAT("(",D8*E17," × ",B4,")"))</f>
        <v>(0.5 × 1)</v>
      </c>
      <c r="E18" s="521"/>
      <c r="F18" s="522"/>
      <c r="H18" s="526"/>
      <c r="I18" s="441" t="str">
        <f>IF(I4=0,"",_xlfn.CONCAT("(",I8*L17," × ",I4,")"))</f>
        <v/>
      </c>
      <c r="J18" s="442" t="str">
        <f>IF(I4=0,"",_xlfn.CONCAT("(",J8*L17," × ",I4,")"))</f>
        <v/>
      </c>
      <c r="K18" s="443" t="str">
        <f>IF(I4=0,"",_xlfn.CONCAT("(",K8*L17," × ",I4,")"))</f>
        <v/>
      </c>
      <c r="L18" s="521"/>
      <c r="M18" s="522"/>
      <c r="N18" s="363"/>
      <c r="O18" s="526"/>
      <c r="P18" s="441" t="str">
        <f>IF(P4=0,"",_xlfn.CONCAT("(",P8*S17," × ",P4,")"))</f>
        <v/>
      </c>
      <c r="Q18" s="442" t="str">
        <f>IF(P4=0,"",_xlfn.CONCAT("(",Q8*S17," × ",P4,")"))</f>
        <v/>
      </c>
      <c r="R18" s="443" t="str">
        <f>IF(P4=0,"",_xlfn.CONCAT("(",R8*S17," × ",P4,")"))</f>
        <v/>
      </c>
      <c r="S18" s="521"/>
      <c r="T18" s="522"/>
      <c r="U18" s="363"/>
      <c r="AB18" s="365" t="s">
        <v>47</v>
      </c>
      <c r="AC18" s="397"/>
      <c r="AD18" s="366" t="str">
        <f>IF(AZ18=0,"",MAX(AZ2:AZ21)-AZ18)</f>
        <v/>
      </c>
      <c r="AE18" s="396"/>
      <c r="AF18" s="395"/>
      <c r="AG18" s="396"/>
      <c r="AH18" s="395"/>
      <c r="AI18" s="396"/>
      <c r="AJ18" s="395"/>
      <c r="AK18" s="396"/>
      <c r="AL18" s="395"/>
      <c r="AM18" s="396"/>
      <c r="AN18" s="395"/>
      <c r="AO18" s="396"/>
      <c r="AP18" s="395"/>
      <c r="AQ18" s="396"/>
      <c r="AR18" s="395"/>
      <c r="AS18" s="396"/>
      <c r="AT18" s="395"/>
      <c r="AU18" s="396"/>
      <c r="AV18" s="395"/>
      <c r="AW18" s="396"/>
      <c r="AX18" s="395"/>
      <c r="AZ18" s="366">
        <f t="shared" si="0"/>
        <v>0</v>
      </c>
    </row>
    <row r="19" spans="1:52" x14ac:dyDescent="0.55000000000000004">
      <c r="A19" s="416" t="s">
        <v>313</v>
      </c>
      <c r="B19" s="418">
        <f>B8*B5*E19</f>
        <v>0</v>
      </c>
      <c r="C19" s="419">
        <f>C8*B5*E19</f>
        <v>0</v>
      </c>
      <c r="D19" s="419">
        <f>D8*B5*E19</f>
        <v>0</v>
      </c>
      <c r="E19" s="444">
        <v>0.5</v>
      </c>
      <c r="F19" s="415" t="s">
        <v>10</v>
      </c>
      <c r="H19" s="416" t="s">
        <v>313</v>
      </c>
      <c r="I19" s="418">
        <f>I8*I5*L19</f>
        <v>0</v>
      </c>
      <c r="J19" s="419">
        <f>J8*I5*L19</f>
        <v>0</v>
      </c>
      <c r="K19" s="419">
        <f>K8*I5*L19</f>
        <v>0</v>
      </c>
      <c r="L19" s="444">
        <v>0.5</v>
      </c>
      <c r="M19" s="415" t="s">
        <v>10</v>
      </c>
      <c r="N19" s="363"/>
      <c r="O19" s="416" t="s">
        <v>313</v>
      </c>
      <c r="P19" s="418">
        <f>P8*P5*S19</f>
        <v>0</v>
      </c>
      <c r="Q19" s="419">
        <f>Q8*P5*S19</f>
        <v>0</v>
      </c>
      <c r="R19" s="419">
        <f>R8*P5*S19</f>
        <v>0</v>
      </c>
      <c r="S19" s="444">
        <v>0.5</v>
      </c>
      <c r="T19" s="415" t="s">
        <v>10</v>
      </c>
      <c r="U19" s="374"/>
      <c r="AB19" s="365" t="s">
        <v>48</v>
      </c>
      <c r="AC19" s="397"/>
      <c r="AD19" s="366" t="str">
        <f>IF(AZ19=0,"",MAX(AZ2:AZ21)-AZ19)</f>
        <v/>
      </c>
      <c r="AE19" s="396"/>
      <c r="AF19" s="395"/>
      <c r="AG19" s="396"/>
      <c r="AH19" s="395"/>
      <c r="AI19" s="396"/>
      <c r="AJ19" s="395"/>
      <c r="AK19" s="396"/>
      <c r="AL19" s="395"/>
      <c r="AM19" s="396"/>
      <c r="AN19" s="395"/>
      <c r="AO19" s="396"/>
      <c r="AP19" s="395"/>
      <c r="AQ19" s="396"/>
      <c r="AR19" s="395"/>
      <c r="AS19" s="396"/>
      <c r="AT19" s="395"/>
      <c r="AU19" s="396"/>
      <c r="AV19" s="395"/>
      <c r="AW19" s="396"/>
      <c r="AX19" s="395"/>
      <c r="AZ19" s="366">
        <f t="shared" si="0"/>
        <v>0</v>
      </c>
    </row>
    <row r="20" spans="1:52" x14ac:dyDescent="0.55000000000000004">
      <c r="A20" s="364"/>
      <c r="B20" s="368"/>
      <c r="C20" s="378"/>
      <c r="D20" s="376"/>
      <c r="E20" s="362"/>
      <c r="F20" s="363"/>
      <c r="H20" s="364"/>
      <c r="I20" s="368"/>
      <c r="J20" s="378"/>
      <c r="K20" s="376"/>
      <c r="L20" s="362"/>
      <c r="M20" s="363"/>
      <c r="N20" s="363"/>
      <c r="O20" s="364"/>
      <c r="P20" s="368"/>
      <c r="Q20" s="378"/>
      <c r="R20" s="376"/>
      <c r="S20" s="362"/>
      <c r="T20" s="363"/>
      <c r="U20" s="374"/>
      <c r="AB20" s="365" t="s">
        <v>49</v>
      </c>
      <c r="AC20" s="397"/>
      <c r="AD20" s="366" t="str">
        <f>IF(AZ20=0,"",MAX(AZ2:AZ21)-AZ20)</f>
        <v/>
      </c>
      <c r="AE20" s="396"/>
      <c r="AF20" s="395"/>
      <c r="AG20" s="396"/>
      <c r="AH20" s="395"/>
      <c r="AI20" s="396"/>
      <c r="AJ20" s="395"/>
      <c r="AK20" s="396"/>
      <c r="AL20" s="395"/>
      <c r="AM20" s="396"/>
      <c r="AN20" s="395"/>
      <c r="AO20" s="396"/>
      <c r="AP20" s="395"/>
      <c r="AQ20" s="396"/>
      <c r="AR20" s="395"/>
      <c r="AS20" s="396"/>
      <c r="AT20" s="395"/>
      <c r="AU20" s="396"/>
      <c r="AV20" s="395"/>
      <c r="AW20" s="396"/>
      <c r="AX20" s="395"/>
      <c r="AZ20" s="366">
        <f t="shared" si="0"/>
        <v>0</v>
      </c>
    </row>
    <row r="21" spans="1:52" x14ac:dyDescent="0.55000000000000004">
      <c r="A21" s="391" t="s">
        <v>4</v>
      </c>
      <c r="B21" s="373">
        <f>SUM(B10:B17,B19)</f>
        <v>152.99999999999997</v>
      </c>
      <c r="C21" s="445">
        <f t="shared" ref="C21:D21" si="1">SUM(C10:C17,C19)</f>
        <v>150</v>
      </c>
      <c r="D21" s="373">
        <f t="shared" si="1"/>
        <v>15</v>
      </c>
      <c r="E21" s="386">
        <v>15</v>
      </c>
      <c r="F21" s="374" t="s">
        <v>10</v>
      </c>
      <c r="H21" s="391" t="s">
        <v>4</v>
      </c>
      <c r="I21" s="373">
        <f>SUM(I10:I17,I19)</f>
        <v>0</v>
      </c>
      <c r="J21" s="445">
        <f t="shared" ref="J21:K21" si="2">SUM(J10:J17,J19)</f>
        <v>0</v>
      </c>
      <c r="K21" s="373">
        <f t="shared" si="2"/>
        <v>15</v>
      </c>
      <c r="L21" s="386">
        <v>15</v>
      </c>
      <c r="M21" s="374" t="s">
        <v>10</v>
      </c>
      <c r="N21" s="374"/>
      <c r="O21" s="391" t="s">
        <v>4</v>
      </c>
      <c r="P21" s="373">
        <f>SUM(P10:P17,P19)</f>
        <v>0</v>
      </c>
      <c r="Q21" s="445">
        <f t="shared" ref="Q21:R21" si="3">SUM(Q10:Q17,Q19)</f>
        <v>0</v>
      </c>
      <c r="R21" s="373">
        <f t="shared" si="3"/>
        <v>15</v>
      </c>
      <c r="S21" s="386">
        <v>15</v>
      </c>
      <c r="T21" s="374" t="s">
        <v>10</v>
      </c>
      <c r="U21" s="374"/>
      <c r="AB21" s="365" t="s">
        <v>50</v>
      </c>
      <c r="AC21" s="397"/>
      <c r="AD21" s="366" t="str">
        <f>IF(AZ21=0,"",MAX(AZ2:AZ21)-AZ21)</f>
        <v/>
      </c>
      <c r="AE21" s="396"/>
      <c r="AF21" s="395"/>
      <c r="AG21" s="396"/>
      <c r="AH21" s="395"/>
      <c r="AI21" s="396"/>
      <c r="AJ21" s="395"/>
      <c r="AK21" s="396"/>
      <c r="AL21" s="395"/>
      <c r="AM21" s="396"/>
      <c r="AN21" s="395"/>
      <c r="AO21" s="396"/>
      <c r="AP21" s="395"/>
      <c r="AQ21" s="396"/>
      <c r="AR21" s="395"/>
      <c r="AS21" s="396"/>
      <c r="AT21" s="395"/>
      <c r="AU21" s="396"/>
      <c r="AV21" s="395"/>
      <c r="AW21" s="396"/>
      <c r="AX21" s="395"/>
      <c r="AZ21" s="366">
        <f t="shared" si="0"/>
        <v>0</v>
      </c>
    </row>
    <row r="22" spans="1:52" x14ac:dyDescent="0.55000000000000004">
      <c r="A22" s="391" t="s">
        <v>90</v>
      </c>
      <c r="B22" s="373">
        <f>SUM(B10:B14)</f>
        <v>117.29999999999998</v>
      </c>
      <c r="C22" s="407">
        <f>SUM(C10:C14)</f>
        <v>115</v>
      </c>
      <c r="D22" s="385">
        <f>SUM(D10:D14)</f>
        <v>11.5</v>
      </c>
      <c r="E22" s="375">
        <f>SUM(E10:E14)</f>
        <v>11.5</v>
      </c>
      <c r="F22" s="374" t="s">
        <v>10</v>
      </c>
      <c r="H22" s="391" t="s">
        <v>90</v>
      </c>
      <c r="I22" s="373">
        <f>SUM(I10:I14)</f>
        <v>0</v>
      </c>
      <c r="J22" s="407">
        <f>SUM(J10:J14)</f>
        <v>0</v>
      </c>
      <c r="K22" s="385">
        <f>SUM(K10:K14)</f>
        <v>15</v>
      </c>
      <c r="L22" s="375">
        <f>SUM(L10:L14)</f>
        <v>15</v>
      </c>
      <c r="M22" s="374" t="s">
        <v>10</v>
      </c>
      <c r="N22" s="2"/>
      <c r="O22" s="391" t="s">
        <v>90</v>
      </c>
      <c r="P22" s="373">
        <f>SUM(P10:P14)</f>
        <v>0</v>
      </c>
      <c r="Q22" s="407">
        <f>SUM(Q10:Q14)</f>
        <v>0</v>
      </c>
      <c r="R22" s="385">
        <f>SUM(R10:R14)</f>
        <v>15</v>
      </c>
      <c r="S22" s="375">
        <f>SUM(S10:S14)</f>
        <v>15</v>
      </c>
      <c r="T22" s="374" t="s">
        <v>10</v>
      </c>
    </row>
    <row r="23" spans="1:52" x14ac:dyDescent="0.55000000000000004">
      <c r="A23" s="391" t="s">
        <v>314</v>
      </c>
      <c r="B23" s="373">
        <f>SUM(B10:B14,B17)</f>
        <v>122.39999999999998</v>
      </c>
      <c r="C23" s="446">
        <f>SUM(C10:C14,C17)</f>
        <v>120</v>
      </c>
      <c r="D23" s="387">
        <f>SUM(D10:D14,D17)</f>
        <v>12</v>
      </c>
      <c r="E23" s="388" t="s">
        <v>38</v>
      </c>
      <c r="F23" s="374" t="s">
        <v>10</v>
      </c>
      <c r="H23" s="391" t="s">
        <v>314</v>
      </c>
      <c r="I23" s="373">
        <f>SUM(I10:I14,I17)</f>
        <v>0</v>
      </c>
      <c r="J23" s="446">
        <f>SUM(J10:J14,J17)</f>
        <v>0</v>
      </c>
      <c r="K23" s="387">
        <f>SUM(K10:K14,K17)</f>
        <v>15</v>
      </c>
      <c r="L23" s="388" t="s">
        <v>38</v>
      </c>
      <c r="M23" s="374" t="s">
        <v>10</v>
      </c>
      <c r="O23" s="391" t="s">
        <v>314</v>
      </c>
      <c r="P23" s="373">
        <f>SUM(P10:P14,P17)</f>
        <v>0</v>
      </c>
      <c r="Q23" s="446">
        <f>SUM(Q10:Q14,Q17)</f>
        <v>0</v>
      </c>
      <c r="R23" s="387">
        <f>SUM(R10:R14,R17)</f>
        <v>15</v>
      </c>
      <c r="S23" s="388" t="s">
        <v>38</v>
      </c>
      <c r="T23" s="374" t="s">
        <v>10</v>
      </c>
    </row>
    <row r="25" spans="1:52" ht="14.4" customHeight="1" x14ac:dyDescent="0.75">
      <c r="V25" s="523" t="s">
        <v>172</v>
      </c>
      <c r="W25" s="523"/>
      <c r="X25" s="523"/>
      <c r="Y25" s="523"/>
      <c r="Z25" s="523"/>
      <c r="AA25" s="24"/>
      <c r="AB25" s="383" t="s">
        <v>147</v>
      </c>
      <c r="AC25" s="153" t="s">
        <v>148</v>
      </c>
      <c r="AD25" s="154" t="s">
        <v>149</v>
      </c>
      <c r="AE25" s="383" t="s">
        <v>150</v>
      </c>
      <c r="AF25" s="159" t="s">
        <v>151</v>
      </c>
      <c r="AG25" s="383" t="s">
        <v>152</v>
      </c>
      <c r="AH25" s="159" t="s">
        <v>153</v>
      </c>
      <c r="AI25" s="383" t="s">
        <v>154</v>
      </c>
      <c r="AJ25" s="159" t="s">
        <v>155</v>
      </c>
      <c r="AK25" s="383" t="s">
        <v>156</v>
      </c>
      <c r="AL25" s="159" t="s">
        <v>157</v>
      </c>
      <c r="AM25" s="383" t="s">
        <v>158</v>
      </c>
      <c r="AN25" s="159" t="s">
        <v>159</v>
      </c>
      <c r="AO25" s="383" t="s">
        <v>160</v>
      </c>
      <c r="AP25" s="159" t="s">
        <v>161</v>
      </c>
      <c r="AQ25" s="383" t="s">
        <v>162</v>
      </c>
      <c r="AR25" s="159" t="s">
        <v>163</v>
      </c>
      <c r="AS25" s="383" t="s">
        <v>164</v>
      </c>
      <c r="AT25" s="159" t="s">
        <v>165</v>
      </c>
      <c r="AU25" s="383" t="s">
        <v>166</v>
      </c>
      <c r="AV25" s="159" t="s">
        <v>167</v>
      </c>
      <c r="AW25" s="383" t="s">
        <v>168</v>
      </c>
      <c r="AX25" s="159" t="s">
        <v>169</v>
      </c>
      <c r="AY25" s="24"/>
      <c r="AZ25" s="155" t="s">
        <v>170</v>
      </c>
    </row>
    <row r="26" spans="1:52" ht="14.7" thickBot="1" x14ac:dyDescent="0.6">
      <c r="A26" s="352" t="s">
        <v>284</v>
      </c>
      <c r="V26" s="389" t="s">
        <v>2</v>
      </c>
      <c r="W26" s="264">
        <v>1</v>
      </c>
      <c r="X26" s="392" t="s">
        <v>100</v>
      </c>
      <c r="Y26" s="393" t="s">
        <v>253</v>
      </c>
      <c r="Z26" s="450"/>
      <c r="AA26" s="363"/>
      <c r="AB26" s="365" t="s">
        <v>28</v>
      </c>
      <c r="AC26" s="397"/>
      <c r="AD26" s="366" t="str">
        <f>IF(AZ26=0,"",MAX(AZ26:AZ45)-AZ26)</f>
        <v/>
      </c>
      <c r="AE26" s="396"/>
      <c r="AF26" s="395"/>
      <c r="AG26" s="396"/>
      <c r="AH26" s="395"/>
      <c r="AI26" s="396"/>
      <c r="AJ26" s="395"/>
      <c r="AK26" s="396"/>
      <c r="AL26" s="395"/>
      <c r="AM26" s="396"/>
      <c r="AN26" s="395"/>
      <c r="AO26" s="396"/>
      <c r="AP26" s="395"/>
      <c r="AQ26" s="396"/>
      <c r="AR26" s="395"/>
      <c r="AS26" s="396"/>
      <c r="AT26" s="395"/>
      <c r="AU26" s="396"/>
      <c r="AV26" s="395"/>
      <c r="AW26" s="396"/>
      <c r="AX26" s="395"/>
      <c r="AZ26" s="366">
        <f>SUM(AF26,AH26,AJ26,AL26,AN26,AP26,AR26,AT26,AV26,AX26)</f>
        <v>0</v>
      </c>
    </row>
    <row r="27" spans="1:52" ht="14.7" thickTop="1" x14ac:dyDescent="0.55000000000000004">
      <c r="A27" s="352" t="s">
        <v>281</v>
      </c>
      <c r="V27" s="389" t="s">
        <v>3</v>
      </c>
      <c r="W27" s="263">
        <v>0.02</v>
      </c>
      <c r="X27" s="447">
        <v>0</v>
      </c>
      <c r="Y27" s="361" t="s">
        <v>38</v>
      </c>
      <c r="Z27" s="363"/>
      <c r="AB27" s="365" t="s">
        <v>29</v>
      </c>
      <c r="AC27" s="397"/>
      <c r="AD27" s="366" t="str">
        <f>IF(AZ27=0,"",MAX(AZ26:AZ45)-AZ27)</f>
        <v/>
      </c>
      <c r="AE27" s="396"/>
      <c r="AF27" s="395"/>
      <c r="AG27" s="396"/>
      <c r="AH27" s="395"/>
      <c r="AI27" s="396"/>
      <c r="AJ27" s="395"/>
      <c r="AK27" s="396"/>
      <c r="AL27" s="395"/>
      <c r="AM27" s="396"/>
      <c r="AN27" s="395"/>
      <c r="AO27" s="396"/>
      <c r="AP27" s="395"/>
      <c r="AQ27" s="396"/>
      <c r="AR27" s="395"/>
      <c r="AS27" s="396"/>
      <c r="AT27" s="395"/>
      <c r="AU27" s="396"/>
      <c r="AV27" s="395"/>
      <c r="AW27" s="396"/>
      <c r="AX27" s="395"/>
      <c r="AZ27" s="366">
        <f t="shared" ref="AZ27:AZ29" si="4">SUM(AF27,AH27,AJ27,AL27,AN27,AP27,AR27,AT27,AV27,AX27)</f>
        <v>0</v>
      </c>
    </row>
    <row r="28" spans="1:52" x14ac:dyDescent="0.55000000000000004">
      <c r="A28" s="352" t="s">
        <v>282</v>
      </c>
      <c r="W28" s="368"/>
      <c r="X28" s="448"/>
      <c r="Y28" s="371"/>
      <c r="Z28" s="363"/>
      <c r="AB28" s="365" t="s">
        <v>30</v>
      </c>
      <c r="AC28" s="397"/>
      <c r="AD28" s="366" t="str">
        <f>IF(AZ28=0,"",MAX(AZ26:AZ45)-AZ28)</f>
        <v/>
      </c>
      <c r="AE28" s="396"/>
      <c r="AF28" s="395"/>
      <c r="AG28" s="396"/>
      <c r="AH28" s="395"/>
      <c r="AI28" s="396"/>
      <c r="AJ28" s="395"/>
      <c r="AK28" s="396"/>
      <c r="AL28" s="395"/>
      <c r="AM28" s="396"/>
      <c r="AN28" s="395"/>
      <c r="AO28" s="396"/>
      <c r="AP28" s="395"/>
      <c r="AQ28" s="396"/>
      <c r="AR28" s="395"/>
      <c r="AS28" s="396"/>
      <c r="AT28" s="395"/>
      <c r="AU28" s="396"/>
      <c r="AV28" s="395"/>
      <c r="AW28" s="396"/>
      <c r="AX28" s="395"/>
      <c r="AZ28" s="366">
        <f t="shared" si="4"/>
        <v>0</v>
      </c>
    </row>
    <row r="29" spans="1:52" x14ac:dyDescent="0.55000000000000004">
      <c r="A29" s="352" t="s">
        <v>304</v>
      </c>
      <c r="V29" s="398" t="s">
        <v>2</v>
      </c>
      <c r="W29" s="239">
        <f>W26*(1+W27)</f>
        <v>1.02</v>
      </c>
      <c r="X29" s="413">
        <f>W26*(1+X27)</f>
        <v>1</v>
      </c>
      <c r="Y29" s="414" t="s">
        <v>7</v>
      </c>
      <c r="Z29" s="363"/>
      <c r="AB29" s="365" t="s">
        <v>31</v>
      </c>
      <c r="AC29" s="397"/>
      <c r="AD29" s="366" t="str">
        <f>IF(AZ29=0,"",MAX(AZ26:AZ45)-AZ29)</f>
        <v/>
      </c>
      <c r="AE29" s="396"/>
      <c r="AF29" s="395"/>
      <c r="AG29" s="396"/>
      <c r="AH29" s="395"/>
      <c r="AI29" s="396"/>
      <c r="AJ29" s="395"/>
      <c r="AK29" s="396"/>
      <c r="AL29" s="395"/>
      <c r="AM29" s="396"/>
      <c r="AN29" s="395"/>
      <c r="AO29" s="396"/>
      <c r="AP29" s="395"/>
      <c r="AQ29" s="396"/>
      <c r="AR29" s="395"/>
      <c r="AS29" s="396"/>
      <c r="AT29" s="395"/>
      <c r="AU29" s="396"/>
      <c r="AV29" s="395"/>
      <c r="AW29" s="396"/>
      <c r="AX29" s="395"/>
      <c r="AZ29" s="366">
        <f t="shared" si="4"/>
        <v>0</v>
      </c>
    </row>
    <row r="30" spans="1:52" ht="14.4" customHeight="1" x14ac:dyDescent="0.55000000000000004">
      <c r="V30" s="364"/>
      <c r="W30" s="368"/>
      <c r="X30" s="380"/>
      <c r="Y30" s="400" t="str">
        <f>IF(SUM(Y34:Y35)&gt;0.1*Y38, "Warning: high [enzyme]. Raise rxn volume. Or lower enzyme volume.","")</f>
        <v/>
      </c>
      <c r="Z30" s="363"/>
      <c r="AB30" s="365" t="s">
        <v>32</v>
      </c>
      <c r="AC30" s="397"/>
      <c r="AD30" s="366" t="str">
        <f>IF(AZ30=0,"",MAX(AZ26:AZ45)-AZ30)</f>
        <v/>
      </c>
      <c r="AE30" s="396"/>
      <c r="AF30" s="395"/>
      <c r="AG30" s="396"/>
      <c r="AH30" s="395"/>
      <c r="AI30" s="396"/>
      <c r="AJ30" s="395"/>
      <c r="AK30" s="396"/>
      <c r="AL30" s="395"/>
      <c r="AM30" s="396"/>
      <c r="AN30" s="395"/>
      <c r="AO30" s="396"/>
      <c r="AP30" s="395"/>
      <c r="AQ30" s="396"/>
      <c r="AR30" s="395"/>
      <c r="AS30" s="396"/>
      <c r="AT30" s="395"/>
      <c r="AU30" s="396"/>
      <c r="AV30" s="395"/>
      <c r="AW30" s="396"/>
      <c r="AX30" s="395"/>
      <c r="AZ30" s="366">
        <f>SUM(AF30,AH30,AJ30,AL30,AN30,AP30,AR30,AT30,AV30,AX30)</f>
        <v>0</v>
      </c>
    </row>
    <row r="31" spans="1:52" ht="16.8" x14ac:dyDescent="0.75">
      <c r="A31" s="161" t="s">
        <v>179</v>
      </c>
      <c r="V31" s="364" t="s">
        <v>13</v>
      </c>
      <c r="W31" s="406">
        <f>W29*Y31</f>
        <v>11.22</v>
      </c>
      <c r="X31" s="256">
        <f>X29*Y31</f>
        <v>11</v>
      </c>
      <c r="Y31" s="156">
        <f>Y38-SUM(Y32:Y36)</f>
        <v>11</v>
      </c>
      <c r="Z31" s="363" t="s">
        <v>10</v>
      </c>
      <c r="AB31" s="365" t="s">
        <v>33</v>
      </c>
      <c r="AC31" s="397"/>
      <c r="AD31" s="366" t="str">
        <f>IF(AZ31=0,"",MAX(AZ26:AZ45)-AZ31)</f>
        <v/>
      </c>
      <c r="AE31" s="396"/>
      <c r="AF31" s="395"/>
      <c r="AG31" s="396"/>
      <c r="AH31" s="395"/>
      <c r="AI31" s="396"/>
      <c r="AJ31" s="395"/>
      <c r="AK31" s="396"/>
      <c r="AL31" s="395"/>
      <c r="AM31" s="396"/>
      <c r="AN31" s="395"/>
      <c r="AO31" s="396"/>
      <c r="AP31" s="395"/>
      <c r="AQ31" s="396"/>
      <c r="AR31" s="395"/>
      <c r="AS31" s="396"/>
      <c r="AT31" s="395"/>
      <c r="AU31" s="396"/>
      <c r="AV31" s="395"/>
      <c r="AW31" s="396"/>
      <c r="AX31" s="395"/>
      <c r="AZ31" s="366">
        <f>SUM(AF31,AH31,AJ31,AL31,AN31,AP31,AR31,AT31,AV31,AX31)</f>
        <v>0</v>
      </c>
    </row>
    <row r="32" spans="1:52" x14ac:dyDescent="0.55000000000000004">
      <c r="A32" s="161" t="s">
        <v>255</v>
      </c>
      <c r="V32" s="364" t="s">
        <v>11</v>
      </c>
      <c r="W32" s="406">
        <f>W29*Y32</f>
        <v>1.53</v>
      </c>
      <c r="X32" s="377">
        <f>X29*Y32</f>
        <v>1.5</v>
      </c>
      <c r="Y32" s="369">
        <f>Y38/10</f>
        <v>1.5</v>
      </c>
      <c r="Z32" s="363" t="s">
        <v>10</v>
      </c>
      <c r="AB32" s="365" t="s">
        <v>34</v>
      </c>
      <c r="AC32" s="397"/>
      <c r="AD32" s="366" t="str">
        <f>IF(AZ32=0,"",MAX(AZ26:AZ45)-AZ32)</f>
        <v/>
      </c>
      <c r="AE32" s="396"/>
      <c r="AF32" s="395"/>
      <c r="AG32" s="396"/>
      <c r="AH32" s="395"/>
      <c r="AI32" s="396"/>
      <c r="AJ32" s="395"/>
      <c r="AK32" s="396"/>
      <c r="AL32" s="395"/>
      <c r="AM32" s="396"/>
      <c r="AN32" s="395"/>
      <c r="AO32" s="396"/>
      <c r="AP32" s="395"/>
      <c r="AQ32" s="396"/>
      <c r="AR32" s="395"/>
      <c r="AS32" s="396"/>
      <c r="AT32" s="395"/>
      <c r="AU32" s="396"/>
      <c r="AV32" s="395"/>
      <c r="AW32" s="396"/>
      <c r="AX32" s="395"/>
      <c r="AZ32" s="366">
        <f t="shared" ref="AZ32:AZ45" si="5">SUM(AF32,AH32,AJ32,AL32,AN32,AP32,AR32,AT32,AV32,AX32)</f>
        <v>0</v>
      </c>
    </row>
    <row r="33" spans="1:52" x14ac:dyDescent="0.55000000000000004">
      <c r="A33" s="297" t="s">
        <v>254</v>
      </c>
      <c r="V33" s="416" t="s">
        <v>215</v>
      </c>
      <c r="W33" s="406">
        <f>Y33*W29</f>
        <v>1.53</v>
      </c>
      <c r="X33" s="377">
        <f>Y33*X29</f>
        <v>1.5</v>
      </c>
      <c r="Y33" s="366">
        <f>IF($Y$26="yes",Y38/10,0)</f>
        <v>1.5</v>
      </c>
      <c r="Z33" s="363" t="s">
        <v>10</v>
      </c>
      <c r="AB33" s="365" t="s">
        <v>35</v>
      </c>
      <c r="AC33" s="397"/>
      <c r="AD33" s="366" t="str">
        <f>IF(AZ33=0,"",MAX(AZ26:AZ45)-AZ33)</f>
        <v/>
      </c>
      <c r="AE33" s="396"/>
      <c r="AF33" s="395"/>
      <c r="AG33" s="396"/>
      <c r="AH33" s="395"/>
      <c r="AI33" s="396"/>
      <c r="AJ33" s="395"/>
      <c r="AK33" s="396"/>
      <c r="AL33" s="395"/>
      <c r="AM33" s="396"/>
      <c r="AN33" s="395"/>
      <c r="AO33" s="396"/>
      <c r="AP33" s="395"/>
      <c r="AQ33" s="396"/>
      <c r="AR33" s="395"/>
      <c r="AS33" s="396"/>
      <c r="AT33" s="395"/>
      <c r="AU33" s="396"/>
      <c r="AV33" s="395"/>
      <c r="AW33" s="396"/>
      <c r="AX33" s="395"/>
      <c r="AZ33" s="366">
        <f t="shared" si="5"/>
        <v>0</v>
      </c>
    </row>
    <row r="34" spans="1:52" ht="16.8" x14ac:dyDescent="0.75">
      <c r="V34" s="364" t="s">
        <v>223</v>
      </c>
      <c r="W34" s="406">
        <f>W29*Y34</f>
        <v>0.51</v>
      </c>
      <c r="X34" s="377">
        <f>X29*Y34</f>
        <v>0.5</v>
      </c>
      <c r="Y34" s="360">
        <v>0.5</v>
      </c>
      <c r="Z34" s="363" t="s">
        <v>10</v>
      </c>
      <c r="AB34" s="365" t="s">
        <v>36</v>
      </c>
      <c r="AC34" s="397"/>
      <c r="AD34" s="366" t="str">
        <f>IF(AZ34=0,"",MAX(AZ26:AZ45)-AZ34)</f>
        <v/>
      </c>
      <c r="AE34" s="396"/>
      <c r="AF34" s="395"/>
      <c r="AG34" s="396"/>
      <c r="AH34" s="395"/>
      <c r="AI34" s="396"/>
      <c r="AJ34" s="395"/>
      <c r="AK34" s="396"/>
      <c r="AL34" s="395"/>
      <c r="AM34" s="396"/>
      <c r="AN34" s="395"/>
      <c r="AO34" s="396"/>
      <c r="AP34" s="395"/>
      <c r="AQ34" s="396"/>
      <c r="AR34" s="395"/>
      <c r="AS34" s="396"/>
      <c r="AT34" s="395"/>
      <c r="AU34" s="396"/>
      <c r="AV34" s="395"/>
      <c r="AW34" s="396"/>
      <c r="AX34" s="395"/>
      <c r="AZ34" s="366">
        <f t="shared" si="5"/>
        <v>0</v>
      </c>
    </row>
    <row r="35" spans="1:52" x14ac:dyDescent="0.55000000000000004">
      <c r="V35" s="364" t="s">
        <v>315</v>
      </c>
      <c r="W35" s="406">
        <f>W29*Y35</f>
        <v>0.51</v>
      </c>
      <c r="X35" s="377">
        <f>X29*Y35</f>
        <v>0.5</v>
      </c>
      <c r="Y35" s="360">
        <v>0.5</v>
      </c>
      <c r="Z35" s="363" t="s">
        <v>10</v>
      </c>
      <c r="AB35" s="365" t="s">
        <v>37</v>
      </c>
      <c r="AC35" s="397"/>
      <c r="AD35" s="366" t="str">
        <f>IF(AZ35=0,"",MAX(AZ26:AZ45)-AZ35)</f>
        <v/>
      </c>
      <c r="AE35" s="396"/>
      <c r="AF35" s="395"/>
      <c r="AG35" s="396"/>
      <c r="AH35" s="395"/>
      <c r="AI35" s="396"/>
      <c r="AJ35" s="395"/>
      <c r="AK35" s="396"/>
      <c r="AL35" s="395"/>
      <c r="AM35" s="396"/>
      <c r="AN35" s="395"/>
      <c r="AO35" s="396"/>
      <c r="AP35" s="395"/>
      <c r="AQ35" s="396"/>
      <c r="AR35" s="395"/>
      <c r="AS35" s="396"/>
      <c r="AT35" s="395"/>
      <c r="AU35" s="396"/>
      <c r="AV35" s="395"/>
      <c r="AW35" s="396"/>
      <c r="AX35" s="395"/>
      <c r="AZ35" s="366">
        <f t="shared" si="5"/>
        <v>0</v>
      </c>
    </row>
    <row r="36" spans="1:52" x14ac:dyDescent="0.55000000000000004">
      <c r="V36" s="364" t="s">
        <v>171</v>
      </c>
      <c r="W36" s="157">
        <f>Y36*W29</f>
        <v>0</v>
      </c>
      <c r="X36" s="257">
        <f>Y36*X29</f>
        <v>0</v>
      </c>
      <c r="Y36" s="158">
        <f>MAX(AZ26:AZ45)</f>
        <v>0</v>
      </c>
      <c r="Z36" s="363" t="s">
        <v>10</v>
      </c>
      <c r="AB36" s="365" t="s">
        <v>41</v>
      </c>
      <c r="AC36" s="397"/>
      <c r="AD36" s="366" t="str">
        <f>IF(AZ36=0,"",MAX(AZ26:AZ45)-AZ36)</f>
        <v/>
      </c>
      <c r="AE36" s="396"/>
      <c r="AF36" s="395"/>
      <c r="AG36" s="396"/>
      <c r="AH36" s="395"/>
      <c r="AI36" s="396"/>
      <c r="AJ36" s="395"/>
      <c r="AK36" s="396"/>
      <c r="AL36" s="395"/>
      <c r="AM36" s="396"/>
      <c r="AN36" s="395"/>
      <c r="AO36" s="396"/>
      <c r="AP36" s="395"/>
      <c r="AQ36" s="396"/>
      <c r="AR36" s="395"/>
      <c r="AS36" s="396"/>
      <c r="AT36" s="395"/>
      <c r="AU36" s="396"/>
      <c r="AV36" s="395"/>
      <c r="AW36" s="396"/>
      <c r="AX36" s="395"/>
      <c r="AZ36" s="366">
        <f t="shared" si="5"/>
        <v>0</v>
      </c>
    </row>
    <row r="37" spans="1:52" x14ac:dyDescent="0.55000000000000004">
      <c r="V37" s="364"/>
      <c r="W37" s="368"/>
      <c r="X37" s="378"/>
      <c r="Y37" s="362"/>
      <c r="Z37" s="363"/>
      <c r="AB37" s="365" t="s">
        <v>42</v>
      </c>
      <c r="AC37" s="397"/>
      <c r="AD37" s="366" t="str">
        <f>IF(AZ37=0,"",MAX(AZ26:AZ45)-AZ37)</f>
        <v/>
      </c>
      <c r="AE37" s="396"/>
      <c r="AF37" s="395"/>
      <c r="AG37" s="396"/>
      <c r="AH37" s="395"/>
      <c r="AI37" s="396"/>
      <c r="AJ37" s="395"/>
      <c r="AK37" s="396"/>
      <c r="AL37" s="395"/>
      <c r="AM37" s="396"/>
      <c r="AN37" s="395"/>
      <c r="AO37" s="396"/>
      <c r="AP37" s="395"/>
      <c r="AQ37" s="396"/>
      <c r="AR37" s="395"/>
      <c r="AS37" s="396"/>
      <c r="AT37" s="395"/>
      <c r="AU37" s="396"/>
      <c r="AV37" s="395"/>
      <c r="AW37" s="396"/>
      <c r="AX37" s="395"/>
      <c r="AZ37" s="366">
        <f t="shared" si="5"/>
        <v>0</v>
      </c>
    </row>
    <row r="38" spans="1:52" x14ac:dyDescent="0.55000000000000004">
      <c r="V38" s="391" t="s">
        <v>4</v>
      </c>
      <c r="W38" s="373">
        <f>SUM(W31:W36)</f>
        <v>15.299999999999999</v>
      </c>
      <c r="X38" s="385">
        <f>SUM(X31:X36)</f>
        <v>15</v>
      </c>
      <c r="Y38" s="386">
        <v>15</v>
      </c>
      <c r="Z38" s="374" t="s">
        <v>10</v>
      </c>
      <c r="AA38" s="362"/>
      <c r="AB38" s="365" t="s">
        <v>43</v>
      </c>
      <c r="AC38" s="397"/>
      <c r="AD38" s="366" t="str">
        <f>IF(AZ38=0,"",MAX(AZ26:AZ45)-AZ38)</f>
        <v/>
      </c>
      <c r="AE38" s="396"/>
      <c r="AF38" s="395"/>
      <c r="AG38" s="396"/>
      <c r="AH38" s="395"/>
      <c r="AI38" s="396"/>
      <c r="AJ38" s="395"/>
      <c r="AK38" s="396"/>
      <c r="AL38" s="395"/>
      <c r="AM38" s="396"/>
      <c r="AN38" s="395"/>
      <c r="AO38" s="396"/>
      <c r="AP38" s="395"/>
      <c r="AQ38" s="396"/>
      <c r="AR38" s="395"/>
      <c r="AS38" s="396"/>
      <c r="AT38" s="395"/>
      <c r="AU38" s="396"/>
      <c r="AV38" s="395"/>
      <c r="AW38" s="396"/>
      <c r="AX38" s="395"/>
      <c r="AY38" s="362"/>
      <c r="AZ38" s="366">
        <f t="shared" si="5"/>
        <v>0</v>
      </c>
    </row>
    <row r="39" spans="1:52" x14ac:dyDescent="0.55000000000000004">
      <c r="V39" s="391" t="s">
        <v>90</v>
      </c>
      <c r="W39" s="373">
        <f>SUM(W31:W35)</f>
        <v>15.299999999999999</v>
      </c>
      <c r="X39" s="385">
        <f>SUM(X31:X35)</f>
        <v>15</v>
      </c>
      <c r="Y39" s="375">
        <f>SUM(Y31:Y35)</f>
        <v>15</v>
      </c>
      <c r="Z39" s="374" t="s">
        <v>10</v>
      </c>
      <c r="AB39" s="365" t="s">
        <v>44</v>
      </c>
      <c r="AC39" s="397"/>
      <c r="AD39" s="366" t="str">
        <f>IF(AZ39=0,"",MAX(AZ26:AZ45)-AZ39)</f>
        <v/>
      </c>
      <c r="AE39" s="396"/>
      <c r="AF39" s="395"/>
      <c r="AG39" s="396"/>
      <c r="AH39" s="395"/>
      <c r="AI39" s="396"/>
      <c r="AJ39" s="395"/>
      <c r="AK39" s="396"/>
      <c r="AL39" s="395"/>
      <c r="AM39" s="396"/>
      <c r="AN39" s="395"/>
      <c r="AO39" s="396"/>
      <c r="AP39" s="395"/>
      <c r="AQ39" s="396"/>
      <c r="AR39" s="395"/>
      <c r="AS39" s="396"/>
      <c r="AT39" s="395"/>
      <c r="AU39" s="396"/>
      <c r="AV39" s="395"/>
      <c r="AW39" s="396"/>
      <c r="AX39" s="395"/>
      <c r="AZ39" s="366">
        <f t="shared" si="5"/>
        <v>0</v>
      </c>
    </row>
    <row r="40" spans="1:52" x14ac:dyDescent="0.55000000000000004">
      <c r="V40" s="391" t="s">
        <v>96</v>
      </c>
      <c r="W40" s="373">
        <f>SUM(W31:W36)</f>
        <v>15.299999999999999</v>
      </c>
      <c r="X40" s="258">
        <f>SUM(X31:X36)</f>
        <v>15</v>
      </c>
      <c r="Y40" s="388" t="s">
        <v>38</v>
      </c>
      <c r="Z40" s="374" t="s">
        <v>10</v>
      </c>
      <c r="AB40" s="365" t="s">
        <v>45</v>
      </c>
      <c r="AC40" s="397"/>
      <c r="AD40" s="366" t="str">
        <f>IF(AZ40=0,"",MAX(AZ26:AZ45)-AZ40)</f>
        <v/>
      </c>
      <c r="AE40" s="396"/>
      <c r="AF40" s="395"/>
      <c r="AG40" s="396"/>
      <c r="AH40" s="395"/>
      <c r="AI40" s="396"/>
      <c r="AJ40" s="395"/>
      <c r="AK40" s="396"/>
      <c r="AL40" s="395"/>
      <c r="AM40" s="396"/>
      <c r="AN40" s="395"/>
      <c r="AO40" s="396"/>
      <c r="AP40" s="395"/>
      <c r="AQ40" s="396"/>
      <c r="AR40" s="395"/>
      <c r="AS40" s="396"/>
      <c r="AT40" s="395"/>
      <c r="AU40" s="396"/>
      <c r="AV40" s="395"/>
      <c r="AW40" s="396"/>
      <c r="AX40" s="395"/>
      <c r="AZ40" s="366">
        <f t="shared" si="5"/>
        <v>0</v>
      </c>
    </row>
    <row r="41" spans="1:52" x14ac:dyDescent="0.55000000000000004">
      <c r="AB41" s="365" t="s">
        <v>46</v>
      </c>
      <c r="AC41" s="397"/>
      <c r="AD41" s="366" t="str">
        <f>IF(AZ41=0,"",MAX(AZ26:AZ45)-AZ41)</f>
        <v/>
      </c>
      <c r="AE41" s="396"/>
      <c r="AF41" s="395"/>
      <c r="AG41" s="396"/>
      <c r="AH41" s="395"/>
      <c r="AI41" s="396"/>
      <c r="AJ41" s="395"/>
      <c r="AK41" s="396"/>
      <c r="AL41" s="395"/>
      <c r="AM41" s="396"/>
      <c r="AN41" s="395"/>
      <c r="AO41" s="396"/>
      <c r="AP41" s="395"/>
      <c r="AQ41" s="396"/>
      <c r="AR41" s="395"/>
      <c r="AS41" s="396"/>
      <c r="AT41" s="395"/>
      <c r="AU41" s="396"/>
      <c r="AV41" s="395"/>
      <c r="AW41" s="396"/>
      <c r="AX41" s="395"/>
      <c r="AZ41" s="366">
        <f t="shared" si="5"/>
        <v>0</v>
      </c>
    </row>
    <row r="42" spans="1:52" x14ac:dyDescent="0.55000000000000004">
      <c r="AB42" s="365" t="s">
        <v>47</v>
      </c>
      <c r="AC42" s="397"/>
      <c r="AD42" s="366" t="str">
        <f>IF(AZ42=0,"",MAX(AZ26:AZ45)-AZ42)</f>
        <v/>
      </c>
      <c r="AE42" s="396"/>
      <c r="AF42" s="395"/>
      <c r="AG42" s="396"/>
      <c r="AH42" s="395"/>
      <c r="AI42" s="396"/>
      <c r="AJ42" s="395"/>
      <c r="AK42" s="396"/>
      <c r="AL42" s="395"/>
      <c r="AM42" s="396"/>
      <c r="AN42" s="395"/>
      <c r="AO42" s="396"/>
      <c r="AP42" s="395"/>
      <c r="AQ42" s="396"/>
      <c r="AR42" s="395"/>
      <c r="AS42" s="396"/>
      <c r="AT42" s="395"/>
      <c r="AU42" s="396"/>
      <c r="AV42" s="395"/>
      <c r="AW42" s="396"/>
      <c r="AX42" s="395"/>
      <c r="AZ42" s="366">
        <f t="shared" si="5"/>
        <v>0</v>
      </c>
    </row>
    <row r="43" spans="1:52" x14ac:dyDescent="0.55000000000000004">
      <c r="AB43" s="365" t="s">
        <v>48</v>
      </c>
      <c r="AC43" s="397"/>
      <c r="AD43" s="366" t="str">
        <f>IF(AZ43=0,"",MAX(AZ26:AZ45)-AZ43)</f>
        <v/>
      </c>
      <c r="AE43" s="396"/>
      <c r="AF43" s="395"/>
      <c r="AG43" s="396"/>
      <c r="AH43" s="395"/>
      <c r="AI43" s="396"/>
      <c r="AJ43" s="395"/>
      <c r="AK43" s="396"/>
      <c r="AL43" s="395"/>
      <c r="AM43" s="396"/>
      <c r="AN43" s="395"/>
      <c r="AO43" s="396"/>
      <c r="AP43" s="395"/>
      <c r="AQ43" s="396"/>
      <c r="AR43" s="395"/>
      <c r="AS43" s="396"/>
      <c r="AT43" s="395"/>
      <c r="AU43" s="396"/>
      <c r="AV43" s="395"/>
      <c r="AW43" s="396"/>
      <c r="AX43" s="395"/>
      <c r="AZ43" s="366">
        <f t="shared" si="5"/>
        <v>0</v>
      </c>
    </row>
    <row r="44" spans="1:52" x14ac:dyDescent="0.55000000000000004">
      <c r="AB44" s="365" t="s">
        <v>49</v>
      </c>
      <c r="AC44" s="397"/>
      <c r="AD44" s="366" t="str">
        <f>IF(AZ44=0,"",MAX(AZ26:AZ45)-AZ44)</f>
        <v/>
      </c>
      <c r="AE44" s="396"/>
      <c r="AF44" s="395"/>
      <c r="AG44" s="396"/>
      <c r="AH44" s="395"/>
      <c r="AI44" s="396"/>
      <c r="AJ44" s="395"/>
      <c r="AK44" s="396"/>
      <c r="AL44" s="395"/>
      <c r="AM44" s="396"/>
      <c r="AN44" s="395"/>
      <c r="AO44" s="396"/>
      <c r="AP44" s="395"/>
      <c r="AQ44" s="396"/>
      <c r="AR44" s="395"/>
      <c r="AS44" s="396"/>
      <c r="AT44" s="395"/>
      <c r="AU44" s="396"/>
      <c r="AV44" s="395"/>
      <c r="AW44" s="396"/>
      <c r="AX44" s="395"/>
      <c r="AZ44" s="366">
        <f t="shared" si="5"/>
        <v>0</v>
      </c>
    </row>
    <row r="45" spans="1:52" x14ac:dyDescent="0.55000000000000004">
      <c r="AB45" s="365" t="s">
        <v>50</v>
      </c>
      <c r="AC45" s="397"/>
      <c r="AD45" s="366" t="str">
        <f>IF(AZ45=0,"",MAX(AZ26:AZ45)-AZ45)</f>
        <v/>
      </c>
      <c r="AE45" s="396"/>
      <c r="AF45" s="395"/>
      <c r="AG45" s="396"/>
      <c r="AH45" s="395"/>
      <c r="AI45" s="396"/>
      <c r="AJ45" s="395"/>
      <c r="AK45" s="396"/>
      <c r="AL45" s="395"/>
      <c r="AM45" s="396"/>
      <c r="AN45" s="395"/>
      <c r="AO45" s="396"/>
      <c r="AP45" s="395"/>
      <c r="AQ45" s="396"/>
      <c r="AR45" s="395"/>
      <c r="AS45" s="396"/>
      <c r="AT45" s="395"/>
      <c r="AU45" s="396"/>
      <c r="AV45" s="395"/>
      <c r="AW45" s="396"/>
      <c r="AX45" s="395"/>
      <c r="AZ45" s="366">
        <f t="shared" si="5"/>
        <v>0</v>
      </c>
    </row>
  </sheetData>
  <mergeCells count="26">
    <mergeCell ref="A1:F1"/>
    <mergeCell ref="H1:L1"/>
    <mergeCell ref="O1:S1"/>
    <mergeCell ref="V1:Z1"/>
    <mergeCell ref="B3:D3"/>
    <mergeCell ref="I3:K3"/>
    <mergeCell ref="P3:R3"/>
    <mergeCell ref="B4:D4"/>
    <mergeCell ref="I4:K4"/>
    <mergeCell ref="P4:R4"/>
    <mergeCell ref="B5:D5"/>
    <mergeCell ref="I5:K5"/>
    <mergeCell ref="P5:R5"/>
    <mergeCell ref="A17:A18"/>
    <mergeCell ref="E17:E18"/>
    <mergeCell ref="F17:F18"/>
    <mergeCell ref="H17:H18"/>
    <mergeCell ref="L17:L18"/>
    <mergeCell ref="S17:S18"/>
    <mergeCell ref="T17:T18"/>
    <mergeCell ref="V25:Z25"/>
    <mergeCell ref="B15:D15"/>
    <mergeCell ref="I15:K15"/>
    <mergeCell ref="P15:R15"/>
    <mergeCell ref="M17:M18"/>
    <mergeCell ref="O17:O18"/>
  </mergeCells>
  <conditionalFormatting sqref="A12:F12">
    <cfRule type="expression" dxfId="18" priority="11">
      <formula>$E$2="yes"</formula>
    </cfRule>
  </conditionalFormatting>
  <conditionalFormatting sqref="V9:Z9">
    <cfRule type="expression" dxfId="17" priority="9">
      <formula>$Y$2="yes"</formula>
    </cfRule>
  </conditionalFormatting>
  <conditionalFormatting sqref="V33:Z33">
    <cfRule type="expression" dxfId="16" priority="10">
      <formula>$Y$26="yes"</formula>
    </cfRule>
  </conditionalFormatting>
  <conditionalFormatting sqref="O12:T12">
    <cfRule type="expression" dxfId="15" priority="8">
      <formula>$S$2="yes"</formula>
    </cfRule>
  </conditionalFormatting>
  <conditionalFormatting sqref="A17:F18">
    <cfRule type="expression" dxfId="14" priority="7">
      <formula>$B$4&gt;0</formula>
    </cfRule>
  </conditionalFormatting>
  <conditionalFormatting sqref="A19:F19">
    <cfRule type="expression" dxfId="13" priority="6">
      <formula>$B$5&gt;0</formula>
    </cfRule>
  </conditionalFormatting>
  <conditionalFormatting sqref="H12:M12">
    <cfRule type="expression" dxfId="12" priority="5">
      <formula>$L$2="yes"</formula>
    </cfRule>
  </conditionalFormatting>
  <conditionalFormatting sqref="H17:M18">
    <cfRule type="expression" dxfId="11" priority="4">
      <formula>$I$4&gt;0</formula>
    </cfRule>
  </conditionalFormatting>
  <conditionalFormatting sqref="H19:M19">
    <cfRule type="expression" dxfId="10" priority="3">
      <formula>$I$5&gt;0</formula>
    </cfRule>
  </conditionalFormatting>
  <conditionalFormatting sqref="O17:T18">
    <cfRule type="expression" dxfId="9" priority="2">
      <formula>$P$4&gt;0</formula>
    </cfRule>
  </conditionalFormatting>
  <conditionalFormatting sqref="O19:T19">
    <cfRule type="expression" dxfId="8" priority="1">
      <formula>$P$5&gt;0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U43"/>
  <sheetViews>
    <sheetView zoomScaleNormal="100" workbookViewId="0">
      <selection activeCell="C2" sqref="C2"/>
    </sheetView>
  </sheetViews>
  <sheetFormatPr defaultRowHeight="14.4" x14ac:dyDescent="0.55000000000000004"/>
  <cols>
    <col min="1" max="1" width="7.7890625" customWidth="1"/>
    <col min="2" max="2" width="12.7890625" customWidth="1"/>
    <col min="3" max="5" width="8.7890625" customWidth="1"/>
    <col min="6" max="6" width="4.20703125" customWidth="1"/>
    <col min="7" max="7" width="4.68359375" customWidth="1"/>
    <col min="8" max="8" width="11.89453125" customWidth="1"/>
    <col min="9" max="9" width="6.89453125" customWidth="1"/>
    <col min="10" max="10" width="12.7890625" customWidth="1"/>
    <col min="11" max="13" width="8.7890625" customWidth="1"/>
    <col min="14" max="14" width="3.89453125" customWidth="1"/>
    <col min="15" max="15" width="5.1015625" customWidth="1"/>
    <col min="16" max="16" width="9.5234375" customWidth="1"/>
    <col min="17" max="17" width="7.3125" customWidth="1"/>
    <col min="18" max="18" width="12.7890625" customWidth="1"/>
    <col min="19" max="21" width="8.7890625" customWidth="1"/>
    <col min="22" max="22" width="4" customWidth="1"/>
    <col min="23" max="23" width="5" customWidth="1"/>
    <col min="24" max="24" width="13.89453125" customWidth="1"/>
    <col min="25" max="25" width="8.89453125" customWidth="1"/>
    <col min="26" max="26" width="13.1015625" customWidth="1"/>
    <col min="27" max="29" width="8.7890625" customWidth="1"/>
    <col min="30" max="30" width="4.1015625" customWidth="1"/>
    <col min="31" max="31" width="4.89453125" customWidth="1"/>
    <col min="33" max="33" width="7.7890625" customWidth="1"/>
    <col min="34" max="34" width="12.7890625" customWidth="1"/>
    <col min="35" max="37" width="8.7890625" customWidth="1"/>
    <col min="38" max="38" width="4.20703125" customWidth="1"/>
    <col min="39" max="39" width="4.68359375" customWidth="1"/>
    <col min="41" max="41" width="7.7890625" customWidth="1"/>
    <col min="42" max="42" width="12.7890625" customWidth="1"/>
    <col min="43" max="45" width="8.7890625" customWidth="1"/>
    <col min="46" max="46" width="4.20703125" customWidth="1"/>
    <col min="47" max="47" width="4.68359375" customWidth="1"/>
  </cols>
  <sheetData>
    <row r="1" spans="1:47" ht="22.2" customHeight="1" x14ac:dyDescent="0.55000000000000004">
      <c r="A1" s="544" t="s">
        <v>289</v>
      </c>
      <c r="B1" s="544"/>
      <c r="C1" s="544"/>
      <c r="D1" s="544"/>
      <c r="E1" s="544"/>
      <c r="F1" s="544"/>
      <c r="G1" s="544"/>
      <c r="H1" s="358"/>
      <c r="I1" s="538" t="s">
        <v>290</v>
      </c>
      <c r="J1" s="538"/>
      <c r="K1" s="538"/>
      <c r="L1" s="538"/>
      <c r="M1" s="538"/>
      <c r="N1" s="538"/>
      <c r="O1" s="538"/>
      <c r="P1" s="358"/>
      <c r="Q1" s="547" t="s">
        <v>291</v>
      </c>
      <c r="R1" s="547"/>
      <c r="S1" s="547"/>
      <c r="T1" s="547"/>
      <c r="U1" s="547"/>
      <c r="V1" s="547"/>
      <c r="W1" s="547"/>
      <c r="X1" s="358"/>
      <c r="Y1" s="548" t="s">
        <v>292</v>
      </c>
      <c r="Z1" s="548"/>
      <c r="AA1" s="548"/>
      <c r="AB1" s="548"/>
      <c r="AC1" s="548"/>
      <c r="AD1" s="548"/>
      <c r="AE1" s="548"/>
      <c r="AF1" s="358"/>
      <c r="AG1" s="545" t="s">
        <v>293</v>
      </c>
      <c r="AH1" s="545"/>
      <c r="AI1" s="545"/>
      <c r="AJ1" s="545"/>
      <c r="AK1" s="545"/>
      <c r="AL1" s="545"/>
      <c r="AM1" s="545"/>
      <c r="AN1" s="358"/>
      <c r="AO1" s="546" t="s">
        <v>294</v>
      </c>
      <c r="AP1" s="546"/>
      <c r="AQ1" s="546"/>
      <c r="AR1" s="546"/>
      <c r="AS1" s="546"/>
      <c r="AT1" s="546"/>
      <c r="AU1" s="546"/>
    </row>
    <row r="2" spans="1:47" ht="14.7" thickBot="1" x14ac:dyDescent="0.6">
      <c r="A2" s="203" t="s">
        <v>205</v>
      </c>
      <c r="B2" s="195" t="s">
        <v>2</v>
      </c>
      <c r="C2" s="200">
        <v>10</v>
      </c>
      <c r="D2" s="195" t="s">
        <v>100</v>
      </c>
      <c r="E2" s="197" t="s">
        <v>99</v>
      </c>
      <c r="F2" s="198"/>
      <c r="I2" s="203" t="s">
        <v>205</v>
      </c>
      <c r="J2" s="195" t="s">
        <v>2</v>
      </c>
      <c r="K2" s="196"/>
      <c r="L2" s="195" t="s">
        <v>100</v>
      </c>
      <c r="M2" s="197" t="s">
        <v>99</v>
      </c>
      <c r="N2" s="198"/>
      <c r="Q2" s="203" t="s">
        <v>205</v>
      </c>
      <c r="R2" s="195" t="s">
        <v>2</v>
      </c>
      <c r="S2" s="196"/>
      <c r="T2" s="195" t="s">
        <v>100</v>
      </c>
      <c r="U2" s="197" t="s">
        <v>99</v>
      </c>
      <c r="V2" s="198"/>
      <c r="Y2" s="203" t="s">
        <v>205</v>
      </c>
      <c r="Z2" s="195" t="s">
        <v>2</v>
      </c>
      <c r="AA2" s="196">
        <v>0</v>
      </c>
      <c r="AB2" s="195" t="s">
        <v>100</v>
      </c>
      <c r="AC2" s="197" t="s">
        <v>99</v>
      </c>
      <c r="AD2" s="198"/>
      <c r="AG2" s="421" t="s">
        <v>205</v>
      </c>
      <c r="AH2" s="410" t="s">
        <v>2</v>
      </c>
      <c r="AI2" s="422">
        <v>10</v>
      </c>
      <c r="AJ2" s="410" t="s">
        <v>100</v>
      </c>
      <c r="AK2" s="197" t="s">
        <v>99</v>
      </c>
      <c r="AL2" s="198"/>
      <c r="AM2" s="358"/>
      <c r="AO2" s="421" t="s">
        <v>205</v>
      </c>
      <c r="AP2" s="410" t="s">
        <v>2</v>
      </c>
      <c r="AQ2" s="422">
        <v>10</v>
      </c>
      <c r="AR2" s="410" t="s">
        <v>100</v>
      </c>
      <c r="AS2" s="197" t="s">
        <v>99</v>
      </c>
      <c r="AT2" s="198"/>
      <c r="AU2" s="358"/>
    </row>
    <row r="3" spans="1:47" x14ac:dyDescent="0.55000000000000004">
      <c r="A3" s="240"/>
      <c r="B3" s="1" t="s">
        <v>3</v>
      </c>
      <c r="C3" s="201">
        <v>0.04</v>
      </c>
      <c r="D3" s="80">
        <v>0</v>
      </c>
      <c r="E3" s="5"/>
      <c r="I3" s="240"/>
      <c r="J3" s="1" t="s">
        <v>3</v>
      </c>
      <c r="K3" s="79">
        <v>0.04</v>
      </c>
      <c r="L3" s="80">
        <v>0</v>
      </c>
      <c r="M3" s="5"/>
      <c r="Q3" s="240"/>
      <c r="R3" s="1" t="s">
        <v>3</v>
      </c>
      <c r="S3" s="79">
        <v>0.04</v>
      </c>
      <c r="T3" s="80">
        <v>0</v>
      </c>
      <c r="U3" s="5"/>
      <c r="Y3" s="240"/>
      <c r="Z3" s="1" t="s">
        <v>3</v>
      </c>
      <c r="AA3" s="79">
        <v>0.04</v>
      </c>
      <c r="AB3" s="80">
        <v>0</v>
      </c>
      <c r="AC3" s="5"/>
      <c r="AG3" s="367"/>
      <c r="AH3" s="359" t="s">
        <v>3</v>
      </c>
      <c r="AI3" s="423">
        <v>0.04</v>
      </c>
      <c r="AJ3" s="80">
        <v>0</v>
      </c>
      <c r="AK3" s="361"/>
      <c r="AL3" s="358"/>
      <c r="AM3" s="358"/>
      <c r="AO3" s="367"/>
      <c r="AP3" s="359" t="s">
        <v>3</v>
      </c>
      <c r="AQ3" s="423">
        <v>0.04</v>
      </c>
      <c r="AR3" s="80">
        <v>0</v>
      </c>
      <c r="AS3" s="361"/>
      <c r="AT3" s="358"/>
      <c r="AU3" s="358"/>
    </row>
    <row r="4" spans="1:47" ht="14.7" thickBot="1" x14ac:dyDescent="0.6">
      <c r="A4" s="202"/>
      <c r="B4" s="241" t="s">
        <v>2</v>
      </c>
      <c r="C4" s="242">
        <f>C2*(1+C3)</f>
        <v>10.4</v>
      </c>
      <c r="D4" s="243">
        <f>C2*(1+D3)</f>
        <v>10</v>
      </c>
      <c r="E4" s="244" t="s">
        <v>7</v>
      </c>
      <c r="F4" s="194"/>
      <c r="I4" s="202"/>
      <c r="J4" s="241" t="s">
        <v>2</v>
      </c>
      <c r="K4" s="245">
        <f>K2*(1+K3)</f>
        <v>0</v>
      </c>
      <c r="L4" s="243">
        <f>K2*(1+L3)</f>
        <v>0</v>
      </c>
      <c r="M4" s="244" t="s">
        <v>7</v>
      </c>
      <c r="N4" s="194"/>
      <c r="Q4" s="202"/>
      <c r="R4" s="241" t="s">
        <v>2</v>
      </c>
      <c r="S4" s="245">
        <f>S2*(1+S3)</f>
        <v>0</v>
      </c>
      <c r="T4" s="243">
        <f>S2*(1+T3)</f>
        <v>0</v>
      </c>
      <c r="U4" s="244" t="s">
        <v>7</v>
      </c>
      <c r="V4" s="194"/>
      <c r="Y4" s="202"/>
      <c r="Z4" s="241" t="s">
        <v>2</v>
      </c>
      <c r="AA4" s="245">
        <f>AA2*(1+AA3)</f>
        <v>0</v>
      </c>
      <c r="AB4" s="243">
        <f>AA2*(1+AB3)</f>
        <v>0</v>
      </c>
      <c r="AC4" s="244" t="s">
        <v>7</v>
      </c>
      <c r="AD4" s="194"/>
      <c r="AG4" s="202"/>
      <c r="AH4" s="424" t="s">
        <v>2</v>
      </c>
      <c r="AI4" s="425">
        <f>AI2*(1+AI3)</f>
        <v>10.4</v>
      </c>
      <c r="AJ4" s="243">
        <f>AI2*(1+AJ3)</f>
        <v>10</v>
      </c>
      <c r="AK4" s="426" t="s">
        <v>7</v>
      </c>
      <c r="AL4" s="408"/>
      <c r="AM4" s="358"/>
      <c r="AO4" s="202"/>
      <c r="AP4" s="424" t="s">
        <v>2</v>
      </c>
      <c r="AQ4" s="425">
        <f>AQ2*(1+AQ3)</f>
        <v>10.4</v>
      </c>
      <c r="AR4" s="243">
        <f>AQ2*(1+AR3)</f>
        <v>10</v>
      </c>
      <c r="AS4" s="426" t="s">
        <v>7</v>
      </c>
      <c r="AT4" s="408"/>
      <c r="AU4" s="358"/>
    </row>
    <row r="5" spans="1:47" ht="14.7" thickTop="1" x14ac:dyDescent="0.55000000000000004">
      <c r="A5" s="240"/>
      <c r="B5" s="1"/>
      <c r="C5" s="204"/>
      <c r="D5" s="30"/>
      <c r="E5" s="193" t="str">
        <f>IF(SUM(E9:E11)&gt;0.1*E14, "Warning: too high [enzyme]. Raise rxn volume. Or lower enzyme volume.","")</f>
        <v/>
      </c>
      <c r="F5" s="353" t="s">
        <v>288</v>
      </c>
      <c r="I5" s="240"/>
      <c r="J5" s="1"/>
      <c r="K5" s="58"/>
      <c r="L5" s="30"/>
      <c r="M5" s="193" t="str">
        <f>IF(SUM(M9:M11)&gt;0.1*M14, "Warning: too high [enzyme]. Raise rxn volume. Or lower enzyme volume.","")</f>
        <v/>
      </c>
      <c r="N5" s="354" t="s">
        <v>288</v>
      </c>
      <c r="Q5" s="240"/>
      <c r="R5" s="1"/>
      <c r="S5" s="58"/>
      <c r="T5" s="30"/>
      <c r="U5" s="193" t="str">
        <f>IF(SUM(U9:U11)&gt;0.1*U14, "Warning: too high [enzyme]. Raise rxn volume. Or lower enzyme volume.","")</f>
        <v/>
      </c>
      <c r="V5" s="355" t="s">
        <v>288</v>
      </c>
      <c r="Y5" s="240"/>
      <c r="Z5" s="1"/>
      <c r="AA5" s="58"/>
      <c r="AB5" s="30"/>
      <c r="AC5" s="193" t="str">
        <f>IF(SUM(AC9:AC11)&gt;0.1*AC14, "Warning: too high [enzyme]. Raise rxn volume. Or lower enzyme volume.","")</f>
        <v/>
      </c>
      <c r="AD5" s="356" t="s">
        <v>288</v>
      </c>
      <c r="AG5" s="367"/>
      <c r="AH5" s="359"/>
      <c r="AI5" s="436"/>
      <c r="AJ5" s="427"/>
      <c r="AK5" s="400" t="str">
        <f>IF(SUM(AK9:AK11)&gt;0.1*AK14, "Warning: too high [enzyme]. Raise rxn volume. Or lower enzyme volume.","")</f>
        <v/>
      </c>
      <c r="AL5" s="437" t="s">
        <v>288</v>
      </c>
      <c r="AM5" s="358"/>
      <c r="AO5" s="367"/>
      <c r="AP5" s="359"/>
      <c r="AQ5" s="436"/>
      <c r="AR5" s="427"/>
      <c r="AS5" s="400" t="str">
        <f>IF(SUM(AS9:AS11)&gt;0.1*AS14, "Warning: too high [enzyme]. Raise rxn volume. Or lower enzyme volume.","")</f>
        <v/>
      </c>
      <c r="AT5" s="437" t="s">
        <v>288</v>
      </c>
      <c r="AU5" s="358"/>
    </row>
    <row r="6" spans="1:47" ht="16.8" x14ac:dyDescent="0.75">
      <c r="A6" s="240"/>
      <c r="B6" s="1" t="s">
        <v>8</v>
      </c>
      <c r="C6" s="187">
        <f>C4*E6</f>
        <v>124.80000000000001</v>
      </c>
      <c r="D6" s="62">
        <f>D4*E6</f>
        <v>120</v>
      </c>
      <c r="E6" s="28">
        <f>E14-SUM(E7:E12)</f>
        <v>12</v>
      </c>
      <c r="F6" t="s">
        <v>10</v>
      </c>
      <c r="I6" s="240"/>
      <c r="J6" s="1" t="s">
        <v>8</v>
      </c>
      <c r="K6" s="10">
        <f>K4*M6</f>
        <v>0</v>
      </c>
      <c r="L6" s="62">
        <f>L4*M6</f>
        <v>0</v>
      </c>
      <c r="M6" s="28">
        <f>M14-SUM(M7:M12)</f>
        <v>12</v>
      </c>
      <c r="N6" t="s">
        <v>10</v>
      </c>
      <c r="Q6" s="240"/>
      <c r="R6" s="1" t="s">
        <v>8</v>
      </c>
      <c r="S6" s="10">
        <f>S4*U6</f>
        <v>0</v>
      </c>
      <c r="T6" s="62">
        <f>T4*U6</f>
        <v>0</v>
      </c>
      <c r="U6" s="28">
        <f>U14-SUM(U7:U12)</f>
        <v>12</v>
      </c>
      <c r="V6" t="s">
        <v>10</v>
      </c>
      <c r="Y6" s="240"/>
      <c r="Z6" s="1" t="s">
        <v>8</v>
      </c>
      <c r="AA6" s="10">
        <f>AA4*AC6</f>
        <v>0</v>
      </c>
      <c r="AB6" s="62">
        <f>AB4*AC6</f>
        <v>0</v>
      </c>
      <c r="AC6" s="28">
        <f>AC14-SUM(AC7:AC12)</f>
        <v>12</v>
      </c>
      <c r="AD6" t="s">
        <v>10</v>
      </c>
      <c r="AG6" s="367"/>
      <c r="AH6" s="359" t="s">
        <v>8</v>
      </c>
      <c r="AI6" s="428">
        <f>AI4*AK6</f>
        <v>124.80000000000001</v>
      </c>
      <c r="AJ6" s="429">
        <f>AJ4*AK6</f>
        <v>120</v>
      </c>
      <c r="AK6" s="369">
        <f>AK14-SUM(AK7:AK12)</f>
        <v>12</v>
      </c>
      <c r="AL6" s="358" t="s">
        <v>10</v>
      </c>
      <c r="AM6" s="358"/>
      <c r="AO6" s="367"/>
      <c r="AP6" s="359" t="s">
        <v>8</v>
      </c>
      <c r="AQ6" s="428">
        <f>AQ4*AS6</f>
        <v>124.80000000000001</v>
      </c>
      <c r="AR6" s="429">
        <f>AR4*AS6</f>
        <v>120</v>
      </c>
      <c r="AS6" s="369">
        <f>AS14-SUM(AS7:AS12)</f>
        <v>12</v>
      </c>
      <c r="AT6" s="358" t="s">
        <v>10</v>
      </c>
      <c r="AU6" s="358"/>
    </row>
    <row r="7" spans="1:47" x14ac:dyDescent="0.55000000000000004">
      <c r="A7" s="240" t="s">
        <v>220</v>
      </c>
      <c r="B7" s="1" t="s">
        <v>61</v>
      </c>
      <c r="C7" s="187">
        <f>C4*E7</f>
        <v>15.600000000000001</v>
      </c>
      <c r="D7" s="62">
        <f>D4*E7</f>
        <v>15</v>
      </c>
      <c r="E7" s="28">
        <f>E14/10</f>
        <v>1.5</v>
      </c>
      <c r="F7" t="s">
        <v>10</v>
      </c>
      <c r="I7" s="240"/>
      <c r="J7" s="1" t="s">
        <v>61</v>
      </c>
      <c r="K7" s="10">
        <f>K4*M7</f>
        <v>0</v>
      </c>
      <c r="L7" s="62">
        <f>L4*M7</f>
        <v>0</v>
      </c>
      <c r="M7" s="28">
        <f>M14/10</f>
        <v>1.5</v>
      </c>
      <c r="N7" t="s">
        <v>10</v>
      </c>
      <c r="Q7" s="240"/>
      <c r="R7" s="1" t="s">
        <v>61</v>
      </c>
      <c r="S7" s="10">
        <f>S4*U7</f>
        <v>0</v>
      </c>
      <c r="T7" s="62">
        <f>T4*U7</f>
        <v>0</v>
      </c>
      <c r="U7" s="28">
        <f>U14/10</f>
        <v>1.5</v>
      </c>
      <c r="V7" t="s">
        <v>10</v>
      </c>
      <c r="Y7" s="240"/>
      <c r="Z7" s="1" t="s">
        <v>61</v>
      </c>
      <c r="AA7" s="10">
        <f>AA4*AC7</f>
        <v>0</v>
      </c>
      <c r="AB7" s="62">
        <f>AB4*AC7</f>
        <v>0</v>
      </c>
      <c r="AC7" s="28">
        <f>AC14/10</f>
        <v>1.5</v>
      </c>
      <c r="AD7" t="s">
        <v>10</v>
      </c>
      <c r="AG7" s="367" t="s">
        <v>220</v>
      </c>
      <c r="AH7" s="359" t="s">
        <v>61</v>
      </c>
      <c r="AI7" s="428">
        <f>AI4*AK7</f>
        <v>15.600000000000001</v>
      </c>
      <c r="AJ7" s="429">
        <f>AJ4*AK7</f>
        <v>15</v>
      </c>
      <c r="AK7" s="369">
        <f>AK14/10</f>
        <v>1.5</v>
      </c>
      <c r="AL7" s="358" t="s">
        <v>10</v>
      </c>
      <c r="AM7" s="358"/>
      <c r="AO7" s="367" t="s">
        <v>220</v>
      </c>
      <c r="AP7" s="359" t="s">
        <v>61</v>
      </c>
      <c r="AQ7" s="428">
        <f>AQ4*AS7</f>
        <v>15.600000000000001</v>
      </c>
      <c r="AR7" s="429">
        <f>AR4*AS7</f>
        <v>15</v>
      </c>
      <c r="AS7" s="369">
        <f>AS14/10</f>
        <v>1.5</v>
      </c>
      <c r="AT7" s="358" t="s">
        <v>10</v>
      </c>
      <c r="AU7" s="358"/>
    </row>
    <row r="8" spans="1:47" s="247" customFormat="1" x14ac:dyDescent="0.55000000000000004">
      <c r="A8" s="246"/>
      <c r="B8" s="248" t="s">
        <v>215</v>
      </c>
      <c r="C8" s="249">
        <f>C4*E8</f>
        <v>0</v>
      </c>
      <c r="D8" s="250">
        <f>D3*E8</f>
        <v>0</v>
      </c>
      <c r="E8" s="251">
        <f>IF(E2="yes",E14/10,0)</f>
        <v>0</v>
      </c>
      <c r="F8" s="247" t="s">
        <v>10</v>
      </c>
      <c r="I8" s="246"/>
      <c r="J8" s="248" t="s">
        <v>215</v>
      </c>
      <c r="K8" s="249">
        <f>K4*M8</f>
        <v>0</v>
      </c>
      <c r="L8" s="250">
        <f>L3*M8</f>
        <v>0</v>
      </c>
      <c r="M8" s="251">
        <f>IF(M2="yes",M14/10,0)</f>
        <v>0</v>
      </c>
      <c r="N8" s="247" t="s">
        <v>10</v>
      </c>
      <c r="Q8" s="246"/>
      <c r="R8" s="248" t="s">
        <v>215</v>
      </c>
      <c r="S8" s="249">
        <f>S4*U8</f>
        <v>0</v>
      </c>
      <c r="T8" s="250">
        <f>T3*U8</f>
        <v>0</v>
      </c>
      <c r="U8" s="251">
        <f>IF(U2="yes",U14/10,0)</f>
        <v>0</v>
      </c>
      <c r="V8" s="247" t="s">
        <v>10</v>
      </c>
      <c r="Y8" s="246"/>
      <c r="Z8" s="248" t="s">
        <v>215</v>
      </c>
      <c r="AA8" s="249">
        <f>AA4*AC8</f>
        <v>0</v>
      </c>
      <c r="AB8" s="250">
        <f>AB3*AC8</f>
        <v>0</v>
      </c>
      <c r="AC8" s="251">
        <f>IF(AC2="yes",AC14/10,0)</f>
        <v>0</v>
      </c>
      <c r="AD8" s="247" t="s">
        <v>10</v>
      </c>
      <c r="AG8" s="430"/>
      <c r="AH8" s="416" t="s">
        <v>215</v>
      </c>
      <c r="AI8" s="417">
        <f>AI4*AK8</f>
        <v>0</v>
      </c>
      <c r="AJ8" s="418">
        <f>AJ3*AK8</f>
        <v>0</v>
      </c>
      <c r="AK8" s="431">
        <f>IF(AK2="yes",AK14/10,0)</f>
        <v>0</v>
      </c>
      <c r="AL8" s="415" t="s">
        <v>10</v>
      </c>
      <c r="AM8" s="415"/>
      <c r="AO8" s="430"/>
      <c r="AP8" s="416" t="s">
        <v>215</v>
      </c>
      <c r="AQ8" s="417">
        <f>AQ4*AS8</f>
        <v>0</v>
      </c>
      <c r="AR8" s="418">
        <f>AR3*AS8</f>
        <v>0</v>
      </c>
      <c r="AS8" s="431">
        <f>IF(AS2="yes",AS14/10,0)</f>
        <v>0</v>
      </c>
      <c r="AT8" s="415" t="s">
        <v>10</v>
      </c>
      <c r="AU8" s="415"/>
    </row>
    <row r="9" spans="1:47" ht="14.4" customHeight="1" x14ac:dyDescent="0.55000000000000004">
      <c r="A9" s="240" t="s">
        <v>285</v>
      </c>
      <c r="B9" s="1" t="s">
        <v>56</v>
      </c>
      <c r="C9" s="187">
        <f>C4*E9</f>
        <v>5.2</v>
      </c>
      <c r="D9" s="62">
        <f>D4*E9</f>
        <v>5</v>
      </c>
      <c r="E9" s="3">
        <v>0.5</v>
      </c>
      <c r="F9" t="s">
        <v>10</v>
      </c>
      <c r="G9" s="537" t="str">
        <f>CONCATENATE("&lt; ",E14/10," µL total")</f>
        <v>&lt; 1.5 µL total</v>
      </c>
      <c r="I9" s="240"/>
      <c r="J9" s="1" t="s">
        <v>56</v>
      </c>
      <c r="K9" s="10">
        <f>K4*M9</f>
        <v>0</v>
      </c>
      <c r="L9" s="62">
        <f>L4*M9</f>
        <v>0</v>
      </c>
      <c r="M9" s="3">
        <v>0.5</v>
      </c>
      <c r="N9" t="s">
        <v>10</v>
      </c>
      <c r="O9" s="537" t="str">
        <f>CONCATENATE("&lt; ",M14/10," µL total")</f>
        <v>&lt; 1.5 µL total</v>
      </c>
      <c r="Q9" s="240"/>
      <c r="R9" s="1" t="s">
        <v>56</v>
      </c>
      <c r="S9" s="10">
        <f>S4*U9</f>
        <v>0</v>
      </c>
      <c r="T9" s="62">
        <f>T4*U9</f>
        <v>0</v>
      </c>
      <c r="U9" s="3">
        <v>0.5</v>
      </c>
      <c r="V9" t="s">
        <v>10</v>
      </c>
      <c r="W9" s="537" t="str">
        <f>CONCATENATE("&lt; ",U14/10," µL total")</f>
        <v>&lt; 1.5 µL total</v>
      </c>
      <c r="Y9" s="240"/>
      <c r="Z9" s="1" t="s">
        <v>56</v>
      </c>
      <c r="AA9" s="10">
        <f>AA4*AC9</f>
        <v>0</v>
      </c>
      <c r="AB9" s="62">
        <f>AB4*AC9</f>
        <v>0</v>
      </c>
      <c r="AC9" s="3">
        <v>0.5</v>
      </c>
      <c r="AD9" t="s">
        <v>10</v>
      </c>
      <c r="AE9" s="537" t="str">
        <f>CONCATENATE("&lt; ",AC14/10," µL total")</f>
        <v>&lt; 1.5 µL total</v>
      </c>
      <c r="AG9" s="367" t="s">
        <v>285</v>
      </c>
      <c r="AH9" s="359" t="s">
        <v>56</v>
      </c>
      <c r="AI9" s="428">
        <f>AI4*AK9</f>
        <v>5.2</v>
      </c>
      <c r="AJ9" s="429">
        <f>AJ4*AK9</f>
        <v>5</v>
      </c>
      <c r="AK9" s="360">
        <v>0.5</v>
      </c>
      <c r="AL9" s="358" t="s">
        <v>10</v>
      </c>
      <c r="AM9" s="537" t="str">
        <f>CONCATENATE("&lt; ",AK14/10," µL total")</f>
        <v>&lt; 1.5 µL total</v>
      </c>
      <c r="AO9" s="367" t="s">
        <v>285</v>
      </c>
      <c r="AP9" s="359" t="s">
        <v>56</v>
      </c>
      <c r="AQ9" s="428">
        <f>AQ4*AS9</f>
        <v>5.2</v>
      </c>
      <c r="AR9" s="429">
        <f>AR4*AS9</f>
        <v>5</v>
      </c>
      <c r="AS9" s="360">
        <v>0.5</v>
      </c>
      <c r="AT9" s="358" t="s">
        <v>10</v>
      </c>
      <c r="AU9" s="537" t="str">
        <f>CONCATENATE("&lt; ",AS14/10," µL total")</f>
        <v>&lt; 1.5 µL total</v>
      </c>
    </row>
    <row r="10" spans="1:47" ht="14.4" customHeight="1" x14ac:dyDescent="0.55000000000000004">
      <c r="A10" s="240" t="s">
        <v>286</v>
      </c>
      <c r="B10" s="1" t="s">
        <v>57</v>
      </c>
      <c r="C10" s="187">
        <f>C4*E10</f>
        <v>0</v>
      </c>
      <c r="D10" s="62">
        <f>D4*E10</f>
        <v>0</v>
      </c>
      <c r="E10" s="3">
        <v>0</v>
      </c>
      <c r="F10" t="s">
        <v>10</v>
      </c>
      <c r="G10" s="537"/>
      <c r="I10" s="240"/>
      <c r="J10" s="1" t="s">
        <v>57</v>
      </c>
      <c r="K10" s="10">
        <f>K4*M10</f>
        <v>0</v>
      </c>
      <c r="L10" s="62">
        <f>L4*M10</f>
        <v>0</v>
      </c>
      <c r="M10" s="3">
        <v>0</v>
      </c>
      <c r="N10" t="s">
        <v>10</v>
      </c>
      <c r="O10" s="537"/>
      <c r="Q10" s="240"/>
      <c r="R10" s="1" t="s">
        <v>57</v>
      </c>
      <c r="S10" s="10">
        <f>S4*U10</f>
        <v>0</v>
      </c>
      <c r="T10" s="62">
        <f>T4*U10</f>
        <v>0</v>
      </c>
      <c r="U10" s="3">
        <v>0</v>
      </c>
      <c r="V10" t="s">
        <v>10</v>
      </c>
      <c r="W10" s="537"/>
      <c r="Y10" s="240"/>
      <c r="Z10" s="1" t="s">
        <v>57</v>
      </c>
      <c r="AA10" s="10">
        <f>AA4*AC10</f>
        <v>0</v>
      </c>
      <c r="AB10" s="62">
        <f>AB4*AC10</f>
        <v>0</v>
      </c>
      <c r="AC10" s="3">
        <v>0</v>
      </c>
      <c r="AD10" t="s">
        <v>10</v>
      </c>
      <c r="AE10" s="537"/>
      <c r="AG10" s="367" t="s">
        <v>286</v>
      </c>
      <c r="AH10" s="359" t="s">
        <v>57</v>
      </c>
      <c r="AI10" s="428">
        <f>AI4*AK10</f>
        <v>0</v>
      </c>
      <c r="AJ10" s="429">
        <f>AJ4*AK10</f>
        <v>0</v>
      </c>
      <c r="AK10" s="360">
        <v>0</v>
      </c>
      <c r="AL10" s="358" t="s">
        <v>10</v>
      </c>
      <c r="AM10" s="537"/>
      <c r="AO10" s="367" t="s">
        <v>286</v>
      </c>
      <c r="AP10" s="359" t="s">
        <v>57</v>
      </c>
      <c r="AQ10" s="428">
        <f>AQ4*AS10</f>
        <v>0</v>
      </c>
      <c r="AR10" s="429">
        <f>AR4*AS10</f>
        <v>0</v>
      </c>
      <c r="AS10" s="360">
        <v>0</v>
      </c>
      <c r="AT10" s="358" t="s">
        <v>10</v>
      </c>
      <c r="AU10" s="537"/>
    </row>
    <row r="11" spans="1:47" ht="14.4" customHeight="1" x14ac:dyDescent="0.55000000000000004">
      <c r="A11" s="240"/>
      <c r="B11" s="1" t="s">
        <v>58</v>
      </c>
      <c r="C11" s="187">
        <f>C4*E11</f>
        <v>0</v>
      </c>
      <c r="D11" s="62">
        <f>D4*E11</f>
        <v>0</v>
      </c>
      <c r="E11" s="3">
        <v>0</v>
      </c>
      <c r="F11" t="s">
        <v>10</v>
      </c>
      <c r="G11" s="537"/>
      <c r="I11" s="240"/>
      <c r="J11" s="1" t="s">
        <v>58</v>
      </c>
      <c r="K11" s="10">
        <f>K4*M11</f>
        <v>0</v>
      </c>
      <c r="L11" s="62">
        <f>L4*M11</f>
        <v>0</v>
      </c>
      <c r="M11" s="3">
        <v>0</v>
      </c>
      <c r="N11" t="s">
        <v>10</v>
      </c>
      <c r="O11" s="537"/>
      <c r="Q11" s="240"/>
      <c r="R11" s="1" t="s">
        <v>58</v>
      </c>
      <c r="S11" s="10">
        <f>S4*U11</f>
        <v>0</v>
      </c>
      <c r="T11" s="62">
        <f>T4*U11</f>
        <v>0</v>
      </c>
      <c r="U11" s="3">
        <v>0</v>
      </c>
      <c r="V11" t="s">
        <v>10</v>
      </c>
      <c r="W11" s="537"/>
      <c r="Y11" s="240"/>
      <c r="Z11" s="1" t="s">
        <v>58</v>
      </c>
      <c r="AA11" s="10">
        <f>AA4*AC11</f>
        <v>0</v>
      </c>
      <c r="AB11" s="62">
        <f>AB4*AC11</f>
        <v>0</v>
      </c>
      <c r="AC11" s="3">
        <v>0</v>
      </c>
      <c r="AD11" t="s">
        <v>10</v>
      </c>
      <c r="AE11" s="537"/>
      <c r="AG11" s="367"/>
      <c r="AH11" s="359" t="s">
        <v>58</v>
      </c>
      <c r="AI11" s="428">
        <f>AI4*AK11</f>
        <v>0</v>
      </c>
      <c r="AJ11" s="429">
        <f>AJ4*AK11</f>
        <v>0</v>
      </c>
      <c r="AK11" s="360">
        <v>0</v>
      </c>
      <c r="AL11" s="358" t="s">
        <v>10</v>
      </c>
      <c r="AM11" s="537"/>
      <c r="AO11" s="367"/>
      <c r="AP11" s="359" t="s">
        <v>58</v>
      </c>
      <c r="AQ11" s="428">
        <f>AQ4*AS11</f>
        <v>0</v>
      </c>
      <c r="AR11" s="429">
        <f>AR4*AS11</f>
        <v>0</v>
      </c>
      <c r="AS11" s="360">
        <v>0</v>
      </c>
      <c r="AT11" s="358" t="s">
        <v>10</v>
      </c>
      <c r="AU11" s="537"/>
    </row>
    <row r="12" spans="1:47" ht="14.4" customHeight="1" x14ac:dyDescent="0.55000000000000004">
      <c r="A12" s="240"/>
      <c r="B12" s="1" t="s">
        <v>59</v>
      </c>
      <c r="C12" s="187">
        <f>C4*E12</f>
        <v>10.4</v>
      </c>
      <c r="D12" s="62">
        <f>D4*E12</f>
        <v>10</v>
      </c>
      <c r="E12" s="29">
        <v>1</v>
      </c>
      <c r="F12" t="s">
        <v>10</v>
      </c>
      <c r="G12" s="437" t="s">
        <v>203</v>
      </c>
      <c r="I12" s="240"/>
      <c r="J12" s="1" t="s">
        <v>59</v>
      </c>
      <c r="K12" s="10">
        <f>K4*M12</f>
        <v>0</v>
      </c>
      <c r="L12" s="62">
        <f>L4*M12</f>
        <v>0</v>
      </c>
      <c r="M12" s="29">
        <v>1</v>
      </c>
      <c r="N12" t="s">
        <v>10</v>
      </c>
      <c r="O12" s="437" t="s">
        <v>203</v>
      </c>
      <c r="Q12" s="240"/>
      <c r="R12" s="1" t="s">
        <v>59</v>
      </c>
      <c r="S12" s="10">
        <f>S4*U12</f>
        <v>0</v>
      </c>
      <c r="T12" s="62">
        <f>T4*U12</f>
        <v>0</v>
      </c>
      <c r="U12" s="29">
        <v>1</v>
      </c>
      <c r="V12" t="s">
        <v>10</v>
      </c>
      <c r="W12" s="437" t="s">
        <v>203</v>
      </c>
      <c r="Y12" s="240"/>
      <c r="Z12" s="1" t="s">
        <v>59</v>
      </c>
      <c r="AA12" s="10">
        <f>AA4*AC12</f>
        <v>0</v>
      </c>
      <c r="AB12" s="62">
        <f>AB4*AC12</f>
        <v>0</v>
      </c>
      <c r="AC12" s="29">
        <v>1</v>
      </c>
      <c r="AD12" t="s">
        <v>10</v>
      </c>
      <c r="AE12" s="437" t="s">
        <v>203</v>
      </c>
      <c r="AG12" s="367"/>
      <c r="AH12" s="359" t="s">
        <v>59</v>
      </c>
      <c r="AI12" s="428">
        <f>AI4*AK12</f>
        <v>10.4</v>
      </c>
      <c r="AJ12" s="429">
        <f>AJ4*AK12</f>
        <v>10</v>
      </c>
      <c r="AK12" s="370">
        <v>1</v>
      </c>
      <c r="AL12" s="358" t="s">
        <v>10</v>
      </c>
      <c r="AM12" s="437" t="s">
        <v>203</v>
      </c>
      <c r="AO12" s="367"/>
      <c r="AP12" s="359" t="s">
        <v>59</v>
      </c>
      <c r="AQ12" s="428">
        <f>AQ4*AS12</f>
        <v>10.4</v>
      </c>
      <c r="AR12" s="429">
        <f>AR4*AS12</f>
        <v>10</v>
      </c>
      <c r="AS12" s="370">
        <v>1</v>
      </c>
      <c r="AT12" s="358" t="s">
        <v>10</v>
      </c>
      <c r="AU12" s="437" t="s">
        <v>203</v>
      </c>
    </row>
    <row r="13" spans="1:47" x14ac:dyDescent="0.55000000000000004">
      <c r="A13" s="240"/>
      <c r="B13" s="1"/>
      <c r="C13" s="7"/>
      <c r="D13" s="32"/>
      <c r="E13" s="6"/>
      <c r="I13" s="240"/>
      <c r="J13" s="1"/>
      <c r="L13" s="32"/>
      <c r="M13" s="6"/>
      <c r="Q13" s="240"/>
      <c r="R13" s="1"/>
      <c r="T13" s="32"/>
      <c r="U13" s="6"/>
      <c r="Y13" s="240"/>
      <c r="Z13" s="1"/>
      <c r="AB13" s="32"/>
      <c r="AC13" s="6"/>
      <c r="AG13" s="367"/>
      <c r="AH13" s="359"/>
      <c r="AI13" s="363"/>
      <c r="AJ13" s="432"/>
      <c r="AK13" s="362"/>
      <c r="AL13" s="358"/>
      <c r="AM13" s="358"/>
      <c r="AO13" s="367"/>
      <c r="AP13" s="359"/>
      <c r="AQ13" s="363"/>
      <c r="AR13" s="432"/>
      <c r="AS13" s="362"/>
      <c r="AT13" s="358"/>
      <c r="AU13" s="358"/>
    </row>
    <row r="14" spans="1:47" x14ac:dyDescent="0.55000000000000004">
      <c r="A14" s="240"/>
      <c r="B14" s="52" t="s">
        <v>4</v>
      </c>
      <c r="C14" s="53">
        <f>SUM(C6:C12)</f>
        <v>156</v>
      </c>
      <c r="D14" s="54">
        <f>SUM(D6:D12)</f>
        <v>150</v>
      </c>
      <c r="E14" s="199">
        <v>15</v>
      </c>
      <c r="F14" s="56" t="s">
        <v>10</v>
      </c>
      <c r="I14" s="240"/>
      <c r="J14" s="52" t="s">
        <v>4</v>
      </c>
      <c r="K14" s="53">
        <f>SUM(K6:K12)</f>
        <v>0</v>
      </c>
      <c r="L14" s="54">
        <f>SUM(L6:L12)</f>
        <v>0</v>
      </c>
      <c r="M14" s="55">
        <v>15</v>
      </c>
      <c r="N14" s="56" t="s">
        <v>10</v>
      </c>
      <c r="Q14" s="240"/>
      <c r="R14" s="52" t="s">
        <v>4</v>
      </c>
      <c r="S14" s="53">
        <f>SUM(S6:S12)</f>
        <v>0</v>
      </c>
      <c r="T14" s="54">
        <f>SUM(T6:T12)</f>
        <v>0</v>
      </c>
      <c r="U14" s="55">
        <v>15</v>
      </c>
      <c r="V14" s="56" t="s">
        <v>10</v>
      </c>
      <c r="Y14" s="240"/>
      <c r="Z14" s="52" t="s">
        <v>4</v>
      </c>
      <c r="AA14" s="53">
        <f>SUM(AA6:AA12)</f>
        <v>0</v>
      </c>
      <c r="AB14" s="54">
        <f>SUM(AB6:AB12)</f>
        <v>0</v>
      </c>
      <c r="AC14" s="55">
        <v>15</v>
      </c>
      <c r="AD14" s="56" t="s">
        <v>10</v>
      </c>
      <c r="AG14" s="367"/>
      <c r="AH14" s="433" t="s">
        <v>4</v>
      </c>
      <c r="AI14" s="372">
        <f>SUM(AI6:AI12)</f>
        <v>156</v>
      </c>
      <c r="AJ14" s="373">
        <f>SUM(AJ6:AJ12)</f>
        <v>150</v>
      </c>
      <c r="AK14" s="435">
        <v>15</v>
      </c>
      <c r="AL14" s="374" t="s">
        <v>10</v>
      </c>
      <c r="AM14" s="358"/>
      <c r="AO14" s="367"/>
      <c r="AP14" s="433" t="s">
        <v>4</v>
      </c>
      <c r="AQ14" s="372">
        <f>SUM(AQ6:AQ12)</f>
        <v>156</v>
      </c>
      <c r="AR14" s="373">
        <f>SUM(AR6:AR12)</f>
        <v>150</v>
      </c>
      <c r="AS14" s="435">
        <v>15</v>
      </c>
      <c r="AT14" s="374" t="s">
        <v>10</v>
      </c>
      <c r="AU14" s="358"/>
    </row>
    <row r="15" spans="1:47" x14ac:dyDescent="0.55000000000000004">
      <c r="A15" s="240"/>
      <c r="B15" s="68" t="s">
        <v>106</v>
      </c>
      <c r="C15" s="53">
        <f>SUM(C6:C11)</f>
        <v>145.6</v>
      </c>
      <c r="D15" s="54">
        <f>SUM(D6:D11)</f>
        <v>140</v>
      </c>
      <c r="E15" s="57">
        <f>SUM(E6:E11)</f>
        <v>14</v>
      </c>
      <c r="F15" s="56" t="s">
        <v>10</v>
      </c>
      <c r="I15" s="240"/>
      <c r="J15" s="68" t="s">
        <v>106</v>
      </c>
      <c r="K15" s="53">
        <f>SUM(K6:K11)</f>
        <v>0</v>
      </c>
      <c r="L15" s="54">
        <f>SUM(L6:L11)</f>
        <v>0</v>
      </c>
      <c r="M15" s="57">
        <f>SUM(M6:M11)</f>
        <v>14</v>
      </c>
      <c r="N15" s="56" t="s">
        <v>10</v>
      </c>
      <c r="Q15" s="240"/>
      <c r="R15" s="68" t="s">
        <v>106</v>
      </c>
      <c r="S15" s="53">
        <f>SUM(S6:S11)</f>
        <v>0</v>
      </c>
      <c r="T15" s="54">
        <f>SUM(T6:T11)</f>
        <v>0</v>
      </c>
      <c r="U15" s="57">
        <f>SUM(U6:U11)</f>
        <v>14</v>
      </c>
      <c r="V15" s="56" t="s">
        <v>10</v>
      </c>
      <c r="Y15" s="240"/>
      <c r="Z15" s="68" t="s">
        <v>106</v>
      </c>
      <c r="AA15" s="53">
        <f>SUM(AA6:AA11)</f>
        <v>0</v>
      </c>
      <c r="AB15" s="54">
        <f>SUM(AB6:AB11)</f>
        <v>0</v>
      </c>
      <c r="AC15" s="57">
        <f>SUM(AC6:AC11)</f>
        <v>14</v>
      </c>
      <c r="AD15" s="56" t="s">
        <v>10</v>
      </c>
      <c r="AG15" s="367"/>
      <c r="AH15" s="391" t="s">
        <v>106</v>
      </c>
      <c r="AI15" s="372">
        <f>SUM(AI6:AI11)</f>
        <v>145.6</v>
      </c>
      <c r="AJ15" s="373">
        <f>SUM(AJ6:AJ11)</f>
        <v>140</v>
      </c>
      <c r="AK15" s="375">
        <f>SUM(AK6:AK11)</f>
        <v>14</v>
      </c>
      <c r="AL15" s="374" t="s">
        <v>10</v>
      </c>
      <c r="AM15" s="358"/>
      <c r="AO15" s="367"/>
      <c r="AP15" s="391" t="s">
        <v>106</v>
      </c>
      <c r="AQ15" s="372">
        <f>SUM(AQ6:AQ11)</f>
        <v>145.6</v>
      </c>
      <c r="AR15" s="373">
        <f>SUM(AR6:AR11)</f>
        <v>140</v>
      </c>
      <c r="AS15" s="375">
        <f>SUM(AS6:AS11)</f>
        <v>14</v>
      </c>
      <c r="AT15" s="374" t="s">
        <v>10</v>
      </c>
      <c r="AU15" s="358"/>
    </row>
    <row r="16" spans="1:47" x14ac:dyDescent="0.55000000000000004">
      <c r="A16" s="240"/>
      <c r="B16" s="68" t="s">
        <v>107</v>
      </c>
      <c r="C16" s="53">
        <f>SUM(C6:C8,C12)</f>
        <v>150.80000000000001</v>
      </c>
      <c r="D16" s="54">
        <f>SUM(D6:D8,D12)</f>
        <v>145</v>
      </c>
      <c r="E16" s="57">
        <f>SUM(E6:E8,E12)</f>
        <v>14.5</v>
      </c>
      <c r="F16" s="56" t="s">
        <v>10</v>
      </c>
      <c r="I16" s="240"/>
      <c r="J16" s="68" t="s">
        <v>107</v>
      </c>
      <c r="K16" s="53">
        <f>SUM(K6:K8,K12)</f>
        <v>0</v>
      </c>
      <c r="L16" s="54">
        <f>SUM(L6:L8,L12)</f>
        <v>0</v>
      </c>
      <c r="M16" s="57">
        <f>SUM(M6:M8,M12)</f>
        <v>14.5</v>
      </c>
      <c r="N16" s="56" t="s">
        <v>10</v>
      </c>
      <c r="Q16" s="240"/>
      <c r="R16" s="68" t="s">
        <v>107</v>
      </c>
      <c r="S16" s="53">
        <f>SUM(S6:S8,S12)</f>
        <v>0</v>
      </c>
      <c r="T16" s="54">
        <f>SUM(T6:T8,T12)</f>
        <v>0</v>
      </c>
      <c r="U16" s="57">
        <f>SUM(U6:U8,U12)</f>
        <v>14.5</v>
      </c>
      <c r="V16" s="56" t="s">
        <v>10</v>
      </c>
      <c r="Y16" s="240"/>
      <c r="Z16" s="68" t="s">
        <v>107</v>
      </c>
      <c r="AA16" s="53">
        <f>SUM(AA6:AA8,AA12)</f>
        <v>0</v>
      </c>
      <c r="AB16" s="54">
        <f>SUM(AB6:AB8,AB12)</f>
        <v>0</v>
      </c>
      <c r="AC16" s="57">
        <f>SUM(AC6:AC8,AC12)</f>
        <v>14.5</v>
      </c>
      <c r="AD16" s="56" t="s">
        <v>10</v>
      </c>
      <c r="AG16" s="367"/>
      <c r="AH16" s="391" t="s">
        <v>107</v>
      </c>
      <c r="AI16" s="372">
        <f>SUM(AI6:AI8,AI12)</f>
        <v>150.80000000000001</v>
      </c>
      <c r="AJ16" s="373">
        <f>SUM(AJ6:AJ8,AJ12)</f>
        <v>145</v>
      </c>
      <c r="AK16" s="375">
        <f>SUM(AK6:AK8,AK12)</f>
        <v>14.5</v>
      </c>
      <c r="AL16" s="374" t="s">
        <v>10</v>
      </c>
      <c r="AM16" s="358"/>
      <c r="AO16" s="367"/>
      <c r="AP16" s="391" t="s">
        <v>107</v>
      </c>
      <c r="AQ16" s="372">
        <f>SUM(AQ6:AQ8,AQ12)</f>
        <v>150.80000000000001</v>
      </c>
      <c r="AR16" s="373">
        <f>SUM(AR6:AR8,AR12)</f>
        <v>145</v>
      </c>
      <c r="AS16" s="375">
        <f>SUM(AS6:AS8,AS12)</f>
        <v>14.5</v>
      </c>
      <c r="AT16" s="374" t="s">
        <v>10</v>
      </c>
      <c r="AU16" s="358"/>
    </row>
    <row r="17" spans="1:47" x14ac:dyDescent="0.55000000000000004">
      <c r="A17" s="240"/>
      <c r="B17" s="81" t="s">
        <v>108</v>
      </c>
      <c r="C17" s="53">
        <f>SUM(C6:C8)</f>
        <v>140.4</v>
      </c>
      <c r="D17" s="54">
        <f>SUM(D6:D8)</f>
        <v>135</v>
      </c>
      <c r="E17" s="57">
        <f>SUM(E6:E8)</f>
        <v>13.5</v>
      </c>
      <c r="F17" s="56" t="s">
        <v>10</v>
      </c>
      <c r="I17" s="240"/>
      <c r="J17" s="81" t="s">
        <v>108</v>
      </c>
      <c r="K17" s="53">
        <f>SUM(K6:K8)</f>
        <v>0</v>
      </c>
      <c r="L17" s="54">
        <f>SUM(L6:L8)</f>
        <v>0</v>
      </c>
      <c r="M17" s="57">
        <f>SUM(M6:M8)</f>
        <v>13.5</v>
      </c>
      <c r="N17" s="56" t="s">
        <v>10</v>
      </c>
      <c r="Q17" s="240"/>
      <c r="R17" s="81" t="s">
        <v>108</v>
      </c>
      <c r="S17" s="53">
        <f>SUM(S6:S8)</f>
        <v>0</v>
      </c>
      <c r="T17" s="54">
        <f>SUM(T6:T8)</f>
        <v>0</v>
      </c>
      <c r="U17" s="57">
        <f>SUM(U6:U8)</f>
        <v>13.5</v>
      </c>
      <c r="V17" s="56" t="s">
        <v>10</v>
      </c>
      <c r="Y17" s="240"/>
      <c r="Z17" s="81" t="s">
        <v>108</v>
      </c>
      <c r="AA17" s="53">
        <f>SUM(AA6:AA8)</f>
        <v>0</v>
      </c>
      <c r="AB17" s="54">
        <f>SUM(AB6:AB8)</f>
        <v>0</v>
      </c>
      <c r="AC17" s="57">
        <f>SUM(AC6:AC8)</f>
        <v>13.5</v>
      </c>
      <c r="AD17" s="56" t="s">
        <v>10</v>
      </c>
      <c r="AG17" s="367"/>
      <c r="AH17" s="434" t="s">
        <v>108</v>
      </c>
      <c r="AI17" s="372">
        <f>SUM(AI6:AI8)</f>
        <v>140.4</v>
      </c>
      <c r="AJ17" s="373">
        <f>SUM(AJ6:AJ8)</f>
        <v>135</v>
      </c>
      <c r="AK17" s="375">
        <f>SUM(AK6:AK8)</f>
        <v>13.5</v>
      </c>
      <c r="AL17" s="374" t="s">
        <v>10</v>
      </c>
      <c r="AM17" s="358"/>
      <c r="AO17" s="367"/>
      <c r="AP17" s="434" t="s">
        <v>108</v>
      </c>
      <c r="AQ17" s="372">
        <f>SUM(AQ6:AQ8)</f>
        <v>140.4</v>
      </c>
      <c r="AR17" s="373">
        <f>SUM(AR6:AR8)</f>
        <v>135</v>
      </c>
      <c r="AS17" s="375">
        <f>SUM(AS6:AS8)</f>
        <v>13.5</v>
      </c>
      <c r="AT17" s="374" t="s">
        <v>10</v>
      </c>
      <c r="AU17" s="358"/>
    </row>
    <row r="21" spans="1:47" ht="22.2" customHeight="1" x14ac:dyDescent="0.55000000000000004">
      <c r="A21" s="539" t="s">
        <v>212</v>
      </c>
      <c r="B21" s="539"/>
      <c r="C21" s="539"/>
      <c r="D21" s="539"/>
      <c r="E21" s="539"/>
      <c r="F21" s="539"/>
      <c r="G21" s="539"/>
    </row>
    <row r="22" spans="1:47" ht="14.7" thickBot="1" x14ac:dyDescent="0.6">
      <c r="A22" s="203" t="s">
        <v>205</v>
      </c>
      <c r="B22" s="195" t="s">
        <v>2</v>
      </c>
      <c r="C22" s="200">
        <v>10</v>
      </c>
      <c r="D22" s="195" t="s">
        <v>214</v>
      </c>
      <c r="E22" s="197" t="s">
        <v>99</v>
      </c>
      <c r="F22" s="198"/>
      <c r="G22" s="540" t="s">
        <v>219</v>
      </c>
      <c r="H22" s="541"/>
    </row>
    <row r="23" spans="1:47" x14ac:dyDescent="0.55000000000000004">
      <c r="A23" s="240"/>
      <c r="B23" s="1" t="s">
        <v>3</v>
      </c>
      <c r="C23" s="201">
        <v>0.03</v>
      </c>
      <c r="D23" s="80">
        <v>0</v>
      </c>
      <c r="E23" s="5"/>
    </row>
    <row r="24" spans="1:47" ht="14.7" thickBot="1" x14ac:dyDescent="0.6">
      <c r="A24" s="202"/>
      <c r="B24" s="241" t="s">
        <v>2</v>
      </c>
      <c r="C24" s="242">
        <f>C22*(1+C23)</f>
        <v>10.3</v>
      </c>
      <c r="D24" s="243">
        <f>C22*(1+D23)</f>
        <v>10</v>
      </c>
      <c r="E24" s="244" t="s">
        <v>7</v>
      </c>
      <c r="F24" s="194"/>
      <c r="H24" t="s">
        <v>224</v>
      </c>
    </row>
    <row r="25" spans="1:47" ht="14.7" thickTop="1" x14ac:dyDescent="0.55000000000000004">
      <c r="A25" s="240"/>
      <c r="B25" s="1"/>
      <c r="C25" s="204"/>
      <c r="D25" s="30"/>
      <c r="E25" s="193" t="str">
        <f>IF(SUM(E29:E29)&gt;0.1*E32, "Warning: too high [enzyme]. Raise rxn volume. Or lower enzyme volume.","")</f>
        <v/>
      </c>
      <c r="F25" s="357" t="s">
        <v>288</v>
      </c>
      <c r="H25" t="s">
        <v>225</v>
      </c>
    </row>
    <row r="26" spans="1:47" ht="16.8" x14ac:dyDescent="0.75">
      <c r="A26" s="240"/>
      <c r="B26" s="1" t="s">
        <v>8</v>
      </c>
      <c r="C26" s="187">
        <f>C24*E26</f>
        <v>82.4</v>
      </c>
      <c r="D26" s="62">
        <f>D24*E26</f>
        <v>80</v>
      </c>
      <c r="E26" s="28">
        <f>E32-SUM(E27:E30)</f>
        <v>8</v>
      </c>
      <c r="F26" t="s">
        <v>10</v>
      </c>
      <c r="H26" s="18" t="s">
        <v>226</v>
      </c>
    </row>
    <row r="27" spans="1:47" x14ac:dyDescent="0.55000000000000004">
      <c r="A27" s="240"/>
      <c r="B27" s="1" t="s">
        <v>217</v>
      </c>
      <c r="C27" s="187">
        <f>C24*E27</f>
        <v>10.3</v>
      </c>
      <c r="D27" s="62">
        <f>D24*E27</f>
        <v>10</v>
      </c>
      <c r="E27" s="28">
        <f>E32/10</f>
        <v>1</v>
      </c>
      <c r="F27" t="s">
        <v>10</v>
      </c>
    </row>
    <row r="28" spans="1:47" x14ac:dyDescent="0.55000000000000004">
      <c r="A28" s="240"/>
      <c r="B28" s="248" t="s">
        <v>216</v>
      </c>
      <c r="C28" s="249">
        <f>C24*E28</f>
        <v>0</v>
      </c>
      <c r="D28" s="250">
        <f>D23*E28</f>
        <v>0</v>
      </c>
      <c r="E28" s="251">
        <f>IF(E22="yes",E32/10,0)</f>
        <v>0</v>
      </c>
      <c r="F28" s="247" t="s">
        <v>10</v>
      </c>
    </row>
    <row r="29" spans="1:47" ht="14.4" customHeight="1" x14ac:dyDescent="0.75">
      <c r="A29" s="240"/>
      <c r="B29" s="1" t="s">
        <v>213</v>
      </c>
      <c r="C29" s="187">
        <f>C24*E29</f>
        <v>5.15</v>
      </c>
      <c r="D29" s="62">
        <f>D24*E29</f>
        <v>5</v>
      </c>
      <c r="E29" s="3">
        <v>0.5</v>
      </c>
      <c r="F29" t="s">
        <v>10</v>
      </c>
      <c r="G29" s="542" t="str">
        <f>CONCATENATE("&lt; ",E32/10," µL total")</f>
        <v>&lt; 1 µL total</v>
      </c>
      <c r="H29" s="543"/>
    </row>
    <row r="30" spans="1:47" x14ac:dyDescent="0.55000000000000004">
      <c r="A30" s="240"/>
      <c r="B30" s="1" t="s">
        <v>328</v>
      </c>
      <c r="C30" s="187">
        <f>C24*E30</f>
        <v>5.15</v>
      </c>
      <c r="D30" s="62">
        <f>D24*E30</f>
        <v>5</v>
      </c>
      <c r="E30" s="29">
        <v>0.5</v>
      </c>
      <c r="F30" t="s">
        <v>10</v>
      </c>
      <c r="G30" s="540" t="s">
        <v>218</v>
      </c>
      <c r="H30" s="541"/>
    </row>
    <row r="31" spans="1:47" x14ac:dyDescent="0.55000000000000004">
      <c r="A31" s="240"/>
      <c r="B31" s="1"/>
      <c r="C31" s="7"/>
      <c r="D31" s="32"/>
      <c r="E31" s="6"/>
    </row>
    <row r="32" spans="1:47" x14ac:dyDescent="0.55000000000000004">
      <c r="A32" s="240"/>
      <c r="B32" s="52" t="s">
        <v>4</v>
      </c>
      <c r="C32" s="53">
        <f>SUM(C26:C30)</f>
        <v>103.00000000000001</v>
      </c>
      <c r="D32" s="54">
        <f>SUM(D26:D30)</f>
        <v>100</v>
      </c>
      <c r="E32" s="199">
        <v>10</v>
      </c>
      <c r="F32" s="56" t="s">
        <v>10</v>
      </c>
    </row>
    <row r="33" spans="1:6" x14ac:dyDescent="0.55000000000000004">
      <c r="A33" s="240"/>
      <c r="B33" s="68" t="s">
        <v>106</v>
      </c>
      <c r="C33" s="53">
        <f>SUM(C26:C29)</f>
        <v>97.850000000000009</v>
      </c>
      <c r="D33" s="54">
        <f>SUM(D26:D29)</f>
        <v>95</v>
      </c>
      <c r="E33" s="57">
        <f>SUM(E26:E29)</f>
        <v>9.5</v>
      </c>
      <c r="F33" s="56" t="s">
        <v>10</v>
      </c>
    </row>
    <row r="34" spans="1:6" x14ac:dyDescent="0.55000000000000004">
      <c r="A34" s="240"/>
      <c r="B34" s="68" t="s">
        <v>107</v>
      </c>
      <c r="C34" s="53">
        <f>SUM(C26:C28,C30)</f>
        <v>97.850000000000009</v>
      </c>
      <c r="D34" s="54">
        <f>SUM(D26:D28,D30)</f>
        <v>95</v>
      </c>
      <c r="E34" s="57">
        <f>SUM(E26:E28,E30)</f>
        <v>9.5</v>
      </c>
      <c r="F34" s="56" t="s">
        <v>10</v>
      </c>
    </row>
    <row r="35" spans="1:6" x14ac:dyDescent="0.55000000000000004">
      <c r="A35" s="240"/>
      <c r="B35" s="81" t="s">
        <v>108</v>
      </c>
      <c r="C35" s="53">
        <f>SUM(C26:C28)</f>
        <v>92.7</v>
      </c>
      <c r="D35" s="54">
        <f>SUM(D26:D28)</f>
        <v>90</v>
      </c>
      <c r="E35" s="57">
        <f>SUM(E26:E28)</f>
        <v>9</v>
      </c>
      <c r="F35" s="56" t="s">
        <v>10</v>
      </c>
    </row>
    <row r="38" spans="1:6" x14ac:dyDescent="0.55000000000000004">
      <c r="A38" s="162"/>
    </row>
    <row r="41" spans="1:6" x14ac:dyDescent="0.55000000000000004">
      <c r="C41" s="161" t="s">
        <v>179</v>
      </c>
      <c r="D41" s="286"/>
      <c r="E41" s="286"/>
    </row>
    <row r="42" spans="1:6" x14ac:dyDescent="0.55000000000000004">
      <c r="C42" s="161" t="s">
        <v>255</v>
      </c>
      <c r="D42" s="286"/>
      <c r="E42" s="286"/>
    </row>
    <row r="43" spans="1:6" x14ac:dyDescent="0.55000000000000004">
      <c r="C43" s="297" t="s">
        <v>254</v>
      </c>
      <c r="D43" s="286"/>
      <c r="E43" s="286"/>
    </row>
  </sheetData>
  <mergeCells count="16">
    <mergeCell ref="AG1:AM1"/>
    <mergeCell ref="AO1:AU1"/>
    <mergeCell ref="Q1:W1"/>
    <mergeCell ref="Y1:AE1"/>
    <mergeCell ref="AM9:AM11"/>
    <mergeCell ref="AU9:AU11"/>
    <mergeCell ref="G22:H22"/>
    <mergeCell ref="G29:H29"/>
    <mergeCell ref="G30:H30"/>
    <mergeCell ref="A1:G1"/>
    <mergeCell ref="G9:G11"/>
    <mergeCell ref="O9:O11"/>
    <mergeCell ref="W9:W11"/>
    <mergeCell ref="AE9:AE11"/>
    <mergeCell ref="I1:O1"/>
    <mergeCell ref="A21:G21"/>
  </mergeCells>
  <conditionalFormatting sqref="B8:F8">
    <cfRule type="expression" dxfId="7" priority="10">
      <formula>$E$2="yes"</formula>
    </cfRule>
  </conditionalFormatting>
  <conditionalFormatting sqref="J8:N8">
    <cfRule type="expression" dxfId="6" priority="9">
      <formula>$M$2="yes"</formula>
    </cfRule>
  </conditionalFormatting>
  <conditionalFormatting sqref="R8:V8">
    <cfRule type="expression" dxfId="5" priority="8">
      <formula>$U$2="yes"</formula>
    </cfRule>
  </conditionalFormatting>
  <conditionalFormatting sqref="Z8:AD8">
    <cfRule type="expression" dxfId="4" priority="7">
      <formula>$AC$2="yes"</formula>
    </cfRule>
  </conditionalFormatting>
  <conditionalFormatting sqref="B28:F28">
    <cfRule type="expression" dxfId="3" priority="5">
      <formula>$E$22="yes"</formula>
    </cfRule>
  </conditionalFormatting>
  <conditionalFormatting sqref="AH8:AL8">
    <cfRule type="expression" dxfId="2" priority="2">
      <formula>$E$2="yes"</formula>
    </cfRule>
  </conditionalFormatting>
  <conditionalFormatting sqref="AP8:AT8">
    <cfRule type="expression" dxfId="1" priority="1">
      <formula>$E$2="yes"</formula>
    </cfRule>
  </conditionalFormatting>
  <pageMargins left="0.7" right="0.7" top="0.75" bottom="0.75" header="0.3" footer="0.3"/>
  <pageSetup orientation="portrait" r:id="rId1"/>
  <ignoredErrors>
    <ignoredError sqref="E5 AC5 U5 M5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66"/>
  <sheetViews>
    <sheetView workbookViewId="0">
      <selection activeCell="B2" sqref="B2"/>
    </sheetView>
  </sheetViews>
  <sheetFormatPr defaultRowHeight="14.4" x14ac:dyDescent="0.55000000000000004"/>
  <cols>
    <col min="1" max="1" width="16.5234375" customWidth="1"/>
    <col min="2" max="4" width="9.7890625" customWidth="1"/>
    <col min="5" max="5" width="4.3125" customWidth="1"/>
    <col min="6" max="6" width="10.41796875" customWidth="1"/>
    <col min="8" max="8" width="11.89453125" customWidth="1"/>
    <col min="9" max="11" width="9.7890625" customWidth="1"/>
    <col min="12" max="12" width="8.89453125" customWidth="1"/>
    <col min="13" max="13" width="5.7890625" customWidth="1"/>
    <col min="15" max="15" width="8.20703125" customWidth="1"/>
  </cols>
  <sheetData>
    <row r="1" spans="1:13" s="15" customFormat="1" ht="21.6" customHeight="1" x14ac:dyDescent="0.55000000000000004">
      <c r="A1" s="549" t="s">
        <v>316</v>
      </c>
      <c r="B1" s="549"/>
      <c r="C1" s="549"/>
      <c r="D1" s="549"/>
      <c r="E1" s="549"/>
      <c r="H1" s="551" t="s">
        <v>317</v>
      </c>
      <c r="I1" s="551"/>
      <c r="J1" s="551"/>
      <c r="K1" s="551"/>
      <c r="L1" s="551"/>
    </row>
    <row r="2" spans="1:13" x14ac:dyDescent="0.55000000000000004">
      <c r="A2" s="279" t="s">
        <v>2</v>
      </c>
      <c r="B2" s="281">
        <v>0</v>
      </c>
      <c r="C2" s="345" t="s">
        <v>237</v>
      </c>
      <c r="D2" s="282">
        <v>5</v>
      </c>
      <c r="E2" s="283" t="s">
        <v>15</v>
      </c>
      <c r="F2" s="33" t="s">
        <v>241</v>
      </c>
      <c r="H2" s="279" t="s">
        <v>2</v>
      </c>
      <c r="I2" s="281">
        <v>0</v>
      </c>
      <c r="J2" s="345" t="s">
        <v>237</v>
      </c>
      <c r="K2" s="282">
        <v>5</v>
      </c>
      <c r="L2" s="283" t="s">
        <v>15</v>
      </c>
      <c r="M2" s="33" t="s">
        <v>241</v>
      </c>
    </row>
    <row r="3" spans="1:13" ht="14.7" thickBot="1" x14ac:dyDescent="0.6">
      <c r="A3" s="280"/>
      <c r="B3" s="280"/>
      <c r="C3" s="346" t="s">
        <v>239</v>
      </c>
      <c r="D3" s="284">
        <v>50</v>
      </c>
      <c r="E3" s="285" t="s">
        <v>10</v>
      </c>
      <c r="H3" s="280"/>
      <c r="I3" s="280"/>
      <c r="J3" s="346" t="s">
        <v>239</v>
      </c>
      <c r="K3" s="284">
        <v>50</v>
      </c>
      <c r="L3" s="285" t="s">
        <v>10</v>
      </c>
    </row>
    <row r="4" spans="1:13" x14ac:dyDescent="0.55000000000000004">
      <c r="A4" s="65" t="s">
        <v>3</v>
      </c>
      <c r="B4" s="267">
        <v>0</v>
      </c>
      <c r="C4" s="268">
        <v>0</v>
      </c>
      <c r="D4" s="269"/>
      <c r="E4" s="64"/>
      <c r="H4" s="65" t="s">
        <v>3</v>
      </c>
      <c r="I4" s="267">
        <v>0</v>
      </c>
      <c r="J4" s="268">
        <v>0</v>
      </c>
      <c r="K4" s="269"/>
      <c r="L4" s="64"/>
    </row>
    <row r="5" spans="1:13" ht="14.7" thickBot="1" x14ac:dyDescent="0.6">
      <c r="A5" s="270" t="s">
        <v>2</v>
      </c>
      <c r="B5" s="271">
        <f>B2*(1+B4)</f>
        <v>0</v>
      </c>
      <c r="C5" s="272">
        <f>B2*(1+C4)</f>
        <v>0</v>
      </c>
      <c r="D5" s="273" t="s">
        <v>7</v>
      </c>
      <c r="E5" s="274"/>
      <c r="H5" s="270" t="s">
        <v>2</v>
      </c>
      <c r="I5" s="271">
        <f>I2*(1+I4)</f>
        <v>0</v>
      </c>
      <c r="J5" s="272">
        <f>I2*(1+J4)</f>
        <v>0</v>
      </c>
      <c r="K5" s="273" t="s">
        <v>7</v>
      </c>
      <c r="L5" s="274"/>
    </row>
    <row r="6" spans="1:13" ht="14.7" thickTop="1" x14ac:dyDescent="0.55000000000000004">
      <c r="A6" s="65"/>
      <c r="B6" s="64"/>
      <c r="C6" s="66"/>
      <c r="D6" s="67"/>
      <c r="E6" s="64"/>
      <c r="H6" s="65"/>
      <c r="I6" s="64"/>
      <c r="J6" s="66"/>
      <c r="K6" s="67"/>
      <c r="L6" s="64"/>
    </row>
    <row r="7" spans="1:13" x14ac:dyDescent="0.55000000000000004">
      <c r="A7" s="65" t="s">
        <v>238</v>
      </c>
      <c r="B7" s="347">
        <f>B2*(1+B4)*D7</f>
        <v>0</v>
      </c>
      <c r="C7" s="226">
        <f>B2*(1+C4)*D7</f>
        <v>0</v>
      </c>
      <c r="D7" s="275">
        <v>40</v>
      </c>
      <c r="E7" s="64" t="s">
        <v>10</v>
      </c>
      <c r="F7" s="33" t="s">
        <v>240</v>
      </c>
      <c r="H7" s="65" t="s">
        <v>238</v>
      </c>
      <c r="I7" s="347">
        <f>I2*(1+I4)*K7</f>
        <v>0</v>
      </c>
      <c r="J7" s="226">
        <f>I2*(1+J4)*K7</f>
        <v>0</v>
      </c>
      <c r="K7" s="275">
        <v>40</v>
      </c>
      <c r="L7" s="64" t="s">
        <v>10</v>
      </c>
      <c r="M7" s="33" t="s">
        <v>240</v>
      </c>
    </row>
    <row r="8" spans="1:13" x14ac:dyDescent="0.55000000000000004">
      <c r="A8" s="276"/>
      <c r="B8" s="348" t="str">
        <f>CONCATENATE("=",B7/D3, " tubes")</f>
        <v>=0 tubes</v>
      </c>
      <c r="C8" s="234" t="str">
        <f>CONCATENATE(,C7/D3, " tubes")</f>
        <v>0 tubes</v>
      </c>
      <c r="F8" s="33"/>
      <c r="H8" s="276"/>
      <c r="I8" s="348" t="str">
        <f>CONCATENATE("=",I7/K3, " tubes")</f>
        <v>=0 tubes</v>
      </c>
      <c r="J8" s="234" t="str">
        <f>CONCATENATE(,J7/K3, " tubes")</f>
        <v>0 tubes</v>
      </c>
      <c r="M8" s="33"/>
    </row>
    <row r="9" spans="1:13" x14ac:dyDescent="0.55000000000000004">
      <c r="A9" s="65" t="s">
        <v>236</v>
      </c>
      <c r="B9" s="173">
        <f>B2*(1+B4)*D9</f>
        <v>0</v>
      </c>
      <c r="C9" s="226">
        <f>B2*(1+C4)*D9</f>
        <v>0</v>
      </c>
      <c r="D9" s="277">
        <f>IF(D2&gt;0,D7/(D2-1),0)</f>
        <v>10</v>
      </c>
      <c r="E9" s="64" t="s">
        <v>10</v>
      </c>
      <c r="H9" s="65" t="s">
        <v>236</v>
      </c>
      <c r="I9" s="173">
        <f>I2*(1+I4)*K9</f>
        <v>0</v>
      </c>
      <c r="J9" s="226">
        <f>I2*(1+J4)*K9</f>
        <v>0</v>
      </c>
      <c r="K9" s="277">
        <f>IF(K2&gt;0,K7/(K2-1),0)</f>
        <v>10</v>
      </c>
      <c r="L9" s="64" t="s">
        <v>10</v>
      </c>
    </row>
    <row r="10" spans="1:13" x14ac:dyDescent="0.55000000000000004">
      <c r="A10" s="64"/>
      <c r="B10" s="219"/>
      <c r="C10" s="226"/>
      <c r="D10" s="219"/>
      <c r="E10" s="64"/>
      <c r="H10" s="64"/>
      <c r="I10" s="219"/>
      <c r="J10" s="226"/>
      <c r="K10" s="219"/>
      <c r="L10" s="64"/>
    </row>
    <row r="11" spans="1:13" x14ac:dyDescent="0.55000000000000004">
      <c r="A11" s="65" t="s">
        <v>4</v>
      </c>
      <c r="B11" s="173">
        <f>SUM(B7,B9)</f>
        <v>0</v>
      </c>
      <c r="C11" s="227">
        <f>SUM(C7,C9)</f>
        <v>0</v>
      </c>
      <c r="D11" s="278">
        <f>SUM(D7,D9)</f>
        <v>50</v>
      </c>
      <c r="E11" s="64" t="s">
        <v>10</v>
      </c>
      <c r="H11" s="65" t="s">
        <v>4</v>
      </c>
      <c r="I11" s="173">
        <f>SUM(I7,I9)</f>
        <v>0</v>
      </c>
      <c r="J11" s="227">
        <f>SUM(J7,J9)</f>
        <v>0</v>
      </c>
      <c r="K11" s="278">
        <f>SUM(K7,K9)</f>
        <v>50</v>
      </c>
      <c r="L11" s="64" t="s">
        <v>10</v>
      </c>
    </row>
    <row r="15" spans="1:13" ht="18.3" x14ac:dyDescent="0.55000000000000004">
      <c r="A15" s="550" t="s">
        <v>101</v>
      </c>
      <c r="B15" s="550"/>
      <c r="C15" s="550"/>
      <c r="D15" s="550"/>
      <c r="E15" s="550"/>
      <c r="F15" s="550"/>
      <c r="H15" s="550" t="s">
        <v>62</v>
      </c>
      <c r="I15" s="550"/>
      <c r="J15" s="550"/>
      <c r="K15" s="550"/>
      <c r="L15" s="550"/>
    </row>
    <row r="16" spans="1:13" ht="14.7" thickBot="1" x14ac:dyDescent="0.6">
      <c r="A16" s="195" t="s">
        <v>2</v>
      </c>
      <c r="B16" s="335"/>
      <c r="C16" s="333">
        <f>B16</f>
        <v>0</v>
      </c>
      <c r="D16" s="336" t="s">
        <v>7</v>
      </c>
      <c r="H16" s="195" t="s">
        <v>2</v>
      </c>
      <c r="I16" s="196">
        <v>8</v>
      </c>
      <c r="J16" s="337"/>
      <c r="K16" s="338"/>
    </row>
    <row r="17" spans="1:15" x14ac:dyDescent="0.55000000000000004">
      <c r="A17" s="1" t="s">
        <v>3</v>
      </c>
      <c r="B17" s="79">
        <v>0.05</v>
      </c>
      <c r="C17" s="228">
        <v>0</v>
      </c>
      <c r="D17" s="229"/>
      <c r="H17" s="342" t="s">
        <v>3</v>
      </c>
      <c r="I17" s="20">
        <v>0.05</v>
      </c>
      <c r="J17" s="343">
        <v>0</v>
      </c>
      <c r="K17" s="344"/>
    </row>
    <row r="18" spans="1:15" ht="14.7" thickBot="1" x14ac:dyDescent="0.6">
      <c r="A18" s="331" t="s">
        <v>2</v>
      </c>
      <c r="B18" s="332">
        <f>B16*(1+B17)</f>
        <v>0</v>
      </c>
      <c r="C18" s="333">
        <f>C16*(1+C17)</f>
        <v>0</v>
      </c>
      <c r="D18" s="334" t="s">
        <v>7</v>
      </c>
      <c r="H18" s="195" t="s">
        <v>2</v>
      </c>
      <c r="I18" s="339">
        <f>I16*(1+I17)</f>
        <v>8.4</v>
      </c>
      <c r="J18" s="340">
        <f>I16*(1+J17)</f>
        <v>8</v>
      </c>
      <c r="K18" s="341" t="s">
        <v>7</v>
      </c>
    </row>
    <row r="19" spans="1:15" x14ac:dyDescent="0.55000000000000004">
      <c r="A19" s="1" t="s">
        <v>51</v>
      </c>
      <c r="B19" s="223">
        <f>B18*D19</f>
        <v>0</v>
      </c>
      <c r="C19" s="226">
        <f>C18*D19</f>
        <v>0</v>
      </c>
      <c r="D19" s="230">
        <v>1.667</v>
      </c>
      <c r="E19" s="7" t="s">
        <v>52</v>
      </c>
      <c r="F19" s="21" t="s">
        <v>53</v>
      </c>
      <c r="H19" s="1" t="s">
        <v>51</v>
      </c>
      <c r="I19" s="222">
        <f>I18*K19</f>
        <v>42</v>
      </c>
      <c r="J19" s="226">
        <f>J18*K19</f>
        <v>40</v>
      </c>
      <c r="K19">
        <v>5</v>
      </c>
      <c r="L19" s="7" t="s">
        <v>52</v>
      </c>
      <c r="O19" s="21"/>
    </row>
    <row r="20" spans="1:15" ht="12.6" customHeight="1" x14ac:dyDescent="0.55000000000000004">
      <c r="B20" s="178"/>
      <c r="C20" s="178"/>
      <c r="D20" s="231"/>
      <c r="F20" s="21"/>
      <c r="I20" s="178"/>
      <c r="J20" s="227"/>
      <c r="K20" s="31"/>
      <c r="O20" s="21"/>
    </row>
    <row r="21" spans="1:15" ht="16.8" x14ac:dyDescent="0.75">
      <c r="A21" s="1" t="s">
        <v>8</v>
      </c>
      <c r="B21" s="223">
        <f>B18*D21</f>
        <v>0</v>
      </c>
      <c r="C21" s="226">
        <f>C18*D21</f>
        <v>0</v>
      </c>
      <c r="D21" s="232">
        <v>16.667000000000002</v>
      </c>
      <c r="E21" s="7" t="s">
        <v>10</v>
      </c>
      <c r="H21" s="1" t="s">
        <v>63</v>
      </c>
      <c r="I21" s="186">
        <f>I18*K21</f>
        <v>0</v>
      </c>
      <c r="J21" s="226">
        <f>J18*K21</f>
        <v>0</v>
      </c>
      <c r="K21" s="26">
        <v>0</v>
      </c>
      <c r="L21" s="7" t="s">
        <v>10</v>
      </c>
      <c r="O21" s="21"/>
    </row>
    <row r="22" spans="1:15" ht="16.8" x14ac:dyDescent="0.75">
      <c r="A22" s="1" t="s">
        <v>6</v>
      </c>
      <c r="B22" s="223">
        <f>B18*D22</f>
        <v>0</v>
      </c>
      <c r="C22" s="226">
        <f>C18*D22</f>
        <v>0</v>
      </c>
      <c r="D22" s="232">
        <v>80</v>
      </c>
      <c r="E22" s="7" t="s">
        <v>10</v>
      </c>
      <c r="H22" s="1" t="s">
        <v>8</v>
      </c>
      <c r="I22" s="223">
        <f>I18*K22</f>
        <v>420</v>
      </c>
      <c r="J22" s="226">
        <f>J18*K22</f>
        <v>400</v>
      </c>
      <c r="K22" s="77">
        <f>50-K21</f>
        <v>50</v>
      </c>
      <c r="L22" s="7" t="s">
        <v>10</v>
      </c>
    </row>
    <row r="23" spans="1:15" x14ac:dyDescent="0.55000000000000004">
      <c r="A23" s="1" t="s">
        <v>68</v>
      </c>
      <c r="B23" s="223">
        <f>B18*D23</f>
        <v>0</v>
      </c>
      <c r="C23" s="226">
        <f>C18*D23</f>
        <v>0</v>
      </c>
      <c r="D23" s="232">
        <v>24</v>
      </c>
      <c r="E23" s="7" t="s">
        <v>10</v>
      </c>
      <c r="H23" s="1" t="s">
        <v>211</v>
      </c>
      <c r="I23" s="223">
        <f>I18*K23</f>
        <v>420</v>
      </c>
      <c r="J23" s="226">
        <f>J18*K23</f>
        <v>400</v>
      </c>
      <c r="K23">
        <v>50</v>
      </c>
      <c r="L23" s="7" t="s">
        <v>10</v>
      </c>
    </row>
    <row r="24" spans="1:15" x14ac:dyDescent="0.55000000000000004">
      <c r="A24" s="1" t="s">
        <v>67</v>
      </c>
      <c r="B24" s="223">
        <f>B18*D24</f>
        <v>0</v>
      </c>
      <c r="C24" s="226">
        <f>C18*D24</f>
        <v>0</v>
      </c>
      <c r="D24" s="232">
        <v>8.3330000000000002</v>
      </c>
      <c r="E24" s="7" t="s">
        <v>10</v>
      </c>
      <c r="H24" s="1" t="s">
        <v>64</v>
      </c>
      <c r="I24" s="223">
        <f>I18*K24</f>
        <v>2016</v>
      </c>
      <c r="J24" s="226">
        <f>J18*K24</f>
        <v>1920</v>
      </c>
      <c r="K24">
        <v>240</v>
      </c>
      <c r="L24" s="7" t="s">
        <v>10</v>
      </c>
    </row>
    <row r="25" spans="1:15" x14ac:dyDescent="0.55000000000000004">
      <c r="A25" s="1"/>
      <c r="B25" s="224"/>
      <c r="C25" s="226"/>
      <c r="D25" s="229"/>
      <c r="E25" s="7"/>
      <c r="H25" s="1" t="s">
        <v>68</v>
      </c>
      <c r="I25" s="223">
        <f>I18*K25</f>
        <v>302.40000000000003</v>
      </c>
      <c r="J25" s="226">
        <f>J18*K25</f>
        <v>288</v>
      </c>
      <c r="K25">
        <v>36</v>
      </c>
      <c r="L25" s="7" t="s">
        <v>10</v>
      </c>
    </row>
    <row r="26" spans="1:15" x14ac:dyDescent="0.55000000000000004">
      <c r="A26" s="1" t="s">
        <v>4</v>
      </c>
      <c r="B26" s="186">
        <f>SUM(B21:B24)</f>
        <v>0</v>
      </c>
      <c r="C26" s="226">
        <f>SUM(C21:C24)</f>
        <v>0</v>
      </c>
      <c r="D26" s="186">
        <f>SUM(D21:D24)</f>
        <v>129</v>
      </c>
      <c r="E26" s="7" t="s">
        <v>10</v>
      </c>
      <c r="H26" s="1" t="s">
        <v>67</v>
      </c>
      <c r="I26" s="223">
        <f>I18*K26</f>
        <v>210</v>
      </c>
      <c r="J26" s="226">
        <f>J18*K26</f>
        <v>200</v>
      </c>
      <c r="K26">
        <v>25</v>
      </c>
      <c r="L26" s="7" t="s">
        <v>10</v>
      </c>
    </row>
    <row r="27" spans="1:15" x14ac:dyDescent="0.55000000000000004">
      <c r="A27" s="1" t="s">
        <v>9</v>
      </c>
      <c r="B27" s="225">
        <f>SUM(B22:B24)</f>
        <v>0</v>
      </c>
      <c r="C27" s="226">
        <f>SUM(C22:C24)</f>
        <v>0</v>
      </c>
      <c r="D27" s="233">
        <f>SUM(D22:D24)</f>
        <v>112.333</v>
      </c>
      <c r="E27" s="7" t="s">
        <v>10</v>
      </c>
      <c r="H27" s="1"/>
      <c r="I27" s="224"/>
      <c r="J27" s="226"/>
      <c r="K27" s="19"/>
      <c r="L27" s="7"/>
    </row>
    <row r="28" spans="1:15" x14ac:dyDescent="0.55000000000000004">
      <c r="A28" s="1"/>
      <c r="H28" s="1" t="s">
        <v>4</v>
      </c>
      <c r="I28" s="186">
        <f>SUM(I22:I26)</f>
        <v>3368.4</v>
      </c>
      <c r="J28" s="226">
        <f>SUM(J22:J26)</f>
        <v>3208</v>
      </c>
      <c r="K28" s="22">
        <f>SUM(K21:K26)</f>
        <v>401</v>
      </c>
      <c r="L28" s="7" t="s">
        <v>10</v>
      </c>
    </row>
    <row r="29" spans="1:15" x14ac:dyDescent="0.55000000000000004">
      <c r="A29" t="str">
        <f>CONCATENATE("1) Grow ", B19, " ", E19, " log phase yeast culture.")</f>
        <v>1) Grow 0 mL log phase yeast culture.</v>
      </c>
      <c r="H29" s="1" t="s">
        <v>102</v>
      </c>
      <c r="I29" s="225">
        <f>SUM(I23:I26)</f>
        <v>2948.4</v>
      </c>
      <c r="J29" s="226">
        <f>SUM(J23:J26)</f>
        <v>2808</v>
      </c>
      <c r="K29" s="22">
        <f>SUM(K24:K26)</f>
        <v>301</v>
      </c>
      <c r="L29" s="7" t="s">
        <v>10</v>
      </c>
    </row>
    <row r="30" spans="1:15" x14ac:dyDescent="0.55000000000000004">
      <c r="A30" s="18" t="str">
        <f>CONCATENATE("2) Make ", B27, " ", E27, " PEG/LiOAc/ssDNA soln.")</f>
        <v>2) Make 0 µL PEG/LiOAc/ssDNA soln.</v>
      </c>
      <c r="C30" s="18"/>
      <c r="D30" s="18"/>
      <c r="J30" s="1"/>
    </row>
    <row r="31" spans="1:15" x14ac:dyDescent="0.55000000000000004">
      <c r="A31" t="s">
        <v>242</v>
      </c>
      <c r="C31" s="18"/>
      <c r="D31" s="18"/>
      <c r="I31" t="str">
        <f>CONCATENATE("1) Grow ", I19, " ", L19, " log phase yeast culture.")</f>
        <v>1) Grow 42 mL log phase yeast culture.</v>
      </c>
      <c r="J31" s="9"/>
    </row>
    <row r="32" spans="1:15" x14ac:dyDescent="0.55000000000000004">
      <c r="A32" s="18" t="str">
        <f>CONCATENATE("4) Resuspend cell pellet(s) in ", B21, " ", E21, " sterile water.")</f>
        <v>4) Resuspend cell pellet(s) in 0 µL sterile water.</v>
      </c>
      <c r="C32" s="18"/>
      <c r="D32" s="18"/>
      <c r="I32" s="18" t="str">
        <f>CONCATENATE("2) Make ", I29, " ", L29, " PEG/LiOAc/ssDNA soln.")</f>
        <v>2) Make 2948.4 µL PEG/LiOAc/ssDNA soln.</v>
      </c>
      <c r="J32" s="9"/>
      <c r="L32" s="18"/>
      <c r="M32" s="18"/>
    </row>
    <row r="33" spans="1:13" x14ac:dyDescent="0.55000000000000004">
      <c r="A33" s="18" t="s">
        <v>243</v>
      </c>
      <c r="C33" s="18"/>
      <c r="D33" s="18"/>
      <c r="I33" t="s">
        <v>242</v>
      </c>
      <c r="J33" s="9"/>
      <c r="L33" s="18"/>
      <c r="M33" s="18"/>
    </row>
    <row r="34" spans="1:13" x14ac:dyDescent="0.55000000000000004">
      <c r="A34" s="18" t="str">
        <f>CONCATENATE("6) Add ", D27, " ", E27, " cell/PEG/LiOAc/ssDNA soln to DNA tubes.")</f>
        <v>6) Add 112.333 µL cell/PEG/LiOAc/ssDNA soln to DNA tubes.</v>
      </c>
      <c r="I34" s="18" t="str">
        <f>CONCATENATE("4) Resuspend cell pellet(s) in ", I22, " ", L22, " 100 mM LioOAC.")</f>
        <v>4) Resuspend cell pellet(s) in 420 µL 100 mM LioOAC.</v>
      </c>
      <c r="J34" s="9"/>
      <c r="L34" s="18"/>
      <c r="M34" s="18"/>
    </row>
    <row r="35" spans="1:13" x14ac:dyDescent="0.55000000000000004">
      <c r="A35" t="s">
        <v>54</v>
      </c>
      <c r="I35" s="18" t="s">
        <v>243</v>
      </c>
      <c r="J35" s="9"/>
      <c r="L35" s="18"/>
      <c r="M35" s="18"/>
    </row>
    <row r="36" spans="1:13" x14ac:dyDescent="0.55000000000000004">
      <c r="A36" t="s">
        <v>55</v>
      </c>
      <c r="I36" s="18" t="str">
        <f>CONCATENATE("6) Add ", K29, " ", L29, " cell/PEG/LiOAc/ssDNA soln to DNA tubes.")</f>
        <v>6) Add 301 µL cell/PEG/LiOAc/ssDNA soln to DNA tubes.</v>
      </c>
      <c r="J36" s="9"/>
    </row>
    <row r="37" spans="1:13" x14ac:dyDescent="0.55000000000000004">
      <c r="I37" t="s">
        <v>66</v>
      </c>
    </row>
    <row r="38" spans="1:13" x14ac:dyDescent="0.55000000000000004">
      <c r="I38" t="s">
        <v>65</v>
      </c>
    </row>
    <row r="43" spans="1:13" x14ac:dyDescent="0.55000000000000004">
      <c r="B43" s="161" t="s">
        <v>179</v>
      </c>
      <c r="C43" s="286"/>
      <c r="D43" s="286"/>
    </row>
    <row r="44" spans="1:13" ht="13.8" customHeight="1" x14ac:dyDescent="0.55000000000000004">
      <c r="B44" s="161" t="s">
        <v>255</v>
      </c>
      <c r="C44" s="286"/>
      <c r="D44" s="286"/>
    </row>
    <row r="45" spans="1:13" x14ac:dyDescent="0.55000000000000004">
      <c r="B45" s="297" t="s">
        <v>254</v>
      </c>
      <c r="C45" s="286"/>
      <c r="D45" s="286"/>
    </row>
    <row r="66" spans="1:1" x14ac:dyDescent="0.55000000000000004">
      <c r="A66" s="162" t="s">
        <v>179</v>
      </c>
    </row>
  </sheetData>
  <mergeCells count="4">
    <mergeCell ref="A1:E1"/>
    <mergeCell ref="A15:F15"/>
    <mergeCell ref="H1:L1"/>
    <mergeCell ref="H15:L1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T37"/>
  <sheetViews>
    <sheetView zoomScaleNormal="100" workbookViewId="0">
      <selection activeCell="I2" sqref="I2"/>
    </sheetView>
  </sheetViews>
  <sheetFormatPr defaultRowHeight="14.4" x14ac:dyDescent="0.55000000000000004"/>
  <cols>
    <col min="1" max="1" width="15.1015625" customWidth="1"/>
    <col min="5" max="5" width="3.3125" customWidth="1"/>
    <col min="6" max="6" width="11.3125" customWidth="1"/>
    <col min="7" max="7" width="13.68359375" customWidth="1"/>
    <col min="8" max="8" width="14" customWidth="1"/>
    <col min="12" max="12" width="3.89453125" customWidth="1"/>
    <col min="13" max="13" width="13.41796875" customWidth="1"/>
    <col min="15" max="15" width="14.1015625" customWidth="1"/>
    <col min="19" max="19" width="5.1015625" customWidth="1"/>
    <col min="21" max="21" width="13.68359375" customWidth="1"/>
  </cols>
  <sheetData>
    <row r="1" spans="1:20" ht="21" customHeight="1" x14ac:dyDescent="0.55000000000000004">
      <c r="A1" s="538" t="s">
        <v>248</v>
      </c>
      <c r="B1" s="538"/>
      <c r="C1" s="538"/>
      <c r="D1" s="538"/>
      <c r="E1" s="538"/>
      <c r="F1" s="538"/>
      <c r="H1" s="554" t="s">
        <v>244</v>
      </c>
      <c r="I1" s="554"/>
      <c r="J1" s="554"/>
      <c r="K1" s="554"/>
      <c r="L1" s="554"/>
      <c r="M1" s="554"/>
      <c r="O1" s="544" t="s">
        <v>182</v>
      </c>
      <c r="P1" s="544"/>
      <c r="Q1" s="544"/>
      <c r="R1" s="544"/>
      <c r="S1" s="544"/>
      <c r="T1" s="544"/>
    </row>
    <row r="2" spans="1:20" ht="15" customHeight="1" x14ac:dyDescent="0.55000000000000004">
      <c r="A2" s="59" t="s">
        <v>268</v>
      </c>
      <c r="B2" s="169"/>
      <c r="C2" s="164" t="s">
        <v>246</v>
      </c>
      <c r="D2" s="48"/>
      <c r="E2" s="286" t="s">
        <v>247</v>
      </c>
      <c r="F2" s="286"/>
      <c r="H2" s="59" t="s">
        <v>268</v>
      </c>
      <c r="I2" s="169">
        <v>10</v>
      </c>
      <c r="J2" s="164" t="s">
        <v>246</v>
      </c>
      <c r="K2" s="328">
        <v>25</v>
      </c>
      <c r="L2" s="286" t="s">
        <v>247</v>
      </c>
      <c r="M2" s="286"/>
      <c r="O2" s="59" t="s">
        <v>268</v>
      </c>
      <c r="P2" s="169">
        <v>10</v>
      </c>
      <c r="Q2" s="164" t="s">
        <v>246</v>
      </c>
      <c r="R2" s="328">
        <v>3.2</v>
      </c>
      <c r="S2" s="286" t="s">
        <v>247</v>
      </c>
      <c r="T2" s="286"/>
    </row>
    <row r="3" spans="1:20" ht="14.7" thickBot="1" x14ac:dyDescent="0.6">
      <c r="A3" s="69" t="s">
        <v>229</v>
      </c>
      <c r="B3" s="170">
        <v>10</v>
      </c>
      <c r="C3" s="38" t="s">
        <v>14</v>
      </c>
      <c r="F3" s="286"/>
      <c r="H3" s="69" t="s">
        <v>229</v>
      </c>
      <c r="I3" s="170">
        <v>10</v>
      </c>
      <c r="J3" s="38" t="s">
        <v>14</v>
      </c>
      <c r="M3" s="286"/>
      <c r="O3" s="69" t="s">
        <v>229</v>
      </c>
      <c r="P3" s="170">
        <v>10</v>
      </c>
      <c r="Q3" s="38" t="s">
        <v>14</v>
      </c>
      <c r="R3" s="286"/>
      <c r="S3" s="286"/>
      <c r="T3" s="286"/>
    </row>
    <row r="4" spans="1:20" ht="15.6" customHeight="1" thickTop="1" x14ac:dyDescent="0.55000000000000004">
      <c r="A4" s="59" t="s">
        <v>3</v>
      </c>
      <c r="B4" s="172">
        <v>0</v>
      </c>
      <c r="C4" s="163">
        <v>0</v>
      </c>
      <c r="D4" s="73" t="s">
        <v>38</v>
      </c>
      <c r="E4" s="286"/>
      <c r="F4" s="286"/>
      <c r="H4" s="59" t="s">
        <v>3</v>
      </c>
      <c r="I4" s="172">
        <v>0</v>
      </c>
      <c r="J4" s="163">
        <v>0</v>
      </c>
      <c r="K4" s="73" t="s">
        <v>38</v>
      </c>
      <c r="L4" s="286"/>
      <c r="M4" s="286"/>
      <c r="O4" s="59" t="s">
        <v>3</v>
      </c>
      <c r="P4" s="172">
        <v>0</v>
      </c>
      <c r="Q4" s="163">
        <v>0</v>
      </c>
      <c r="R4" s="73" t="s">
        <v>38</v>
      </c>
      <c r="S4" s="286"/>
      <c r="T4" s="286"/>
    </row>
    <row r="5" spans="1:20" x14ac:dyDescent="0.55000000000000004">
      <c r="A5" s="1"/>
      <c r="B5" s="51"/>
      <c r="C5" s="27"/>
      <c r="D5" s="5"/>
      <c r="E5" s="286"/>
      <c r="F5" s="286"/>
      <c r="H5" s="1"/>
      <c r="I5" s="51"/>
      <c r="J5" s="27"/>
      <c r="K5" s="5"/>
      <c r="L5" s="286"/>
      <c r="M5" s="286"/>
      <c r="O5" s="1"/>
      <c r="P5" s="51"/>
      <c r="Q5" s="27"/>
      <c r="R5" s="5"/>
      <c r="S5" s="286"/>
      <c r="T5" s="286"/>
    </row>
    <row r="6" spans="1:20" x14ac:dyDescent="0.55000000000000004">
      <c r="A6" s="63" t="s">
        <v>269</v>
      </c>
      <c r="B6" s="173">
        <f>B2*(1+B4)</f>
        <v>0</v>
      </c>
      <c r="C6" s="174">
        <f>B2*(1+C4)</f>
        <v>0</v>
      </c>
      <c r="D6" s="78" t="s">
        <v>7</v>
      </c>
      <c r="E6" s="64"/>
      <c r="F6" s="286"/>
      <c r="H6" s="63" t="s">
        <v>269</v>
      </c>
      <c r="I6" s="173">
        <f>I2*(1+I4)</f>
        <v>10</v>
      </c>
      <c r="J6" s="174">
        <f>I2*(1+J4)</f>
        <v>10</v>
      </c>
      <c r="K6" s="78" t="s">
        <v>7</v>
      </c>
      <c r="L6" s="64"/>
      <c r="M6" s="286"/>
      <c r="O6" s="63" t="s">
        <v>269</v>
      </c>
      <c r="P6" s="173">
        <f>P2*(1+P4)</f>
        <v>10</v>
      </c>
      <c r="Q6" s="174">
        <f>P2*(1+Q4)</f>
        <v>10</v>
      </c>
      <c r="R6" s="78" t="s">
        <v>7</v>
      </c>
      <c r="S6" s="64"/>
      <c r="T6" s="286"/>
    </row>
    <row r="7" spans="1:20" x14ac:dyDescent="0.55000000000000004">
      <c r="A7" s="65"/>
      <c r="B7" s="64"/>
      <c r="C7" s="66"/>
      <c r="D7" s="67"/>
      <c r="E7" s="64"/>
      <c r="F7" s="286"/>
      <c r="H7" s="65"/>
      <c r="I7" s="64"/>
      <c r="J7" s="66"/>
      <c r="K7" s="67"/>
      <c r="L7" s="64"/>
      <c r="M7" s="286"/>
      <c r="O7" s="65"/>
      <c r="P7" s="64"/>
      <c r="Q7" s="66"/>
      <c r="R7" s="67"/>
      <c r="S7" s="64"/>
      <c r="T7" s="286"/>
    </row>
    <row r="8" spans="1:20" ht="16.8" x14ac:dyDescent="0.75">
      <c r="A8" s="65" t="s">
        <v>98</v>
      </c>
      <c r="B8" s="173">
        <f>B6*D8</f>
        <v>0</v>
      </c>
      <c r="C8" s="175">
        <f>C6*D8</f>
        <v>0</v>
      </c>
      <c r="D8" s="176">
        <f>D12-SUM(D9:D10)</f>
        <v>15</v>
      </c>
      <c r="E8" s="64" t="s">
        <v>10</v>
      </c>
      <c r="F8" s="286"/>
      <c r="H8" s="65" t="s">
        <v>98</v>
      </c>
      <c r="I8" s="173">
        <f>I6*K8</f>
        <v>100</v>
      </c>
      <c r="J8" s="175">
        <f>J6*K8</f>
        <v>100</v>
      </c>
      <c r="K8" s="176">
        <f>K12-SUM(K9:K10)</f>
        <v>10</v>
      </c>
      <c r="L8" s="64" t="s">
        <v>10</v>
      </c>
      <c r="M8" s="286"/>
      <c r="O8" s="65" t="s">
        <v>98</v>
      </c>
      <c r="P8" s="173">
        <f>P6*R8</f>
        <v>101.8</v>
      </c>
      <c r="Q8" s="175">
        <f>Q6*R8</f>
        <v>101.8</v>
      </c>
      <c r="R8" s="176">
        <f>R12-SUM(R9:R10)</f>
        <v>10.18</v>
      </c>
      <c r="S8" s="64" t="s">
        <v>10</v>
      </c>
      <c r="T8" s="286"/>
    </row>
    <row r="9" spans="1:20" x14ac:dyDescent="0.55000000000000004">
      <c r="A9" s="65" t="s">
        <v>190</v>
      </c>
      <c r="B9" s="173">
        <f>B6*D9</f>
        <v>0</v>
      </c>
      <c r="C9" s="175">
        <f>C6*D9</f>
        <v>0</v>
      </c>
      <c r="D9" s="173">
        <f>D2/B3</f>
        <v>0</v>
      </c>
      <c r="E9" s="64" t="s">
        <v>10</v>
      </c>
      <c r="F9" s="165"/>
      <c r="H9" s="65" t="s">
        <v>190</v>
      </c>
      <c r="I9" s="173">
        <f>I6*K9</f>
        <v>25</v>
      </c>
      <c r="J9" s="175">
        <f>J6*K9</f>
        <v>25</v>
      </c>
      <c r="K9" s="173">
        <f>K2/I3</f>
        <v>2.5</v>
      </c>
      <c r="L9" s="64" t="s">
        <v>10</v>
      </c>
      <c r="M9" s="165"/>
      <c r="O9" s="65" t="s">
        <v>190</v>
      </c>
      <c r="P9" s="173">
        <f>P6*R9</f>
        <v>3.2</v>
      </c>
      <c r="Q9" s="175">
        <f>Q6*R9</f>
        <v>3.2</v>
      </c>
      <c r="R9" s="173">
        <f>R2/P3</f>
        <v>0.32</v>
      </c>
      <c r="S9" s="64" t="s">
        <v>10</v>
      </c>
      <c r="T9" s="165" t="s">
        <v>189</v>
      </c>
    </row>
    <row r="10" spans="1:20" ht="27.6" customHeight="1" x14ac:dyDescent="0.55000000000000004">
      <c r="A10" s="65" t="s">
        <v>23</v>
      </c>
      <c r="B10" s="173">
        <f>B6*D10</f>
        <v>0</v>
      </c>
      <c r="C10" s="175">
        <f>C6*D10</f>
        <v>0</v>
      </c>
      <c r="D10" s="177"/>
      <c r="E10" s="64" t="s">
        <v>10</v>
      </c>
      <c r="F10" s="326"/>
      <c r="H10" s="65" t="s">
        <v>23</v>
      </c>
      <c r="I10" s="173">
        <f>I6*K10</f>
        <v>25</v>
      </c>
      <c r="J10" s="175">
        <f>J6*K10</f>
        <v>25</v>
      </c>
      <c r="K10" s="177">
        <v>2.5</v>
      </c>
      <c r="L10" s="64" t="s">
        <v>10</v>
      </c>
      <c r="M10" s="326" t="s">
        <v>267</v>
      </c>
      <c r="O10" s="65" t="s">
        <v>23</v>
      </c>
      <c r="P10" s="173">
        <f>P6*R10</f>
        <v>25</v>
      </c>
      <c r="Q10" s="175">
        <f>Q6*R10</f>
        <v>25</v>
      </c>
      <c r="R10" s="177">
        <v>2.5</v>
      </c>
      <c r="S10" s="64" t="s">
        <v>10</v>
      </c>
      <c r="T10" s="17" t="s">
        <v>195</v>
      </c>
    </row>
    <row r="11" spans="1:20" x14ac:dyDescent="0.55000000000000004">
      <c r="A11" s="286"/>
      <c r="B11" s="178"/>
      <c r="C11" s="179"/>
      <c r="D11" s="180"/>
      <c r="E11" s="286"/>
      <c r="F11" s="286"/>
      <c r="H11" s="286"/>
      <c r="I11" s="178"/>
      <c r="J11" s="179"/>
      <c r="K11" s="180"/>
      <c r="L11" s="286"/>
      <c r="M11" s="286"/>
      <c r="O11" s="286"/>
      <c r="P11" s="178"/>
      <c r="Q11" s="179"/>
      <c r="R11" s="180"/>
      <c r="S11" s="286"/>
      <c r="T11" s="286"/>
    </row>
    <row r="12" spans="1:20" x14ac:dyDescent="0.55000000000000004">
      <c r="A12" s="68" t="s">
        <v>4</v>
      </c>
      <c r="B12" s="181">
        <f>SUM(B8:B10)</f>
        <v>0</v>
      </c>
      <c r="C12" s="182">
        <f>SUM(C8:C10)</f>
        <v>0</v>
      </c>
      <c r="D12" s="169">
        <v>15</v>
      </c>
      <c r="E12" s="56" t="s">
        <v>10</v>
      </c>
      <c r="F12" s="56"/>
      <c r="H12" s="68" t="s">
        <v>4</v>
      </c>
      <c r="I12" s="181">
        <f>SUM(I8:I10)</f>
        <v>150</v>
      </c>
      <c r="J12" s="182">
        <f>SUM(J8:J10)</f>
        <v>150</v>
      </c>
      <c r="K12" s="327">
        <v>15</v>
      </c>
      <c r="L12" s="56" t="s">
        <v>10</v>
      </c>
      <c r="M12" s="56" t="s">
        <v>245</v>
      </c>
      <c r="O12" s="68" t="s">
        <v>4</v>
      </c>
      <c r="P12" s="181">
        <f>SUM(P8:P10)</f>
        <v>130</v>
      </c>
      <c r="Q12" s="182">
        <f>SUM(Q8:Q10)</f>
        <v>130</v>
      </c>
      <c r="R12" s="327">
        <v>13</v>
      </c>
      <c r="S12" s="56" t="s">
        <v>10</v>
      </c>
      <c r="T12" s="56" t="s">
        <v>196</v>
      </c>
    </row>
    <row r="13" spans="1:20" ht="16.8" x14ac:dyDescent="0.75">
      <c r="A13" s="68" t="s">
        <v>197</v>
      </c>
      <c r="B13" s="181">
        <f>SUM(B8:B9)</f>
        <v>0</v>
      </c>
      <c r="C13" s="182">
        <f>SUM(C8:C9)</f>
        <v>0</v>
      </c>
      <c r="D13" s="183">
        <f>SUM(D8:D9)</f>
        <v>15</v>
      </c>
      <c r="E13" s="56" t="s">
        <v>10</v>
      </c>
      <c r="F13" s="286"/>
      <c r="H13" s="68" t="s">
        <v>197</v>
      </c>
      <c r="I13" s="181">
        <f>SUM(I8:I9)</f>
        <v>125</v>
      </c>
      <c r="J13" s="182">
        <f>SUM(J8:J9)</f>
        <v>125</v>
      </c>
      <c r="K13" s="183">
        <f>SUM(K8:K9)</f>
        <v>12.5</v>
      </c>
      <c r="L13" s="56" t="s">
        <v>10</v>
      </c>
      <c r="M13" s="286"/>
      <c r="O13" s="68" t="s">
        <v>197</v>
      </c>
      <c r="P13" s="181">
        <f>SUM(P8:P9)</f>
        <v>105</v>
      </c>
      <c r="Q13" s="182">
        <f>SUM(Q8:Q9)</f>
        <v>105</v>
      </c>
      <c r="R13" s="183">
        <f>SUM(R8:R9)</f>
        <v>10.5</v>
      </c>
      <c r="S13" s="56" t="s">
        <v>10</v>
      </c>
      <c r="T13" s="286"/>
    </row>
    <row r="14" spans="1:20" ht="16.8" x14ac:dyDescent="0.75">
      <c r="A14" s="68" t="s">
        <v>198</v>
      </c>
      <c r="B14" s="181">
        <f>SUM(B8,B10)</f>
        <v>0</v>
      </c>
      <c r="C14" s="182">
        <f>SUM(C8,C10)</f>
        <v>0</v>
      </c>
      <c r="D14" s="183">
        <f>SUM(D8,D10)</f>
        <v>15</v>
      </c>
      <c r="E14" s="56" t="s">
        <v>10</v>
      </c>
      <c r="F14" s="286"/>
      <c r="H14" s="68" t="s">
        <v>198</v>
      </c>
      <c r="I14" s="181">
        <f>SUM(I8,I10)</f>
        <v>125</v>
      </c>
      <c r="J14" s="182">
        <f>SUM(J8,J10)</f>
        <v>125</v>
      </c>
      <c r="K14" s="183">
        <f>SUM(K8,K10)</f>
        <v>12.5</v>
      </c>
      <c r="L14" s="56" t="s">
        <v>10</v>
      </c>
      <c r="M14" s="286"/>
      <c r="O14" s="68" t="s">
        <v>198</v>
      </c>
      <c r="P14" s="181">
        <f>SUM(P8,P10)</f>
        <v>126.8</v>
      </c>
      <c r="Q14" s="182">
        <f>SUM(Q8,Q10)</f>
        <v>126.8</v>
      </c>
      <c r="R14" s="183">
        <f>SUM(R8,R10)</f>
        <v>12.68</v>
      </c>
      <c r="S14" s="56" t="s">
        <v>10</v>
      </c>
      <c r="T14" s="286"/>
    </row>
    <row r="15" spans="1:20" ht="14.7" thickBot="1" x14ac:dyDescent="0.6">
      <c r="A15" s="286"/>
      <c r="B15" s="286"/>
      <c r="C15" s="286"/>
      <c r="D15" s="286"/>
      <c r="E15" s="286"/>
      <c r="F15" s="286"/>
      <c r="O15" s="286"/>
      <c r="P15" s="286"/>
      <c r="Q15" s="286"/>
      <c r="R15" s="286"/>
      <c r="S15" s="286"/>
      <c r="T15" s="286"/>
    </row>
    <row r="16" spans="1:20" ht="15" customHeight="1" thickBot="1" x14ac:dyDescent="0.6">
      <c r="A16" s="329" t="s">
        <v>270</v>
      </c>
      <c r="O16" s="552" t="s">
        <v>183</v>
      </c>
      <c r="P16" s="553"/>
      <c r="Q16" s="552" t="s">
        <v>184</v>
      </c>
      <c r="R16" s="553"/>
      <c r="S16" s="552" t="s">
        <v>185</v>
      </c>
      <c r="T16" s="553"/>
    </row>
    <row r="17" spans="15:20" ht="14.7" thickBot="1" x14ac:dyDescent="0.6">
      <c r="O17" s="171" t="s">
        <v>186</v>
      </c>
      <c r="P17" s="171" t="s">
        <v>187</v>
      </c>
      <c r="Q17" s="171" t="s">
        <v>186</v>
      </c>
      <c r="R17" s="171" t="s">
        <v>187</v>
      </c>
      <c r="S17" s="171" t="s">
        <v>188</v>
      </c>
      <c r="T17" s="171" t="s">
        <v>187</v>
      </c>
    </row>
    <row r="18" spans="15:20" ht="14.7" thickBot="1" x14ac:dyDescent="0.6">
      <c r="O18" s="171" t="s">
        <v>189</v>
      </c>
      <c r="P18" s="171" t="s">
        <v>190</v>
      </c>
      <c r="Q18" s="171" t="s">
        <v>191</v>
      </c>
      <c r="R18" s="171" t="s">
        <v>190</v>
      </c>
      <c r="S18" s="171" t="s">
        <v>192</v>
      </c>
      <c r="T18" s="171" t="s">
        <v>190</v>
      </c>
    </row>
    <row r="19" spans="15:20" ht="15" customHeight="1" thickBot="1" x14ac:dyDescent="0.6">
      <c r="O19" s="171" t="s">
        <v>193</v>
      </c>
      <c r="P19" s="171" t="s">
        <v>194</v>
      </c>
      <c r="Q19" s="171" t="s">
        <v>193</v>
      </c>
      <c r="R19" s="171" t="s">
        <v>194</v>
      </c>
      <c r="S19" s="171" t="s">
        <v>193</v>
      </c>
      <c r="T19" s="171" t="s">
        <v>194</v>
      </c>
    </row>
    <row r="20" spans="15:20" x14ac:dyDescent="0.55000000000000004">
      <c r="O20" s="286"/>
      <c r="P20" s="286"/>
      <c r="Q20" s="286"/>
      <c r="R20" s="286"/>
      <c r="S20" s="286"/>
      <c r="T20" s="286"/>
    </row>
    <row r="21" spans="15:20" x14ac:dyDescent="0.55000000000000004">
      <c r="O21" s="286"/>
      <c r="P21" s="286"/>
      <c r="Q21" s="286"/>
      <c r="R21" s="286"/>
      <c r="S21" s="286"/>
      <c r="T21" s="286"/>
    </row>
    <row r="22" spans="15:20" x14ac:dyDescent="0.55000000000000004">
      <c r="O22" s="286"/>
      <c r="P22" s="286"/>
      <c r="Q22" s="286"/>
      <c r="R22" s="286"/>
      <c r="S22" s="286"/>
      <c r="T22" s="286"/>
    </row>
    <row r="23" spans="15:20" x14ac:dyDescent="0.55000000000000004">
      <c r="O23" s="286"/>
      <c r="P23" s="286"/>
      <c r="Q23" s="286"/>
      <c r="R23" s="286"/>
      <c r="S23" s="286"/>
      <c r="T23" s="286"/>
    </row>
    <row r="24" spans="15:20" x14ac:dyDescent="0.55000000000000004">
      <c r="O24" s="286"/>
      <c r="P24" s="286"/>
      <c r="Q24" s="286"/>
      <c r="R24" s="286"/>
      <c r="S24" s="286"/>
      <c r="T24" s="286"/>
    </row>
    <row r="25" spans="15:20" x14ac:dyDescent="0.55000000000000004">
      <c r="O25" s="286"/>
      <c r="P25" s="286"/>
      <c r="Q25" s="286"/>
      <c r="R25" s="286"/>
      <c r="S25" s="286"/>
      <c r="T25" s="286"/>
    </row>
    <row r="26" spans="15:20" x14ac:dyDescent="0.55000000000000004">
      <c r="O26" s="286"/>
      <c r="P26" s="286"/>
      <c r="Q26" s="286"/>
      <c r="R26" s="286"/>
      <c r="S26" s="286"/>
      <c r="T26" s="286"/>
    </row>
    <row r="27" spans="15:20" x14ac:dyDescent="0.55000000000000004">
      <c r="O27" s="286"/>
      <c r="P27" s="286"/>
      <c r="Q27" s="286"/>
      <c r="R27" s="286"/>
      <c r="S27" s="286"/>
      <c r="T27" s="286"/>
    </row>
    <row r="28" spans="15:20" x14ac:dyDescent="0.55000000000000004">
      <c r="O28" s="286"/>
      <c r="P28" s="286"/>
      <c r="Q28" s="286"/>
      <c r="R28" s="286"/>
      <c r="S28" s="286"/>
      <c r="T28" s="286"/>
    </row>
    <row r="29" spans="15:20" x14ac:dyDescent="0.55000000000000004">
      <c r="O29" s="286"/>
      <c r="P29" s="286"/>
      <c r="Q29" s="286"/>
      <c r="R29" s="286"/>
      <c r="S29" s="286"/>
      <c r="T29" s="286"/>
    </row>
    <row r="30" spans="15:20" x14ac:dyDescent="0.55000000000000004">
      <c r="O30" s="286"/>
      <c r="P30" s="286"/>
      <c r="Q30" s="286"/>
      <c r="R30" s="286"/>
      <c r="S30" s="286"/>
      <c r="T30" s="286"/>
    </row>
    <row r="33" spans="1:4" x14ac:dyDescent="0.55000000000000004">
      <c r="A33" s="162"/>
    </row>
    <row r="35" spans="1:4" x14ac:dyDescent="0.55000000000000004">
      <c r="B35" s="161" t="s">
        <v>179</v>
      </c>
      <c r="C35" s="286"/>
      <c r="D35" s="286"/>
    </row>
    <row r="36" spans="1:4" x14ac:dyDescent="0.55000000000000004">
      <c r="B36" s="161" t="s">
        <v>255</v>
      </c>
      <c r="C36" s="286"/>
      <c r="D36" s="286"/>
    </row>
    <row r="37" spans="1:4" x14ac:dyDescent="0.55000000000000004">
      <c r="B37" s="297" t="s">
        <v>254</v>
      </c>
      <c r="C37" s="286"/>
      <c r="D37" s="286"/>
    </row>
  </sheetData>
  <mergeCells count="6">
    <mergeCell ref="O1:T1"/>
    <mergeCell ref="O16:P16"/>
    <mergeCell ref="Q16:R16"/>
    <mergeCell ref="S16:T16"/>
    <mergeCell ref="A1:F1"/>
    <mergeCell ref="H1:M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G68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4.4" x14ac:dyDescent="0.55000000000000004"/>
  <cols>
    <col min="1" max="1" width="5.5234375" customWidth="1"/>
    <col min="2" max="2" width="11.3125" customWidth="1"/>
    <col min="3" max="3" width="10.89453125" customWidth="1"/>
    <col min="4" max="4" width="11" customWidth="1"/>
    <col min="5" max="5" width="9.3125" customWidth="1"/>
    <col min="6" max="6" width="6.578125" style="358" customWidth="1"/>
    <col min="7" max="7" width="5.68359375" style="358" customWidth="1"/>
    <col min="8" max="8" width="4.734375" customWidth="1"/>
    <col min="9" max="9" width="10" customWidth="1"/>
    <col min="10" max="11" width="8.41796875" customWidth="1"/>
    <col min="12" max="12" width="3.734375" customWidth="1"/>
    <col min="13" max="13" width="10.7890625" customWidth="1"/>
    <col min="15" max="15" width="4.1015625" customWidth="1"/>
    <col min="16" max="16" width="7.3671875" customWidth="1"/>
    <col min="17" max="17" width="4.578125" customWidth="1"/>
    <col min="18" max="18" width="7.3671875" customWidth="1"/>
    <col min="19" max="19" width="8.05078125" customWidth="1"/>
    <col min="20" max="20" width="3.3125" customWidth="1"/>
    <col min="21" max="21" width="3.7890625" customWidth="1"/>
    <col min="22" max="22" width="7.3671875" style="456" customWidth="1"/>
    <col min="23" max="23" width="5.05078125" style="358" customWidth="1"/>
    <col min="24" max="24" width="7.3671875" style="358" customWidth="1"/>
    <col min="25" max="25" width="8.05078125" style="358" customWidth="1"/>
    <col min="26" max="26" width="3.89453125" style="358" customWidth="1"/>
    <col min="27" max="27" width="3.7890625" style="358" customWidth="1"/>
    <col min="28" max="28" width="7.3671875" style="456" customWidth="1"/>
    <col min="29" max="29" width="5.05078125" style="358" customWidth="1"/>
    <col min="30" max="30" width="7.5234375" style="358" customWidth="1"/>
    <col min="31" max="31" width="8.05078125" style="358" customWidth="1"/>
    <col min="32" max="32" width="3.89453125" style="358" customWidth="1"/>
    <col min="33" max="33" width="3.7890625" style="358" customWidth="1"/>
  </cols>
  <sheetData>
    <row r="1" spans="1:33" s="358" customFormat="1" ht="15.6" x14ac:dyDescent="0.6">
      <c r="A1" s="556" t="s">
        <v>201</v>
      </c>
      <c r="B1" s="556"/>
      <c r="C1" s="556"/>
      <c r="D1" s="556"/>
      <c r="E1" s="556"/>
      <c r="F1" s="556"/>
      <c r="G1" s="556"/>
      <c r="H1" s="556"/>
      <c r="J1" s="505"/>
      <c r="K1" s="510" t="s">
        <v>341</v>
      </c>
      <c r="L1" s="511">
        <v>0.05</v>
      </c>
      <c r="M1" s="207" t="s">
        <v>175</v>
      </c>
      <c r="N1" s="498" t="str">
        <f>CONCATENATE(M2*1000000000000000/1000000," nM or fmol/µL")</f>
        <v>50 nM or fmol/µL</v>
      </c>
      <c r="O1" s="368"/>
      <c r="P1" s="582" t="s">
        <v>324</v>
      </c>
      <c r="Q1" s="583"/>
      <c r="R1" s="583"/>
      <c r="S1" s="583"/>
      <c r="T1" s="583"/>
      <c r="U1" s="583"/>
      <c r="V1" s="584" t="s">
        <v>325</v>
      </c>
      <c r="W1" s="583"/>
      <c r="X1" s="583"/>
      <c r="Y1" s="583"/>
      <c r="Z1" s="583"/>
      <c r="AA1" s="583"/>
      <c r="AB1" s="584" t="s">
        <v>318</v>
      </c>
      <c r="AC1" s="583"/>
      <c r="AD1" s="583"/>
      <c r="AE1" s="583"/>
      <c r="AF1" s="583"/>
      <c r="AG1" s="583"/>
    </row>
    <row r="2" spans="1:33" ht="18.3" thickBot="1" x14ac:dyDescent="0.85">
      <c r="B2" s="561" t="s">
        <v>334</v>
      </c>
      <c r="C2" s="561"/>
      <c r="D2" s="561"/>
      <c r="E2" s="561"/>
      <c r="F2" s="561"/>
      <c r="G2" s="561"/>
      <c r="J2" s="557" t="s">
        <v>207</v>
      </c>
      <c r="K2" s="558"/>
      <c r="L2" s="287"/>
      <c r="M2" s="205">
        <v>4.9999999999999998E-8</v>
      </c>
      <c r="N2" s="494" t="s">
        <v>17</v>
      </c>
      <c r="O2" s="27"/>
      <c r="P2" s="559" t="s">
        <v>206</v>
      </c>
      <c r="Q2" s="560"/>
      <c r="R2" s="564" t="s">
        <v>323</v>
      </c>
      <c r="S2" s="452" t="s">
        <v>321</v>
      </c>
      <c r="T2" s="453">
        <v>15</v>
      </c>
      <c r="U2" s="454" t="s">
        <v>10</v>
      </c>
      <c r="V2" s="562" t="s">
        <v>206</v>
      </c>
      <c r="W2" s="563"/>
      <c r="X2" s="564" t="s">
        <v>323</v>
      </c>
      <c r="Y2" s="452" t="s">
        <v>321</v>
      </c>
      <c r="Z2" s="453">
        <v>15</v>
      </c>
      <c r="AA2" s="454" t="s">
        <v>10</v>
      </c>
      <c r="AB2" s="562" t="s">
        <v>206</v>
      </c>
      <c r="AC2" s="563"/>
      <c r="AD2" s="564" t="s">
        <v>323</v>
      </c>
      <c r="AE2" s="452" t="s">
        <v>321</v>
      </c>
      <c r="AF2" s="453">
        <v>15</v>
      </c>
      <c r="AG2" s="454" t="s">
        <v>10</v>
      </c>
    </row>
    <row r="3" spans="1:33" s="15" customFormat="1" ht="34.200000000000003" customHeight="1" thickTop="1" x14ac:dyDescent="0.55000000000000004">
      <c r="A3" s="289"/>
      <c r="B3" s="499" t="s">
        <v>135</v>
      </c>
      <c r="C3" s="290" t="s">
        <v>335</v>
      </c>
      <c r="D3" s="290" t="s">
        <v>336</v>
      </c>
      <c r="E3" s="290" t="s">
        <v>202</v>
      </c>
      <c r="F3" s="500" t="s">
        <v>347</v>
      </c>
      <c r="G3" s="581" t="s">
        <v>348</v>
      </c>
      <c r="H3" s="289"/>
      <c r="I3" s="206" t="s">
        <v>221</v>
      </c>
      <c r="J3" s="508">
        <v>2.5000000000000001E-14</v>
      </c>
      <c r="K3" s="497" t="str">
        <f>"mol*" &amp; CHAR(10) &amp; "=" &amp; J3*1000000000000000 &amp; " fmol"</f>
        <v>mol*
=25 fmol</v>
      </c>
      <c r="L3" s="288"/>
      <c r="M3" s="349" t="s">
        <v>176</v>
      </c>
      <c r="N3" s="291" t="s">
        <v>208</v>
      </c>
      <c r="O3" s="504"/>
      <c r="P3" s="507">
        <v>500</v>
      </c>
      <c r="Q3" s="506" t="s">
        <v>337</v>
      </c>
      <c r="R3" s="565"/>
      <c r="S3" s="501" t="s">
        <v>322</v>
      </c>
      <c r="T3" s="502">
        <v>2.5</v>
      </c>
      <c r="U3" s="503" t="s">
        <v>10</v>
      </c>
      <c r="V3" s="458">
        <v>100</v>
      </c>
      <c r="W3" s="188" t="s">
        <v>200</v>
      </c>
      <c r="X3" s="565"/>
      <c r="Y3" s="501" t="s">
        <v>322</v>
      </c>
      <c r="Z3" s="502">
        <v>2.5</v>
      </c>
      <c r="AA3" s="503" t="s">
        <v>10</v>
      </c>
      <c r="AB3" s="495" t="s">
        <v>319</v>
      </c>
      <c r="AC3" s="496" t="s">
        <v>320</v>
      </c>
      <c r="AD3" s="565"/>
      <c r="AE3" s="501" t="s">
        <v>322</v>
      </c>
      <c r="AF3" s="502">
        <v>2.5</v>
      </c>
      <c r="AG3" s="503" t="s">
        <v>10</v>
      </c>
    </row>
    <row r="4" spans="1:33" x14ac:dyDescent="0.55000000000000004">
      <c r="A4" s="509">
        <v>1</v>
      </c>
      <c r="B4" s="189" t="s">
        <v>209</v>
      </c>
      <c r="C4" s="3">
        <v>3000</v>
      </c>
      <c r="D4" s="3">
        <v>200</v>
      </c>
      <c r="E4" s="3">
        <v>50</v>
      </c>
      <c r="F4" s="190"/>
      <c r="G4" s="190"/>
      <c r="I4" s="131">
        <f>IF($F4="",IF(OR(AND($C4="",$G4=""),$D4=""),"",IF($G4="",($D4*10^-9/10^-6)/($C4*615.88)*10^9,$D4/10^-6/$G4)),$F4)</f>
        <v>108.24619514624062</v>
      </c>
      <c r="J4" s="460">
        <f>IF($I4="","",J$3/($I4*10^-9)*10^6)</f>
        <v>0.23095499999999997</v>
      </c>
      <c r="K4" s="369" t="str">
        <f>IF(J4="","","µL")</f>
        <v>µL</v>
      </c>
      <c r="M4" s="131">
        <f>IF($I4="","",$I4*10^-9/M$2)</f>
        <v>2.1649239029248126</v>
      </c>
      <c r="N4" s="451">
        <f t="shared" ref="N4:N53" si="0">IF($M4="","",IF($M4&lt;1+$L$1,IF($M4&gt;1-$L$1,"≈0","Too dilute"),IF($E4="","?",($M4*$E4)-$E4)))</f>
        <v>58.246195146240638</v>
      </c>
      <c r="O4" s="27"/>
      <c r="P4" s="457">
        <f t="shared" ref="P4:P53" si="1">IF($F4="",IF(OR($C4="",$D4=""),"",P$3/$D4),(P$3/($C4*617.89*$F4))*10^6)</f>
        <v>2.5</v>
      </c>
      <c r="Q4" s="369" t="str">
        <f>IF(P4="","","µL")</f>
        <v>µL</v>
      </c>
      <c r="R4" s="186">
        <f>IF(P4="","",T$2-T$3-P4)</f>
        <v>10</v>
      </c>
      <c r="V4" s="459">
        <f t="shared" ref="V4:V53" si="2">IF($F4="",IF(OR($C4="",$D4=""),"",(V$3*$C4*0.001/$D4)),(V$3*$C4*0.001/($C4*617.89*$F4))*10^6)</f>
        <v>1.5</v>
      </c>
      <c r="W4" s="369" t="str">
        <f>IF(V4="","","µL")</f>
        <v>µL</v>
      </c>
      <c r="X4" s="186">
        <f>IF(V4="","",Z$2-Z$3-V4)</f>
        <v>11</v>
      </c>
      <c r="AB4" s="459">
        <f t="shared" ref="AB4:AB53" si="3">IF($F4="",IF(OR($C4="",$D4=""),"",IF($C4&lt;6000,500/$D4,IF($C4&lt;=10000,800/$D4,1000/$D4))),IF($C4&lt;6000,(500/($C4*617.89*$F4))*10^6,IF($C4&lt;=10000,(800/($C4*617.89*$F4))*10^6,(1000/($C4*617.89*$F4))*10^6)))</f>
        <v>2.5</v>
      </c>
      <c r="AC4" s="369" t="str">
        <f>IF(AB4="","","µL")</f>
        <v>µL</v>
      </c>
      <c r="AD4" s="186">
        <f>IF(AB4="","",AF$2-AF$3-AB4)</f>
        <v>10</v>
      </c>
    </row>
    <row r="5" spans="1:33" x14ac:dyDescent="0.55000000000000004">
      <c r="A5" s="509">
        <v>2</v>
      </c>
      <c r="B5" s="189"/>
      <c r="C5" s="3"/>
      <c r="D5" s="3"/>
      <c r="E5" s="3"/>
      <c r="F5" s="190"/>
      <c r="G5" s="190"/>
      <c r="I5" s="131" t="str">
        <f t="shared" ref="I5:I53" si="4">IF($F5="",IF(OR(AND($C5="",$G5=""),$D5=""),"",IF($G5="",($D5*10^-9/10^-6)/($C5*615.88)*10^9,$D5/10^-6/$G5)),$F5)</f>
        <v/>
      </c>
      <c r="J5" s="460" t="str">
        <f t="shared" ref="J5:J53" si="5">IF($I5="","",J$3/($I5*10^-9)*10^6)</f>
        <v/>
      </c>
      <c r="K5" s="369" t="str">
        <f t="shared" ref="K5:K53" si="6">IF(J5="","","µL")</f>
        <v/>
      </c>
      <c r="L5" s="358"/>
      <c r="M5" s="131" t="str">
        <f t="shared" ref="M5:M53" si="7">IF($I5="","",$I5*10^-9/M$2)</f>
        <v/>
      </c>
      <c r="N5" s="451" t="str">
        <f t="shared" si="0"/>
        <v/>
      </c>
      <c r="O5" s="368"/>
      <c r="P5" s="457" t="str">
        <f t="shared" si="1"/>
        <v/>
      </c>
      <c r="Q5" s="369" t="str">
        <f t="shared" ref="Q5:Q53" si="8">IF(P5="","","µL")</f>
        <v/>
      </c>
      <c r="R5" s="186" t="str">
        <f t="shared" ref="R5:R16" si="9">IF(P5="","",T$2-T$3-P5)</f>
        <v/>
      </c>
      <c r="S5" s="358"/>
      <c r="T5" s="358"/>
      <c r="U5" s="358"/>
      <c r="V5" s="459" t="str">
        <f t="shared" si="2"/>
        <v/>
      </c>
      <c r="W5" s="369" t="str">
        <f t="shared" ref="W5:W53" si="10">IF(V5="","","µL")</f>
        <v/>
      </c>
      <c r="X5" s="186" t="str">
        <f t="shared" ref="X5:X16" si="11">IF(V5="","",Z$2-Z$3-V5)</f>
        <v/>
      </c>
      <c r="AB5" s="459" t="str">
        <f t="shared" si="3"/>
        <v/>
      </c>
      <c r="AC5" s="369" t="str">
        <f t="shared" ref="AC5:AC53" si="12">IF(AB5="","","µL")</f>
        <v/>
      </c>
      <c r="AD5" s="186" t="str">
        <f t="shared" ref="AD5:AD16" si="13">IF(AB5="","",AF$2-AF$3-AB5)</f>
        <v/>
      </c>
    </row>
    <row r="6" spans="1:33" x14ac:dyDescent="0.55000000000000004">
      <c r="A6" s="509">
        <v>3</v>
      </c>
      <c r="B6" s="189"/>
      <c r="C6" s="3"/>
      <c r="D6" s="3"/>
      <c r="E6" s="3"/>
      <c r="F6" s="190"/>
      <c r="G6" s="190"/>
      <c r="I6" s="131" t="str">
        <f t="shared" si="4"/>
        <v/>
      </c>
      <c r="J6" s="460" t="str">
        <f t="shared" si="5"/>
        <v/>
      </c>
      <c r="K6" s="369" t="str">
        <f t="shared" si="6"/>
        <v/>
      </c>
      <c r="L6" s="358"/>
      <c r="M6" s="131" t="str">
        <f t="shared" si="7"/>
        <v/>
      </c>
      <c r="N6" s="451" t="str">
        <f t="shared" si="0"/>
        <v/>
      </c>
      <c r="O6" s="368"/>
      <c r="P6" s="457" t="str">
        <f t="shared" si="1"/>
        <v/>
      </c>
      <c r="Q6" s="369" t="str">
        <f t="shared" si="8"/>
        <v/>
      </c>
      <c r="R6" s="186" t="str">
        <f t="shared" si="9"/>
        <v/>
      </c>
      <c r="S6" s="358"/>
      <c r="T6" s="358"/>
      <c r="U6" s="358"/>
      <c r="V6" s="459" t="str">
        <f t="shared" si="2"/>
        <v/>
      </c>
      <c r="W6" s="369" t="str">
        <f t="shared" si="10"/>
        <v/>
      </c>
      <c r="X6" s="186" t="str">
        <f t="shared" si="11"/>
        <v/>
      </c>
      <c r="AB6" s="459" t="str">
        <f t="shared" si="3"/>
        <v/>
      </c>
      <c r="AC6" s="369" t="str">
        <f t="shared" si="12"/>
        <v/>
      </c>
      <c r="AD6" s="186" t="str">
        <f t="shared" si="13"/>
        <v/>
      </c>
    </row>
    <row r="7" spans="1:33" x14ac:dyDescent="0.55000000000000004">
      <c r="A7" s="509">
        <v>4</v>
      </c>
      <c r="B7" s="189"/>
      <c r="C7" s="3"/>
      <c r="D7" s="3"/>
      <c r="E7" s="3"/>
      <c r="F7" s="190"/>
      <c r="G7" s="190"/>
      <c r="I7" s="131" t="str">
        <f t="shared" si="4"/>
        <v/>
      </c>
      <c r="J7" s="460" t="str">
        <f t="shared" si="5"/>
        <v/>
      </c>
      <c r="K7" s="369" t="str">
        <f t="shared" si="6"/>
        <v/>
      </c>
      <c r="L7" s="358"/>
      <c r="M7" s="131" t="str">
        <f t="shared" si="7"/>
        <v/>
      </c>
      <c r="N7" s="451" t="str">
        <f t="shared" si="0"/>
        <v/>
      </c>
      <c r="O7" s="368"/>
      <c r="P7" s="457" t="str">
        <f t="shared" si="1"/>
        <v/>
      </c>
      <c r="Q7" s="369" t="str">
        <f t="shared" si="8"/>
        <v/>
      </c>
      <c r="R7" s="186" t="str">
        <f t="shared" si="9"/>
        <v/>
      </c>
      <c r="S7" s="358"/>
      <c r="T7" s="358"/>
      <c r="U7" s="358"/>
      <c r="V7" s="459" t="str">
        <f t="shared" si="2"/>
        <v/>
      </c>
      <c r="W7" s="369" t="str">
        <f t="shared" si="10"/>
        <v/>
      </c>
      <c r="X7" s="186" t="str">
        <f t="shared" si="11"/>
        <v/>
      </c>
      <c r="AB7" s="459" t="str">
        <f t="shared" si="3"/>
        <v/>
      </c>
      <c r="AC7" s="369" t="str">
        <f t="shared" si="12"/>
        <v/>
      </c>
      <c r="AD7" s="186" t="str">
        <f t="shared" si="13"/>
        <v/>
      </c>
    </row>
    <row r="8" spans="1:33" x14ac:dyDescent="0.55000000000000004">
      <c r="A8" s="509">
        <v>5</v>
      </c>
      <c r="B8" s="189"/>
      <c r="C8" s="3"/>
      <c r="D8" s="3"/>
      <c r="E8" s="3"/>
      <c r="F8" s="190"/>
      <c r="G8" s="190"/>
      <c r="I8" s="131" t="str">
        <f t="shared" si="4"/>
        <v/>
      </c>
      <c r="J8" s="460" t="str">
        <f t="shared" si="5"/>
        <v/>
      </c>
      <c r="K8" s="369" t="str">
        <f t="shared" si="6"/>
        <v/>
      </c>
      <c r="L8" s="358"/>
      <c r="M8" s="131" t="str">
        <f t="shared" si="7"/>
        <v/>
      </c>
      <c r="N8" s="451" t="str">
        <f t="shared" si="0"/>
        <v/>
      </c>
      <c r="O8" s="368"/>
      <c r="P8" s="457" t="str">
        <f t="shared" si="1"/>
        <v/>
      </c>
      <c r="Q8" s="369" t="str">
        <f t="shared" si="8"/>
        <v/>
      </c>
      <c r="R8" s="186" t="str">
        <f t="shared" si="9"/>
        <v/>
      </c>
      <c r="S8" s="358"/>
      <c r="T8" s="358"/>
      <c r="U8" s="358"/>
      <c r="V8" s="459" t="str">
        <f t="shared" si="2"/>
        <v/>
      </c>
      <c r="W8" s="369" t="str">
        <f t="shared" si="10"/>
        <v/>
      </c>
      <c r="X8" s="186" t="str">
        <f t="shared" si="11"/>
        <v/>
      </c>
      <c r="AB8" s="459" t="str">
        <f t="shared" si="3"/>
        <v/>
      </c>
      <c r="AC8" s="369" t="str">
        <f t="shared" si="12"/>
        <v/>
      </c>
      <c r="AD8" s="186" t="str">
        <f t="shared" si="13"/>
        <v/>
      </c>
    </row>
    <row r="9" spans="1:33" x14ac:dyDescent="0.55000000000000004">
      <c r="A9" s="509">
        <v>6</v>
      </c>
      <c r="B9" s="189"/>
      <c r="C9" s="3"/>
      <c r="D9" s="3"/>
      <c r="E9" s="3"/>
      <c r="F9" s="190"/>
      <c r="G9" s="190"/>
      <c r="I9" s="131" t="str">
        <f t="shared" si="4"/>
        <v/>
      </c>
      <c r="J9" s="460" t="str">
        <f t="shared" si="5"/>
        <v/>
      </c>
      <c r="K9" s="369" t="str">
        <f t="shared" si="6"/>
        <v/>
      </c>
      <c r="L9" s="358"/>
      <c r="M9" s="131" t="str">
        <f t="shared" si="7"/>
        <v/>
      </c>
      <c r="N9" s="451" t="str">
        <f t="shared" si="0"/>
        <v/>
      </c>
      <c r="O9" s="368"/>
      <c r="P9" s="457" t="str">
        <f t="shared" si="1"/>
        <v/>
      </c>
      <c r="Q9" s="369" t="str">
        <f t="shared" si="8"/>
        <v/>
      </c>
      <c r="R9" s="186" t="str">
        <f t="shared" si="9"/>
        <v/>
      </c>
      <c r="S9" s="358"/>
      <c r="T9" s="358"/>
      <c r="U9" s="358"/>
      <c r="V9" s="459" t="str">
        <f t="shared" si="2"/>
        <v/>
      </c>
      <c r="W9" s="369" t="str">
        <f t="shared" si="10"/>
        <v/>
      </c>
      <c r="X9" s="186" t="str">
        <f t="shared" si="11"/>
        <v/>
      </c>
      <c r="AB9" s="459" t="str">
        <f t="shared" si="3"/>
        <v/>
      </c>
      <c r="AC9" s="369" t="str">
        <f t="shared" si="12"/>
        <v/>
      </c>
      <c r="AD9" s="186" t="str">
        <f t="shared" si="13"/>
        <v/>
      </c>
    </row>
    <row r="10" spans="1:33" x14ac:dyDescent="0.55000000000000004">
      <c r="A10" s="509">
        <v>7</v>
      </c>
      <c r="B10" s="189"/>
      <c r="C10" s="3"/>
      <c r="D10" s="3"/>
      <c r="E10" s="3"/>
      <c r="F10" s="190"/>
      <c r="G10" s="190"/>
      <c r="I10" s="131" t="str">
        <f t="shared" si="4"/>
        <v/>
      </c>
      <c r="J10" s="460" t="str">
        <f t="shared" si="5"/>
        <v/>
      </c>
      <c r="K10" s="369" t="str">
        <f t="shared" si="6"/>
        <v/>
      </c>
      <c r="L10" s="358"/>
      <c r="M10" s="131" t="str">
        <f t="shared" si="7"/>
        <v/>
      </c>
      <c r="N10" s="451" t="str">
        <f t="shared" si="0"/>
        <v/>
      </c>
      <c r="O10" s="368"/>
      <c r="P10" s="457" t="str">
        <f t="shared" si="1"/>
        <v/>
      </c>
      <c r="Q10" s="369" t="str">
        <f t="shared" si="8"/>
        <v/>
      </c>
      <c r="R10" s="186" t="str">
        <f t="shared" si="9"/>
        <v/>
      </c>
      <c r="S10" s="358"/>
      <c r="T10" s="358"/>
      <c r="U10" s="358"/>
      <c r="V10" s="459" t="str">
        <f t="shared" si="2"/>
        <v/>
      </c>
      <c r="W10" s="369" t="str">
        <f t="shared" si="10"/>
        <v/>
      </c>
      <c r="X10" s="186" t="str">
        <f t="shared" si="11"/>
        <v/>
      </c>
      <c r="AB10" s="459" t="str">
        <f t="shared" si="3"/>
        <v/>
      </c>
      <c r="AC10" s="369" t="str">
        <f t="shared" si="12"/>
        <v/>
      </c>
      <c r="AD10" s="186" t="str">
        <f t="shared" si="13"/>
        <v/>
      </c>
    </row>
    <row r="11" spans="1:33" x14ac:dyDescent="0.55000000000000004">
      <c r="A11" s="509">
        <v>8</v>
      </c>
      <c r="B11" s="189"/>
      <c r="C11" s="3"/>
      <c r="D11" s="3"/>
      <c r="E11" s="3"/>
      <c r="F11" s="190"/>
      <c r="G11" s="190"/>
      <c r="I11" s="131" t="str">
        <f t="shared" si="4"/>
        <v/>
      </c>
      <c r="J11" s="460" t="str">
        <f t="shared" si="5"/>
        <v/>
      </c>
      <c r="K11" s="369" t="str">
        <f t="shared" si="6"/>
        <v/>
      </c>
      <c r="L11" s="358"/>
      <c r="M11" s="131" t="str">
        <f t="shared" si="7"/>
        <v/>
      </c>
      <c r="N11" s="451" t="str">
        <f t="shared" si="0"/>
        <v/>
      </c>
      <c r="O11" s="368"/>
      <c r="P11" s="457" t="str">
        <f t="shared" si="1"/>
        <v/>
      </c>
      <c r="Q11" s="369" t="str">
        <f t="shared" si="8"/>
        <v/>
      </c>
      <c r="R11" s="186" t="str">
        <f t="shared" si="9"/>
        <v/>
      </c>
      <c r="S11" s="358"/>
      <c r="T11" s="358"/>
      <c r="U11" s="358"/>
      <c r="V11" s="459" t="str">
        <f t="shared" si="2"/>
        <v/>
      </c>
      <c r="W11" s="369" t="str">
        <f t="shared" si="10"/>
        <v/>
      </c>
      <c r="X11" s="186" t="str">
        <f t="shared" si="11"/>
        <v/>
      </c>
      <c r="AB11" s="459" t="str">
        <f t="shared" si="3"/>
        <v/>
      </c>
      <c r="AC11" s="369" t="str">
        <f t="shared" si="12"/>
        <v/>
      </c>
      <c r="AD11" s="186" t="str">
        <f t="shared" si="13"/>
        <v/>
      </c>
    </row>
    <row r="12" spans="1:33" x14ac:dyDescent="0.55000000000000004">
      <c r="A12" s="509">
        <v>9</v>
      </c>
      <c r="B12" s="189"/>
      <c r="C12" s="3"/>
      <c r="D12" s="3"/>
      <c r="E12" s="3"/>
      <c r="F12" s="190"/>
      <c r="G12" s="190"/>
      <c r="I12" s="131" t="str">
        <f t="shared" si="4"/>
        <v/>
      </c>
      <c r="J12" s="460" t="str">
        <f t="shared" si="5"/>
        <v/>
      </c>
      <c r="K12" s="369" t="str">
        <f t="shared" si="6"/>
        <v/>
      </c>
      <c r="L12" s="358"/>
      <c r="M12" s="131" t="str">
        <f t="shared" si="7"/>
        <v/>
      </c>
      <c r="N12" s="451" t="str">
        <f t="shared" si="0"/>
        <v/>
      </c>
      <c r="O12" s="368"/>
      <c r="P12" s="457" t="str">
        <f t="shared" si="1"/>
        <v/>
      </c>
      <c r="Q12" s="369" t="str">
        <f t="shared" si="8"/>
        <v/>
      </c>
      <c r="R12" s="186" t="str">
        <f t="shared" si="9"/>
        <v/>
      </c>
      <c r="S12" s="358"/>
      <c r="T12" s="358"/>
      <c r="U12" s="358"/>
      <c r="V12" s="459" t="str">
        <f t="shared" si="2"/>
        <v/>
      </c>
      <c r="W12" s="369" t="str">
        <f t="shared" si="10"/>
        <v/>
      </c>
      <c r="X12" s="186" t="str">
        <f t="shared" si="11"/>
        <v/>
      </c>
      <c r="AB12" s="459" t="str">
        <f t="shared" si="3"/>
        <v/>
      </c>
      <c r="AC12" s="369" t="str">
        <f t="shared" si="12"/>
        <v/>
      </c>
      <c r="AD12" s="186" t="str">
        <f t="shared" si="13"/>
        <v/>
      </c>
    </row>
    <row r="13" spans="1:33" x14ac:dyDescent="0.55000000000000004">
      <c r="A13" s="509">
        <v>10</v>
      </c>
      <c r="B13" s="189"/>
      <c r="C13" s="3"/>
      <c r="D13" s="3"/>
      <c r="E13" s="3"/>
      <c r="F13" s="190"/>
      <c r="G13" s="190"/>
      <c r="I13" s="131" t="str">
        <f t="shared" si="4"/>
        <v/>
      </c>
      <c r="J13" s="460" t="str">
        <f t="shared" si="5"/>
        <v/>
      </c>
      <c r="K13" s="369" t="str">
        <f t="shared" si="6"/>
        <v/>
      </c>
      <c r="L13" s="358"/>
      <c r="M13" s="131" t="str">
        <f t="shared" si="7"/>
        <v/>
      </c>
      <c r="N13" s="451" t="str">
        <f t="shared" si="0"/>
        <v/>
      </c>
      <c r="O13" s="368"/>
      <c r="P13" s="457" t="str">
        <f t="shared" si="1"/>
        <v/>
      </c>
      <c r="Q13" s="369" t="str">
        <f t="shared" si="8"/>
        <v/>
      </c>
      <c r="R13" s="186" t="str">
        <f t="shared" si="9"/>
        <v/>
      </c>
      <c r="S13" s="358"/>
      <c r="T13" s="358"/>
      <c r="U13" s="358"/>
      <c r="V13" s="459" t="str">
        <f t="shared" si="2"/>
        <v/>
      </c>
      <c r="W13" s="369" t="str">
        <f t="shared" si="10"/>
        <v/>
      </c>
      <c r="X13" s="186" t="str">
        <f t="shared" si="11"/>
        <v/>
      </c>
      <c r="AB13" s="459" t="str">
        <f t="shared" si="3"/>
        <v/>
      </c>
      <c r="AC13" s="369" t="str">
        <f t="shared" si="12"/>
        <v/>
      </c>
      <c r="AD13" s="186" t="str">
        <f t="shared" si="13"/>
        <v/>
      </c>
    </row>
    <row r="14" spans="1:33" x14ac:dyDescent="0.55000000000000004">
      <c r="A14" s="509">
        <v>11</v>
      </c>
      <c r="B14" s="189"/>
      <c r="C14" s="3"/>
      <c r="D14" s="3"/>
      <c r="E14" s="3"/>
      <c r="F14" s="190"/>
      <c r="G14" s="190"/>
      <c r="I14" s="131" t="str">
        <f t="shared" si="4"/>
        <v/>
      </c>
      <c r="J14" s="460" t="str">
        <f t="shared" si="5"/>
        <v/>
      </c>
      <c r="K14" s="369" t="str">
        <f t="shared" si="6"/>
        <v/>
      </c>
      <c r="L14" s="358"/>
      <c r="M14" s="131" t="str">
        <f t="shared" si="7"/>
        <v/>
      </c>
      <c r="N14" s="451" t="str">
        <f t="shared" si="0"/>
        <v/>
      </c>
      <c r="O14" s="368"/>
      <c r="P14" s="457" t="str">
        <f t="shared" si="1"/>
        <v/>
      </c>
      <c r="Q14" s="369" t="str">
        <f t="shared" si="8"/>
        <v/>
      </c>
      <c r="R14" s="186" t="str">
        <f t="shared" si="9"/>
        <v/>
      </c>
      <c r="S14" s="358"/>
      <c r="T14" s="358"/>
      <c r="U14" s="358"/>
      <c r="V14" s="459" t="str">
        <f t="shared" si="2"/>
        <v/>
      </c>
      <c r="W14" s="369" t="str">
        <f t="shared" si="10"/>
        <v/>
      </c>
      <c r="X14" s="186" t="str">
        <f t="shared" si="11"/>
        <v/>
      </c>
      <c r="AB14" s="459" t="str">
        <f t="shared" si="3"/>
        <v/>
      </c>
      <c r="AC14" s="369" t="str">
        <f t="shared" si="12"/>
        <v/>
      </c>
      <c r="AD14" s="186" t="str">
        <f t="shared" si="13"/>
        <v/>
      </c>
    </row>
    <row r="15" spans="1:33" x14ac:dyDescent="0.55000000000000004">
      <c r="A15" s="509">
        <v>12</v>
      </c>
      <c r="B15" s="189"/>
      <c r="C15" s="3"/>
      <c r="D15" s="3"/>
      <c r="E15" s="3"/>
      <c r="F15" s="190"/>
      <c r="G15" s="190"/>
      <c r="I15" s="131" t="str">
        <f t="shared" si="4"/>
        <v/>
      </c>
      <c r="J15" s="460" t="str">
        <f t="shared" si="5"/>
        <v/>
      </c>
      <c r="K15" s="369" t="str">
        <f t="shared" si="6"/>
        <v/>
      </c>
      <c r="L15" s="358"/>
      <c r="M15" s="131" t="str">
        <f t="shared" si="7"/>
        <v/>
      </c>
      <c r="N15" s="451" t="str">
        <f t="shared" si="0"/>
        <v/>
      </c>
      <c r="O15" s="368"/>
      <c r="P15" s="457" t="str">
        <f t="shared" si="1"/>
        <v/>
      </c>
      <c r="Q15" s="369" t="str">
        <f t="shared" si="8"/>
        <v/>
      </c>
      <c r="R15" s="186" t="str">
        <f t="shared" si="9"/>
        <v/>
      </c>
      <c r="S15" s="358"/>
      <c r="T15" s="358"/>
      <c r="U15" s="358"/>
      <c r="V15" s="459" t="str">
        <f t="shared" si="2"/>
        <v/>
      </c>
      <c r="W15" s="369" t="str">
        <f t="shared" si="10"/>
        <v/>
      </c>
      <c r="X15" s="186" t="str">
        <f t="shared" si="11"/>
        <v/>
      </c>
      <c r="AB15" s="459" t="str">
        <f t="shared" si="3"/>
        <v/>
      </c>
      <c r="AC15" s="369" t="str">
        <f t="shared" si="12"/>
        <v/>
      </c>
      <c r="AD15" s="186" t="str">
        <f t="shared" si="13"/>
        <v/>
      </c>
    </row>
    <row r="16" spans="1:33" x14ac:dyDescent="0.55000000000000004">
      <c r="A16" s="509">
        <v>13</v>
      </c>
      <c r="B16" s="189"/>
      <c r="C16" s="3"/>
      <c r="D16" s="3"/>
      <c r="E16" s="3"/>
      <c r="F16" s="190"/>
      <c r="G16" s="190"/>
      <c r="I16" s="131" t="str">
        <f t="shared" si="4"/>
        <v/>
      </c>
      <c r="J16" s="460" t="str">
        <f t="shared" si="5"/>
        <v/>
      </c>
      <c r="K16" s="369" t="str">
        <f t="shared" si="6"/>
        <v/>
      </c>
      <c r="L16" s="358"/>
      <c r="M16" s="131" t="str">
        <f t="shared" si="7"/>
        <v/>
      </c>
      <c r="N16" s="451" t="str">
        <f t="shared" si="0"/>
        <v/>
      </c>
      <c r="O16" s="368"/>
      <c r="P16" s="457" t="str">
        <f t="shared" si="1"/>
        <v/>
      </c>
      <c r="Q16" s="369" t="str">
        <f t="shared" si="8"/>
        <v/>
      </c>
      <c r="R16" s="186" t="str">
        <f t="shared" si="9"/>
        <v/>
      </c>
      <c r="S16" s="358"/>
      <c r="T16" s="358"/>
      <c r="U16" s="358"/>
      <c r="V16" s="459" t="str">
        <f t="shared" si="2"/>
        <v/>
      </c>
      <c r="W16" s="369" t="str">
        <f t="shared" si="10"/>
        <v/>
      </c>
      <c r="X16" s="186" t="str">
        <f t="shared" si="11"/>
        <v/>
      </c>
      <c r="AB16" s="459" t="str">
        <f t="shared" si="3"/>
        <v/>
      </c>
      <c r="AC16" s="369" t="str">
        <f t="shared" si="12"/>
        <v/>
      </c>
      <c r="AD16" s="186" t="str">
        <f t="shared" si="13"/>
        <v/>
      </c>
    </row>
    <row r="17" spans="1:30" x14ac:dyDescent="0.55000000000000004">
      <c r="A17" s="509">
        <v>14</v>
      </c>
      <c r="B17" s="189"/>
      <c r="C17" s="3"/>
      <c r="D17" s="3"/>
      <c r="E17" s="3"/>
      <c r="F17" s="190"/>
      <c r="G17" s="190"/>
      <c r="I17" s="131" t="str">
        <f t="shared" si="4"/>
        <v/>
      </c>
      <c r="J17" s="460" t="str">
        <f t="shared" si="5"/>
        <v/>
      </c>
      <c r="K17" s="369" t="str">
        <f t="shared" si="6"/>
        <v/>
      </c>
      <c r="L17" s="358"/>
      <c r="M17" s="131" t="str">
        <f t="shared" si="7"/>
        <v/>
      </c>
      <c r="N17" s="451" t="str">
        <f t="shared" si="0"/>
        <v/>
      </c>
      <c r="O17" s="368"/>
      <c r="P17" s="457" t="str">
        <f t="shared" si="1"/>
        <v/>
      </c>
      <c r="Q17" s="369" t="str">
        <f t="shared" si="8"/>
        <v/>
      </c>
      <c r="R17" s="186" t="str">
        <f t="shared" ref="R17:R53" si="14">IF(P17="","",T$2-T$3-P17)</f>
        <v/>
      </c>
      <c r="S17" s="358"/>
      <c r="T17" s="358"/>
      <c r="U17" s="358"/>
      <c r="V17" s="459" t="str">
        <f t="shared" si="2"/>
        <v/>
      </c>
      <c r="W17" s="369" t="str">
        <f t="shared" si="10"/>
        <v/>
      </c>
      <c r="X17" s="186" t="str">
        <f t="shared" ref="X17:X53" si="15">IF(V17="","",Z$2-Z$3-V17)</f>
        <v/>
      </c>
      <c r="AB17" s="459" t="str">
        <f t="shared" si="3"/>
        <v/>
      </c>
      <c r="AC17" s="369" t="str">
        <f t="shared" si="12"/>
        <v/>
      </c>
      <c r="AD17" s="186" t="str">
        <f t="shared" ref="AD17:AD53" si="16">IF(AB17="","",AF$2-AF$3-AB17)</f>
        <v/>
      </c>
    </row>
    <row r="18" spans="1:30" x14ac:dyDescent="0.55000000000000004">
      <c r="A18" s="509">
        <v>15</v>
      </c>
      <c r="B18" s="189"/>
      <c r="C18" s="3"/>
      <c r="D18" s="3"/>
      <c r="E18" s="3"/>
      <c r="F18" s="190"/>
      <c r="G18" s="190"/>
      <c r="I18" s="131" t="str">
        <f t="shared" si="4"/>
        <v/>
      </c>
      <c r="J18" s="460" t="str">
        <f t="shared" si="5"/>
        <v/>
      </c>
      <c r="K18" s="369" t="str">
        <f t="shared" si="6"/>
        <v/>
      </c>
      <c r="L18" s="358"/>
      <c r="M18" s="131" t="str">
        <f t="shared" si="7"/>
        <v/>
      </c>
      <c r="N18" s="451" t="str">
        <f t="shared" si="0"/>
        <v/>
      </c>
      <c r="O18" s="368"/>
      <c r="P18" s="457" t="str">
        <f t="shared" si="1"/>
        <v/>
      </c>
      <c r="Q18" s="369" t="str">
        <f t="shared" si="8"/>
        <v/>
      </c>
      <c r="R18" s="186" t="str">
        <f t="shared" si="14"/>
        <v/>
      </c>
      <c r="S18" s="358"/>
      <c r="T18" s="358"/>
      <c r="U18" s="358"/>
      <c r="V18" s="459" t="str">
        <f t="shared" si="2"/>
        <v/>
      </c>
      <c r="W18" s="369" t="str">
        <f t="shared" si="10"/>
        <v/>
      </c>
      <c r="X18" s="186" t="str">
        <f t="shared" si="15"/>
        <v/>
      </c>
      <c r="AB18" s="459" t="str">
        <f t="shared" si="3"/>
        <v/>
      </c>
      <c r="AC18" s="369" t="str">
        <f t="shared" si="12"/>
        <v/>
      </c>
      <c r="AD18" s="186" t="str">
        <f t="shared" si="16"/>
        <v/>
      </c>
    </row>
    <row r="19" spans="1:30" x14ac:dyDescent="0.55000000000000004">
      <c r="A19" s="509">
        <v>16</v>
      </c>
      <c r="B19" s="189"/>
      <c r="C19" s="3"/>
      <c r="D19" s="3"/>
      <c r="E19" s="3"/>
      <c r="F19" s="190"/>
      <c r="G19" s="190"/>
      <c r="I19" s="131" t="str">
        <f t="shared" si="4"/>
        <v/>
      </c>
      <c r="J19" s="460" t="str">
        <f t="shared" si="5"/>
        <v/>
      </c>
      <c r="K19" s="369" t="str">
        <f t="shared" si="6"/>
        <v/>
      </c>
      <c r="L19" s="358"/>
      <c r="M19" s="131" t="str">
        <f t="shared" si="7"/>
        <v/>
      </c>
      <c r="N19" s="451" t="str">
        <f t="shared" si="0"/>
        <v/>
      </c>
      <c r="O19" s="368"/>
      <c r="P19" s="457" t="str">
        <f t="shared" si="1"/>
        <v/>
      </c>
      <c r="Q19" s="369" t="str">
        <f t="shared" si="8"/>
        <v/>
      </c>
      <c r="R19" s="186" t="str">
        <f t="shared" si="14"/>
        <v/>
      </c>
      <c r="S19" s="358"/>
      <c r="T19" s="358"/>
      <c r="U19" s="358"/>
      <c r="V19" s="459" t="str">
        <f t="shared" si="2"/>
        <v/>
      </c>
      <c r="W19" s="369" t="str">
        <f t="shared" si="10"/>
        <v/>
      </c>
      <c r="X19" s="186" t="str">
        <f t="shared" si="15"/>
        <v/>
      </c>
      <c r="AB19" s="459" t="str">
        <f t="shared" si="3"/>
        <v/>
      </c>
      <c r="AC19" s="369" t="str">
        <f t="shared" si="12"/>
        <v/>
      </c>
      <c r="AD19" s="186" t="str">
        <f t="shared" si="16"/>
        <v/>
      </c>
    </row>
    <row r="20" spans="1:30" x14ac:dyDescent="0.55000000000000004">
      <c r="A20" s="509">
        <v>17</v>
      </c>
      <c r="B20" s="189"/>
      <c r="C20" s="3"/>
      <c r="D20" s="3"/>
      <c r="E20" s="3"/>
      <c r="F20" s="190"/>
      <c r="G20" s="190"/>
      <c r="I20" s="131" t="str">
        <f t="shared" si="4"/>
        <v/>
      </c>
      <c r="J20" s="460" t="str">
        <f t="shared" si="5"/>
        <v/>
      </c>
      <c r="K20" s="369" t="str">
        <f t="shared" si="6"/>
        <v/>
      </c>
      <c r="L20" s="358"/>
      <c r="M20" s="131" t="str">
        <f t="shared" si="7"/>
        <v/>
      </c>
      <c r="N20" s="451" t="str">
        <f t="shared" si="0"/>
        <v/>
      </c>
      <c r="O20" s="368"/>
      <c r="P20" s="457" t="str">
        <f t="shared" si="1"/>
        <v/>
      </c>
      <c r="Q20" s="369" t="str">
        <f t="shared" si="8"/>
        <v/>
      </c>
      <c r="R20" s="186" t="str">
        <f t="shared" si="14"/>
        <v/>
      </c>
      <c r="S20" s="358"/>
      <c r="T20" s="358"/>
      <c r="U20" s="358"/>
      <c r="V20" s="459" t="str">
        <f t="shared" si="2"/>
        <v/>
      </c>
      <c r="W20" s="369" t="str">
        <f t="shared" si="10"/>
        <v/>
      </c>
      <c r="X20" s="186" t="str">
        <f t="shared" si="15"/>
        <v/>
      </c>
      <c r="AB20" s="459" t="str">
        <f t="shared" si="3"/>
        <v/>
      </c>
      <c r="AC20" s="369" t="str">
        <f t="shared" si="12"/>
        <v/>
      </c>
      <c r="AD20" s="186" t="str">
        <f t="shared" si="16"/>
        <v/>
      </c>
    </row>
    <row r="21" spans="1:30" x14ac:dyDescent="0.55000000000000004">
      <c r="A21" s="509">
        <v>18</v>
      </c>
      <c r="B21" s="189"/>
      <c r="C21" s="3"/>
      <c r="D21" s="3"/>
      <c r="E21" s="3"/>
      <c r="F21" s="190"/>
      <c r="G21" s="190"/>
      <c r="I21" s="131" t="str">
        <f t="shared" si="4"/>
        <v/>
      </c>
      <c r="J21" s="460" t="str">
        <f t="shared" si="5"/>
        <v/>
      </c>
      <c r="K21" s="369" t="str">
        <f t="shared" si="6"/>
        <v/>
      </c>
      <c r="L21" s="358"/>
      <c r="M21" s="131" t="str">
        <f t="shared" si="7"/>
        <v/>
      </c>
      <c r="N21" s="451" t="str">
        <f t="shared" si="0"/>
        <v/>
      </c>
      <c r="O21" s="368"/>
      <c r="P21" s="457" t="str">
        <f t="shared" si="1"/>
        <v/>
      </c>
      <c r="Q21" s="369" t="str">
        <f t="shared" si="8"/>
        <v/>
      </c>
      <c r="R21" s="186" t="str">
        <f t="shared" si="14"/>
        <v/>
      </c>
      <c r="S21" s="358"/>
      <c r="T21" s="358"/>
      <c r="U21" s="358"/>
      <c r="V21" s="459" t="str">
        <f t="shared" si="2"/>
        <v/>
      </c>
      <c r="W21" s="369" t="str">
        <f t="shared" si="10"/>
        <v/>
      </c>
      <c r="X21" s="186" t="str">
        <f t="shared" si="15"/>
        <v/>
      </c>
      <c r="AB21" s="459" t="str">
        <f t="shared" si="3"/>
        <v/>
      </c>
      <c r="AC21" s="369" t="str">
        <f t="shared" si="12"/>
        <v/>
      </c>
      <c r="AD21" s="186" t="str">
        <f t="shared" si="16"/>
        <v/>
      </c>
    </row>
    <row r="22" spans="1:30" x14ac:dyDescent="0.55000000000000004">
      <c r="A22" s="509">
        <v>19</v>
      </c>
      <c r="B22" s="189"/>
      <c r="C22" s="3"/>
      <c r="D22" s="3"/>
      <c r="E22" s="3"/>
      <c r="F22" s="190"/>
      <c r="G22" s="190"/>
      <c r="I22" s="131" t="str">
        <f t="shared" si="4"/>
        <v/>
      </c>
      <c r="J22" s="460" t="str">
        <f t="shared" si="5"/>
        <v/>
      </c>
      <c r="K22" s="369" t="str">
        <f t="shared" si="6"/>
        <v/>
      </c>
      <c r="L22" s="358"/>
      <c r="M22" s="131" t="str">
        <f t="shared" si="7"/>
        <v/>
      </c>
      <c r="N22" s="451" t="str">
        <f t="shared" si="0"/>
        <v/>
      </c>
      <c r="O22" s="368"/>
      <c r="P22" s="457" t="str">
        <f t="shared" si="1"/>
        <v/>
      </c>
      <c r="Q22" s="369" t="str">
        <f t="shared" si="8"/>
        <v/>
      </c>
      <c r="R22" s="186" t="str">
        <f t="shared" si="14"/>
        <v/>
      </c>
      <c r="S22" s="358"/>
      <c r="T22" s="358"/>
      <c r="U22" s="358"/>
      <c r="V22" s="459" t="str">
        <f t="shared" si="2"/>
        <v/>
      </c>
      <c r="W22" s="369" t="str">
        <f t="shared" si="10"/>
        <v/>
      </c>
      <c r="X22" s="186" t="str">
        <f t="shared" si="15"/>
        <v/>
      </c>
      <c r="AB22" s="459" t="str">
        <f t="shared" si="3"/>
        <v/>
      </c>
      <c r="AC22" s="369" t="str">
        <f t="shared" si="12"/>
        <v/>
      </c>
      <c r="AD22" s="186" t="str">
        <f t="shared" si="16"/>
        <v/>
      </c>
    </row>
    <row r="23" spans="1:30" x14ac:dyDescent="0.55000000000000004">
      <c r="A23" s="509">
        <v>20</v>
      </c>
      <c r="B23" s="189"/>
      <c r="C23" s="3"/>
      <c r="D23" s="3"/>
      <c r="E23" s="3"/>
      <c r="F23" s="190"/>
      <c r="G23" s="190"/>
      <c r="I23" s="131" t="str">
        <f t="shared" si="4"/>
        <v/>
      </c>
      <c r="J23" s="460" t="str">
        <f t="shared" si="5"/>
        <v/>
      </c>
      <c r="K23" s="369" t="str">
        <f t="shared" si="6"/>
        <v/>
      </c>
      <c r="L23" s="358"/>
      <c r="M23" s="131" t="str">
        <f t="shared" si="7"/>
        <v/>
      </c>
      <c r="N23" s="451" t="str">
        <f t="shared" si="0"/>
        <v/>
      </c>
      <c r="O23" s="368"/>
      <c r="P23" s="457" t="str">
        <f t="shared" si="1"/>
        <v/>
      </c>
      <c r="Q23" s="369" t="str">
        <f t="shared" si="8"/>
        <v/>
      </c>
      <c r="R23" s="186" t="str">
        <f t="shared" si="14"/>
        <v/>
      </c>
      <c r="S23" s="358"/>
      <c r="T23" s="358"/>
      <c r="U23" s="358"/>
      <c r="V23" s="459" t="str">
        <f t="shared" si="2"/>
        <v/>
      </c>
      <c r="W23" s="369" t="str">
        <f t="shared" si="10"/>
        <v/>
      </c>
      <c r="X23" s="186" t="str">
        <f t="shared" si="15"/>
        <v/>
      </c>
      <c r="AB23" s="459" t="str">
        <f t="shared" si="3"/>
        <v/>
      </c>
      <c r="AC23" s="369" t="str">
        <f t="shared" si="12"/>
        <v/>
      </c>
      <c r="AD23" s="186" t="str">
        <f t="shared" si="16"/>
        <v/>
      </c>
    </row>
    <row r="24" spans="1:30" x14ac:dyDescent="0.55000000000000004">
      <c r="A24" s="509">
        <v>21</v>
      </c>
      <c r="B24" s="189"/>
      <c r="C24" s="3"/>
      <c r="D24" s="3"/>
      <c r="E24" s="3"/>
      <c r="F24" s="190"/>
      <c r="G24" s="190"/>
      <c r="I24" s="131" t="str">
        <f t="shared" si="4"/>
        <v/>
      </c>
      <c r="J24" s="460" t="str">
        <f t="shared" si="5"/>
        <v/>
      </c>
      <c r="K24" s="369" t="str">
        <f t="shared" si="6"/>
        <v/>
      </c>
      <c r="L24" s="358"/>
      <c r="M24" s="131" t="str">
        <f t="shared" si="7"/>
        <v/>
      </c>
      <c r="N24" s="451" t="str">
        <f t="shared" si="0"/>
        <v/>
      </c>
      <c r="O24" s="368"/>
      <c r="P24" s="457" t="str">
        <f t="shared" si="1"/>
        <v/>
      </c>
      <c r="Q24" s="369" t="str">
        <f t="shared" si="8"/>
        <v/>
      </c>
      <c r="R24" s="186" t="str">
        <f t="shared" si="14"/>
        <v/>
      </c>
      <c r="S24" s="358"/>
      <c r="T24" s="358"/>
      <c r="U24" s="358"/>
      <c r="V24" s="459" t="str">
        <f t="shared" si="2"/>
        <v/>
      </c>
      <c r="W24" s="369" t="str">
        <f t="shared" si="10"/>
        <v/>
      </c>
      <c r="X24" s="186" t="str">
        <f t="shared" si="15"/>
        <v/>
      </c>
      <c r="AB24" s="459" t="str">
        <f t="shared" si="3"/>
        <v/>
      </c>
      <c r="AC24" s="369" t="str">
        <f t="shared" si="12"/>
        <v/>
      </c>
      <c r="AD24" s="186" t="str">
        <f t="shared" si="16"/>
        <v/>
      </c>
    </row>
    <row r="25" spans="1:30" x14ac:dyDescent="0.55000000000000004">
      <c r="A25" s="509">
        <v>22</v>
      </c>
      <c r="B25" s="189"/>
      <c r="C25" s="3"/>
      <c r="D25" s="3"/>
      <c r="E25" s="3"/>
      <c r="F25" s="190"/>
      <c r="G25" s="190"/>
      <c r="I25" s="131" t="str">
        <f t="shared" si="4"/>
        <v/>
      </c>
      <c r="J25" s="460" t="str">
        <f t="shared" si="5"/>
        <v/>
      </c>
      <c r="K25" s="369" t="str">
        <f t="shared" si="6"/>
        <v/>
      </c>
      <c r="L25" s="358"/>
      <c r="M25" s="131" t="str">
        <f t="shared" si="7"/>
        <v/>
      </c>
      <c r="N25" s="451" t="str">
        <f t="shared" si="0"/>
        <v/>
      </c>
      <c r="O25" s="368"/>
      <c r="P25" s="457" t="str">
        <f t="shared" si="1"/>
        <v/>
      </c>
      <c r="Q25" s="369" t="str">
        <f t="shared" si="8"/>
        <v/>
      </c>
      <c r="R25" s="186" t="str">
        <f t="shared" si="14"/>
        <v/>
      </c>
      <c r="S25" s="358"/>
      <c r="T25" s="358"/>
      <c r="U25" s="358"/>
      <c r="V25" s="459" t="str">
        <f t="shared" si="2"/>
        <v/>
      </c>
      <c r="W25" s="369" t="str">
        <f t="shared" si="10"/>
        <v/>
      </c>
      <c r="X25" s="186" t="str">
        <f t="shared" si="15"/>
        <v/>
      </c>
      <c r="AB25" s="459" t="str">
        <f t="shared" si="3"/>
        <v/>
      </c>
      <c r="AC25" s="369" t="str">
        <f t="shared" si="12"/>
        <v/>
      </c>
      <c r="AD25" s="186" t="str">
        <f t="shared" si="16"/>
        <v/>
      </c>
    </row>
    <row r="26" spans="1:30" x14ac:dyDescent="0.55000000000000004">
      <c r="A26" s="509">
        <v>23</v>
      </c>
      <c r="B26" s="189"/>
      <c r="C26" s="3"/>
      <c r="D26" s="3"/>
      <c r="E26" s="3"/>
      <c r="F26" s="190"/>
      <c r="G26" s="190"/>
      <c r="I26" s="131" t="str">
        <f t="shared" si="4"/>
        <v/>
      </c>
      <c r="J26" s="460" t="str">
        <f t="shared" si="5"/>
        <v/>
      </c>
      <c r="K26" s="369" t="str">
        <f t="shared" si="6"/>
        <v/>
      </c>
      <c r="L26" s="358"/>
      <c r="M26" s="131" t="str">
        <f t="shared" si="7"/>
        <v/>
      </c>
      <c r="N26" s="451" t="str">
        <f t="shared" si="0"/>
        <v/>
      </c>
      <c r="O26" s="368"/>
      <c r="P26" s="457" t="str">
        <f t="shared" si="1"/>
        <v/>
      </c>
      <c r="Q26" s="369" t="str">
        <f t="shared" si="8"/>
        <v/>
      </c>
      <c r="R26" s="186" t="str">
        <f t="shared" si="14"/>
        <v/>
      </c>
      <c r="S26" s="358"/>
      <c r="T26" s="358"/>
      <c r="U26" s="358"/>
      <c r="V26" s="459" t="str">
        <f t="shared" si="2"/>
        <v/>
      </c>
      <c r="W26" s="369" t="str">
        <f t="shared" si="10"/>
        <v/>
      </c>
      <c r="X26" s="186" t="str">
        <f t="shared" si="15"/>
        <v/>
      </c>
      <c r="AB26" s="459" t="str">
        <f t="shared" si="3"/>
        <v/>
      </c>
      <c r="AC26" s="369" t="str">
        <f t="shared" si="12"/>
        <v/>
      </c>
      <c r="AD26" s="186" t="str">
        <f t="shared" si="16"/>
        <v/>
      </c>
    </row>
    <row r="27" spans="1:30" x14ac:dyDescent="0.55000000000000004">
      <c r="A27" s="509">
        <v>24</v>
      </c>
      <c r="B27" s="189"/>
      <c r="C27" s="3"/>
      <c r="D27" s="3"/>
      <c r="E27" s="3"/>
      <c r="F27" s="190"/>
      <c r="G27" s="190"/>
      <c r="I27" s="131" t="str">
        <f t="shared" si="4"/>
        <v/>
      </c>
      <c r="J27" s="460" t="str">
        <f t="shared" si="5"/>
        <v/>
      </c>
      <c r="K27" s="369" t="str">
        <f t="shared" si="6"/>
        <v/>
      </c>
      <c r="L27" s="358"/>
      <c r="M27" s="131" t="str">
        <f t="shared" si="7"/>
        <v/>
      </c>
      <c r="N27" s="451" t="str">
        <f t="shared" si="0"/>
        <v/>
      </c>
      <c r="O27" s="368"/>
      <c r="P27" s="457" t="str">
        <f t="shared" si="1"/>
        <v/>
      </c>
      <c r="Q27" s="369" t="str">
        <f t="shared" si="8"/>
        <v/>
      </c>
      <c r="R27" s="186" t="str">
        <f t="shared" si="14"/>
        <v/>
      </c>
      <c r="S27" s="358"/>
      <c r="T27" s="358"/>
      <c r="U27" s="358"/>
      <c r="V27" s="459" t="str">
        <f t="shared" si="2"/>
        <v/>
      </c>
      <c r="W27" s="369" t="str">
        <f t="shared" si="10"/>
        <v/>
      </c>
      <c r="X27" s="186" t="str">
        <f t="shared" si="15"/>
        <v/>
      </c>
      <c r="AB27" s="459" t="str">
        <f t="shared" si="3"/>
        <v/>
      </c>
      <c r="AC27" s="369" t="str">
        <f t="shared" si="12"/>
        <v/>
      </c>
      <c r="AD27" s="186" t="str">
        <f t="shared" si="16"/>
        <v/>
      </c>
    </row>
    <row r="28" spans="1:30" x14ac:dyDescent="0.55000000000000004">
      <c r="A28" s="509">
        <v>25</v>
      </c>
      <c r="B28" s="189"/>
      <c r="C28" s="3"/>
      <c r="D28" s="3"/>
      <c r="E28" s="3"/>
      <c r="F28" s="190"/>
      <c r="G28" s="190"/>
      <c r="I28" s="131" t="str">
        <f t="shared" si="4"/>
        <v/>
      </c>
      <c r="J28" s="460" t="str">
        <f t="shared" si="5"/>
        <v/>
      </c>
      <c r="K28" s="369" t="str">
        <f t="shared" si="6"/>
        <v/>
      </c>
      <c r="L28" s="358"/>
      <c r="M28" s="131" t="str">
        <f t="shared" si="7"/>
        <v/>
      </c>
      <c r="N28" s="451" t="str">
        <f t="shared" si="0"/>
        <v/>
      </c>
      <c r="O28" s="368"/>
      <c r="P28" s="457" t="str">
        <f t="shared" si="1"/>
        <v/>
      </c>
      <c r="Q28" s="369" t="str">
        <f t="shared" si="8"/>
        <v/>
      </c>
      <c r="R28" s="186" t="str">
        <f t="shared" si="14"/>
        <v/>
      </c>
      <c r="S28" s="358"/>
      <c r="T28" s="358"/>
      <c r="U28" s="358"/>
      <c r="V28" s="459" t="str">
        <f t="shared" si="2"/>
        <v/>
      </c>
      <c r="W28" s="369" t="str">
        <f t="shared" si="10"/>
        <v/>
      </c>
      <c r="X28" s="186" t="str">
        <f t="shared" si="15"/>
        <v/>
      </c>
      <c r="AB28" s="459" t="str">
        <f t="shared" si="3"/>
        <v/>
      </c>
      <c r="AC28" s="369" t="str">
        <f t="shared" si="12"/>
        <v/>
      </c>
      <c r="AD28" s="186" t="str">
        <f t="shared" si="16"/>
        <v/>
      </c>
    </row>
    <row r="29" spans="1:30" x14ac:dyDescent="0.55000000000000004">
      <c r="A29" s="509">
        <v>26</v>
      </c>
      <c r="B29" s="189"/>
      <c r="C29" s="3"/>
      <c r="D29" s="3"/>
      <c r="E29" s="3"/>
      <c r="F29" s="190"/>
      <c r="G29" s="190"/>
      <c r="I29" s="131" t="str">
        <f t="shared" si="4"/>
        <v/>
      </c>
      <c r="J29" s="460" t="str">
        <f t="shared" si="5"/>
        <v/>
      </c>
      <c r="K29" s="369" t="str">
        <f t="shared" si="6"/>
        <v/>
      </c>
      <c r="L29" s="358"/>
      <c r="M29" s="131" t="str">
        <f t="shared" si="7"/>
        <v/>
      </c>
      <c r="N29" s="451" t="str">
        <f t="shared" si="0"/>
        <v/>
      </c>
      <c r="O29" s="368"/>
      <c r="P29" s="457" t="str">
        <f t="shared" si="1"/>
        <v/>
      </c>
      <c r="Q29" s="369" t="str">
        <f t="shared" si="8"/>
        <v/>
      </c>
      <c r="R29" s="186" t="str">
        <f t="shared" si="14"/>
        <v/>
      </c>
      <c r="S29" s="358"/>
      <c r="T29" s="358"/>
      <c r="U29" s="358"/>
      <c r="V29" s="459" t="str">
        <f t="shared" si="2"/>
        <v/>
      </c>
      <c r="W29" s="369" t="str">
        <f t="shared" si="10"/>
        <v/>
      </c>
      <c r="X29" s="186" t="str">
        <f t="shared" si="15"/>
        <v/>
      </c>
      <c r="AB29" s="459" t="str">
        <f t="shared" si="3"/>
        <v/>
      </c>
      <c r="AC29" s="369" t="str">
        <f t="shared" si="12"/>
        <v/>
      </c>
      <c r="AD29" s="186" t="str">
        <f t="shared" si="16"/>
        <v/>
      </c>
    </row>
    <row r="30" spans="1:30" x14ac:dyDescent="0.55000000000000004">
      <c r="A30" s="509">
        <v>27</v>
      </c>
      <c r="B30" s="189"/>
      <c r="C30" s="3"/>
      <c r="D30" s="3"/>
      <c r="E30" s="3"/>
      <c r="F30" s="190"/>
      <c r="G30" s="190"/>
      <c r="I30" s="131" t="str">
        <f t="shared" si="4"/>
        <v/>
      </c>
      <c r="J30" s="460" t="str">
        <f t="shared" si="5"/>
        <v/>
      </c>
      <c r="K30" s="369" t="str">
        <f t="shared" si="6"/>
        <v/>
      </c>
      <c r="L30" s="358"/>
      <c r="M30" s="131" t="str">
        <f t="shared" si="7"/>
        <v/>
      </c>
      <c r="N30" s="451" t="str">
        <f t="shared" si="0"/>
        <v/>
      </c>
      <c r="O30" s="368"/>
      <c r="P30" s="457" t="str">
        <f t="shared" si="1"/>
        <v/>
      </c>
      <c r="Q30" s="369" t="str">
        <f t="shared" si="8"/>
        <v/>
      </c>
      <c r="R30" s="186" t="str">
        <f t="shared" si="14"/>
        <v/>
      </c>
      <c r="S30" s="358"/>
      <c r="T30" s="358"/>
      <c r="U30" s="358"/>
      <c r="V30" s="459" t="str">
        <f t="shared" si="2"/>
        <v/>
      </c>
      <c r="W30" s="369" t="str">
        <f t="shared" si="10"/>
        <v/>
      </c>
      <c r="X30" s="186" t="str">
        <f t="shared" si="15"/>
        <v/>
      </c>
      <c r="AB30" s="459" t="str">
        <f t="shared" si="3"/>
        <v/>
      </c>
      <c r="AC30" s="369" t="str">
        <f t="shared" si="12"/>
        <v/>
      </c>
      <c r="AD30" s="186" t="str">
        <f t="shared" si="16"/>
        <v/>
      </c>
    </row>
    <row r="31" spans="1:30" x14ac:dyDescent="0.55000000000000004">
      <c r="A31" s="509">
        <v>28</v>
      </c>
      <c r="B31" s="189"/>
      <c r="C31" s="3"/>
      <c r="D31" s="3"/>
      <c r="E31" s="3"/>
      <c r="F31" s="190"/>
      <c r="G31" s="190"/>
      <c r="I31" s="131" t="str">
        <f t="shared" si="4"/>
        <v/>
      </c>
      <c r="J31" s="460" t="str">
        <f t="shared" si="5"/>
        <v/>
      </c>
      <c r="K31" s="369" t="str">
        <f t="shared" si="6"/>
        <v/>
      </c>
      <c r="L31" s="358"/>
      <c r="M31" s="131" t="str">
        <f t="shared" si="7"/>
        <v/>
      </c>
      <c r="N31" s="451" t="str">
        <f t="shared" si="0"/>
        <v/>
      </c>
      <c r="O31" s="368"/>
      <c r="P31" s="457" t="str">
        <f t="shared" si="1"/>
        <v/>
      </c>
      <c r="Q31" s="369" t="str">
        <f t="shared" si="8"/>
        <v/>
      </c>
      <c r="R31" s="186" t="str">
        <f t="shared" si="14"/>
        <v/>
      </c>
      <c r="S31" s="358"/>
      <c r="T31" s="358"/>
      <c r="U31" s="358"/>
      <c r="V31" s="459" t="str">
        <f t="shared" si="2"/>
        <v/>
      </c>
      <c r="W31" s="369" t="str">
        <f t="shared" si="10"/>
        <v/>
      </c>
      <c r="X31" s="186" t="str">
        <f t="shared" si="15"/>
        <v/>
      </c>
      <c r="AB31" s="459" t="str">
        <f t="shared" si="3"/>
        <v/>
      </c>
      <c r="AC31" s="369" t="str">
        <f t="shared" si="12"/>
        <v/>
      </c>
      <c r="AD31" s="186" t="str">
        <f t="shared" si="16"/>
        <v/>
      </c>
    </row>
    <row r="32" spans="1:30" x14ac:dyDescent="0.55000000000000004">
      <c r="A32" s="509">
        <v>29</v>
      </c>
      <c r="B32" s="189"/>
      <c r="C32" s="3"/>
      <c r="D32" s="3"/>
      <c r="E32" s="3"/>
      <c r="F32" s="190"/>
      <c r="G32" s="190"/>
      <c r="I32" s="131" t="str">
        <f t="shared" si="4"/>
        <v/>
      </c>
      <c r="J32" s="460" t="str">
        <f t="shared" si="5"/>
        <v/>
      </c>
      <c r="K32" s="369" t="str">
        <f t="shared" si="6"/>
        <v/>
      </c>
      <c r="L32" s="358"/>
      <c r="M32" s="131" t="str">
        <f t="shared" si="7"/>
        <v/>
      </c>
      <c r="N32" s="451" t="str">
        <f t="shared" si="0"/>
        <v/>
      </c>
      <c r="O32" s="368"/>
      <c r="P32" s="457" t="str">
        <f t="shared" si="1"/>
        <v/>
      </c>
      <c r="Q32" s="369" t="str">
        <f t="shared" si="8"/>
        <v/>
      </c>
      <c r="R32" s="186" t="str">
        <f t="shared" si="14"/>
        <v/>
      </c>
      <c r="S32" s="358"/>
      <c r="T32" s="358"/>
      <c r="U32" s="358"/>
      <c r="V32" s="459" t="str">
        <f t="shared" si="2"/>
        <v/>
      </c>
      <c r="W32" s="369" t="str">
        <f t="shared" si="10"/>
        <v/>
      </c>
      <c r="X32" s="186" t="str">
        <f t="shared" si="15"/>
        <v/>
      </c>
      <c r="AB32" s="459" t="str">
        <f t="shared" si="3"/>
        <v/>
      </c>
      <c r="AC32" s="369" t="str">
        <f t="shared" si="12"/>
        <v/>
      </c>
      <c r="AD32" s="186" t="str">
        <f t="shared" si="16"/>
        <v/>
      </c>
    </row>
    <row r="33" spans="1:30" s="358" customFormat="1" x14ac:dyDescent="0.55000000000000004">
      <c r="A33" s="509">
        <v>30</v>
      </c>
      <c r="B33" s="189"/>
      <c r="C33" s="360"/>
      <c r="D33" s="360"/>
      <c r="E33" s="360"/>
      <c r="F33" s="190"/>
      <c r="G33" s="190"/>
      <c r="I33" s="131" t="str">
        <f t="shared" si="4"/>
        <v/>
      </c>
      <c r="J33" s="460" t="str">
        <f t="shared" si="5"/>
        <v/>
      </c>
      <c r="K33" s="369" t="str">
        <f t="shared" si="6"/>
        <v/>
      </c>
      <c r="M33" s="131" t="str">
        <f t="shared" si="7"/>
        <v/>
      </c>
      <c r="N33" s="451" t="str">
        <f t="shared" si="0"/>
        <v/>
      </c>
      <c r="O33" s="368"/>
      <c r="P33" s="457" t="str">
        <f t="shared" si="1"/>
        <v/>
      </c>
      <c r="Q33" s="369" t="str">
        <f t="shared" si="8"/>
        <v/>
      </c>
      <c r="R33" s="186" t="str">
        <f t="shared" si="14"/>
        <v/>
      </c>
      <c r="V33" s="459" t="str">
        <f t="shared" si="2"/>
        <v/>
      </c>
      <c r="W33" s="369" t="str">
        <f t="shared" si="10"/>
        <v/>
      </c>
      <c r="X33" s="186" t="str">
        <f t="shared" si="15"/>
        <v/>
      </c>
      <c r="AB33" s="459" t="str">
        <f t="shared" si="3"/>
        <v/>
      </c>
      <c r="AC33" s="369" t="str">
        <f t="shared" si="12"/>
        <v/>
      </c>
      <c r="AD33" s="186" t="str">
        <f t="shared" si="16"/>
        <v/>
      </c>
    </row>
    <row r="34" spans="1:30" s="358" customFormat="1" x14ac:dyDescent="0.55000000000000004">
      <c r="A34" s="509">
        <v>31</v>
      </c>
      <c r="B34" s="189"/>
      <c r="C34" s="360"/>
      <c r="D34" s="360"/>
      <c r="E34" s="360"/>
      <c r="F34" s="190"/>
      <c r="G34" s="190"/>
      <c r="I34" s="131" t="str">
        <f t="shared" si="4"/>
        <v/>
      </c>
      <c r="J34" s="460" t="str">
        <f t="shared" si="5"/>
        <v/>
      </c>
      <c r="K34" s="369" t="str">
        <f t="shared" si="6"/>
        <v/>
      </c>
      <c r="M34" s="131" t="str">
        <f t="shared" si="7"/>
        <v/>
      </c>
      <c r="N34" s="451" t="str">
        <f t="shared" si="0"/>
        <v/>
      </c>
      <c r="O34" s="368"/>
      <c r="P34" s="457" t="str">
        <f t="shared" si="1"/>
        <v/>
      </c>
      <c r="Q34" s="369" t="str">
        <f t="shared" si="8"/>
        <v/>
      </c>
      <c r="R34" s="186" t="str">
        <f t="shared" si="14"/>
        <v/>
      </c>
      <c r="V34" s="459" t="str">
        <f t="shared" si="2"/>
        <v/>
      </c>
      <c r="W34" s="369" t="str">
        <f t="shared" si="10"/>
        <v/>
      </c>
      <c r="X34" s="186" t="str">
        <f t="shared" si="15"/>
        <v/>
      </c>
      <c r="AB34" s="459" t="str">
        <f t="shared" si="3"/>
        <v/>
      </c>
      <c r="AC34" s="369" t="str">
        <f t="shared" si="12"/>
        <v/>
      </c>
      <c r="AD34" s="186" t="str">
        <f t="shared" si="16"/>
        <v/>
      </c>
    </row>
    <row r="35" spans="1:30" s="358" customFormat="1" x14ac:dyDescent="0.55000000000000004">
      <c r="A35" s="509">
        <v>32</v>
      </c>
      <c r="B35" s="189"/>
      <c r="C35" s="360"/>
      <c r="D35" s="360"/>
      <c r="E35" s="360"/>
      <c r="F35" s="190"/>
      <c r="G35" s="190"/>
      <c r="I35" s="131" t="str">
        <f t="shared" si="4"/>
        <v/>
      </c>
      <c r="J35" s="460" t="str">
        <f t="shared" si="5"/>
        <v/>
      </c>
      <c r="K35" s="369" t="str">
        <f t="shared" si="6"/>
        <v/>
      </c>
      <c r="M35" s="131" t="str">
        <f t="shared" si="7"/>
        <v/>
      </c>
      <c r="N35" s="451" t="str">
        <f t="shared" si="0"/>
        <v/>
      </c>
      <c r="O35" s="368"/>
      <c r="P35" s="457" t="str">
        <f t="shared" si="1"/>
        <v/>
      </c>
      <c r="Q35" s="369" t="str">
        <f t="shared" si="8"/>
        <v/>
      </c>
      <c r="R35" s="186" t="str">
        <f t="shared" si="14"/>
        <v/>
      </c>
      <c r="V35" s="459" t="str">
        <f t="shared" si="2"/>
        <v/>
      </c>
      <c r="W35" s="369" t="str">
        <f t="shared" si="10"/>
        <v/>
      </c>
      <c r="X35" s="186" t="str">
        <f t="shared" si="15"/>
        <v/>
      </c>
      <c r="AB35" s="459" t="str">
        <f t="shared" si="3"/>
        <v/>
      </c>
      <c r="AC35" s="369" t="str">
        <f t="shared" si="12"/>
        <v/>
      </c>
      <c r="AD35" s="186" t="str">
        <f t="shared" si="16"/>
        <v/>
      </c>
    </row>
    <row r="36" spans="1:30" s="358" customFormat="1" x14ac:dyDescent="0.55000000000000004">
      <c r="A36" s="509">
        <v>33</v>
      </c>
      <c r="B36" s="189"/>
      <c r="C36" s="360"/>
      <c r="D36" s="360"/>
      <c r="E36" s="360"/>
      <c r="F36" s="190"/>
      <c r="G36" s="190"/>
      <c r="I36" s="131" t="str">
        <f t="shared" si="4"/>
        <v/>
      </c>
      <c r="J36" s="460" t="str">
        <f t="shared" si="5"/>
        <v/>
      </c>
      <c r="K36" s="369" t="str">
        <f t="shared" si="6"/>
        <v/>
      </c>
      <c r="M36" s="131" t="str">
        <f t="shared" si="7"/>
        <v/>
      </c>
      <c r="N36" s="451" t="str">
        <f t="shared" si="0"/>
        <v/>
      </c>
      <c r="O36" s="368"/>
      <c r="P36" s="457" t="str">
        <f t="shared" si="1"/>
        <v/>
      </c>
      <c r="Q36" s="369" t="str">
        <f t="shared" si="8"/>
        <v/>
      </c>
      <c r="R36" s="186" t="str">
        <f t="shared" si="14"/>
        <v/>
      </c>
      <c r="V36" s="459" t="str">
        <f t="shared" si="2"/>
        <v/>
      </c>
      <c r="W36" s="369" t="str">
        <f t="shared" si="10"/>
        <v/>
      </c>
      <c r="X36" s="186" t="str">
        <f t="shared" si="15"/>
        <v/>
      </c>
      <c r="AB36" s="459" t="str">
        <f t="shared" si="3"/>
        <v/>
      </c>
      <c r="AC36" s="369" t="str">
        <f t="shared" si="12"/>
        <v/>
      </c>
      <c r="AD36" s="186" t="str">
        <f t="shared" si="16"/>
        <v/>
      </c>
    </row>
    <row r="37" spans="1:30" s="358" customFormat="1" x14ac:dyDescent="0.55000000000000004">
      <c r="A37" s="509">
        <v>34</v>
      </c>
      <c r="B37" s="189"/>
      <c r="C37" s="360"/>
      <c r="D37" s="360"/>
      <c r="E37" s="360"/>
      <c r="F37" s="190"/>
      <c r="G37" s="190"/>
      <c r="I37" s="131" t="str">
        <f t="shared" si="4"/>
        <v/>
      </c>
      <c r="J37" s="460" t="str">
        <f t="shared" si="5"/>
        <v/>
      </c>
      <c r="K37" s="369" t="str">
        <f t="shared" si="6"/>
        <v/>
      </c>
      <c r="M37" s="131" t="str">
        <f t="shared" si="7"/>
        <v/>
      </c>
      <c r="N37" s="451" t="str">
        <f t="shared" si="0"/>
        <v/>
      </c>
      <c r="O37" s="368"/>
      <c r="P37" s="457" t="str">
        <f t="shared" si="1"/>
        <v/>
      </c>
      <c r="Q37" s="369" t="str">
        <f t="shared" si="8"/>
        <v/>
      </c>
      <c r="R37" s="186" t="str">
        <f t="shared" si="14"/>
        <v/>
      </c>
      <c r="V37" s="459" t="str">
        <f t="shared" si="2"/>
        <v/>
      </c>
      <c r="W37" s="369" t="str">
        <f t="shared" si="10"/>
        <v/>
      </c>
      <c r="X37" s="186" t="str">
        <f t="shared" si="15"/>
        <v/>
      </c>
      <c r="AB37" s="459" t="str">
        <f t="shared" si="3"/>
        <v/>
      </c>
      <c r="AC37" s="369" t="str">
        <f t="shared" si="12"/>
        <v/>
      </c>
      <c r="AD37" s="186" t="str">
        <f t="shared" si="16"/>
        <v/>
      </c>
    </row>
    <row r="38" spans="1:30" s="358" customFormat="1" x14ac:dyDescent="0.55000000000000004">
      <c r="A38" s="509">
        <v>35</v>
      </c>
      <c r="B38" s="189"/>
      <c r="C38" s="360"/>
      <c r="D38" s="360"/>
      <c r="E38" s="360"/>
      <c r="F38" s="190"/>
      <c r="G38" s="190"/>
      <c r="I38" s="131" t="str">
        <f t="shared" si="4"/>
        <v/>
      </c>
      <c r="J38" s="460" t="str">
        <f t="shared" si="5"/>
        <v/>
      </c>
      <c r="K38" s="369" t="str">
        <f t="shared" si="6"/>
        <v/>
      </c>
      <c r="M38" s="131" t="str">
        <f t="shared" si="7"/>
        <v/>
      </c>
      <c r="N38" s="451" t="str">
        <f t="shared" si="0"/>
        <v/>
      </c>
      <c r="O38" s="368"/>
      <c r="P38" s="457" t="str">
        <f t="shared" si="1"/>
        <v/>
      </c>
      <c r="Q38" s="369" t="str">
        <f t="shared" si="8"/>
        <v/>
      </c>
      <c r="R38" s="186" t="str">
        <f t="shared" si="14"/>
        <v/>
      </c>
      <c r="V38" s="459" t="str">
        <f t="shared" si="2"/>
        <v/>
      </c>
      <c r="W38" s="369" t="str">
        <f t="shared" si="10"/>
        <v/>
      </c>
      <c r="X38" s="186" t="str">
        <f t="shared" si="15"/>
        <v/>
      </c>
      <c r="AB38" s="459" t="str">
        <f t="shared" si="3"/>
        <v/>
      </c>
      <c r="AC38" s="369" t="str">
        <f t="shared" si="12"/>
        <v/>
      </c>
      <c r="AD38" s="186" t="str">
        <f t="shared" si="16"/>
        <v/>
      </c>
    </row>
    <row r="39" spans="1:30" s="358" customFormat="1" x14ac:dyDescent="0.55000000000000004">
      <c r="A39" s="509">
        <v>36</v>
      </c>
      <c r="B39" s="189"/>
      <c r="C39" s="360"/>
      <c r="D39" s="360"/>
      <c r="E39" s="360"/>
      <c r="F39" s="190"/>
      <c r="G39" s="190"/>
      <c r="I39" s="131" t="str">
        <f t="shared" si="4"/>
        <v/>
      </c>
      <c r="J39" s="460" t="str">
        <f t="shared" si="5"/>
        <v/>
      </c>
      <c r="K39" s="369" t="str">
        <f t="shared" si="6"/>
        <v/>
      </c>
      <c r="M39" s="131" t="str">
        <f t="shared" si="7"/>
        <v/>
      </c>
      <c r="N39" s="451" t="str">
        <f t="shared" si="0"/>
        <v/>
      </c>
      <c r="O39" s="368"/>
      <c r="P39" s="457" t="str">
        <f t="shared" si="1"/>
        <v/>
      </c>
      <c r="Q39" s="369" t="str">
        <f t="shared" si="8"/>
        <v/>
      </c>
      <c r="R39" s="186" t="str">
        <f t="shared" si="14"/>
        <v/>
      </c>
      <c r="V39" s="459" t="str">
        <f t="shared" si="2"/>
        <v/>
      </c>
      <c r="W39" s="369" t="str">
        <f t="shared" si="10"/>
        <v/>
      </c>
      <c r="X39" s="186" t="str">
        <f t="shared" si="15"/>
        <v/>
      </c>
      <c r="AB39" s="459" t="str">
        <f t="shared" si="3"/>
        <v/>
      </c>
      <c r="AC39" s="369" t="str">
        <f t="shared" si="12"/>
        <v/>
      </c>
      <c r="AD39" s="186" t="str">
        <f t="shared" si="16"/>
        <v/>
      </c>
    </row>
    <row r="40" spans="1:30" s="358" customFormat="1" x14ac:dyDescent="0.55000000000000004">
      <c r="A40" s="509">
        <v>37</v>
      </c>
      <c r="B40" s="189"/>
      <c r="C40" s="360"/>
      <c r="D40" s="360"/>
      <c r="E40" s="360"/>
      <c r="F40" s="190"/>
      <c r="G40" s="190"/>
      <c r="I40" s="131" t="str">
        <f t="shared" si="4"/>
        <v/>
      </c>
      <c r="J40" s="460" t="str">
        <f t="shared" si="5"/>
        <v/>
      </c>
      <c r="K40" s="369" t="str">
        <f t="shared" si="6"/>
        <v/>
      </c>
      <c r="M40" s="131" t="str">
        <f t="shared" si="7"/>
        <v/>
      </c>
      <c r="N40" s="451" t="str">
        <f t="shared" si="0"/>
        <v/>
      </c>
      <c r="O40" s="368"/>
      <c r="P40" s="457" t="str">
        <f t="shared" si="1"/>
        <v/>
      </c>
      <c r="Q40" s="369" t="str">
        <f t="shared" si="8"/>
        <v/>
      </c>
      <c r="R40" s="186" t="str">
        <f t="shared" si="14"/>
        <v/>
      </c>
      <c r="V40" s="459" t="str">
        <f t="shared" si="2"/>
        <v/>
      </c>
      <c r="W40" s="369" t="str">
        <f t="shared" si="10"/>
        <v/>
      </c>
      <c r="X40" s="186" t="str">
        <f t="shared" si="15"/>
        <v/>
      </c>
      <c r="AB40" s="459" t="str">
        <f t="shared" si="3"/>
        <v/>
      </c>
      <c r="AC40" s="369" t="str">
        <f t="shared" si="12"/>
        <v/>
      </c>
      <c r="AD40" s="186" t="str">
        <f t="shared" si="16"/>
        <v/>
      </c>
    </row>
    <row r="41" spans="1:30" s="358" customFormat="1" x14ac:dyDescent="0.55000000000000004">
      <c r="A41" s="509">
        <v>38</v>
      </c>
      <c r="B41" s="189"/>
      <c r="C41" s="360"/>
      <c r="D41" s="360"/>
      <c r="E41" s="360"/>
      <c r="F41" s="190"/>
      <c r="G41" s="190"/>
      <c r="I41" s="131" t="str">
        <f t="shared" si="4"/>
        <v/>
      </c>
      <c r="J41" s="460" t="str">
        <f t="shared" si="5"/>
        <v/>
      </c>
      <c r="K41" s="369" t="str">
        <f t="shared" si="6"/>
        <v/>
      </c>
      <c r="M41" s="131" t="str">
        <f t="shared" si="7"/>
        <v/>
      </c>
      <c r="N41" s="451" t="str">
        <f t="shared" si="0"/>
        <v/>
      </c>
      <c r="O41" s="368"/>
      <c r="P41" s="457" t="str">
        <f t="shared" si="1"/>
        <v/>
      </c>
      <c r="Q41" s="369" t="str">
        <f t="shared" si="8"/>
        <v/>
      </c>
      <c r="R41" s="186" t="str">
        <f t="shared" si="14"/>
        <v/>
      </c>
      <c r="V41" s="459" t="str">
        <f t="shared" si="2"/>
        <v/>
      </c>
      <c r="W41" s="369" t="str">
        <f t="shared" si="10"/>
        <v/>
      </c>
      <c r="X41" s="186" t="str">
        <f t="shared" si="15"/>
        <v/>
      </c>
      <c r="AB41" s="459" t="str">
        <f t="shared" si="3"/>
        <v/>
      </c>
      <c r="AC41" s="369" t="str">
        <f t="shared" si="12"/>
        <v/>
      </c>
      <c r="AD41" s="186" t="str">
        <f t="shared" si="16"/>
        <v/>
      </c>
    </row>
    <row r="42" spans="1:30" s="358" customFormat="1" x14ac:dyDescent="0.55000000000000004">
      <c r="A42" s="509">
        <v>39</v>
      </c>
      <c r="B42" s="189"/>
      <c r="C42" s="360"/>
      <c r="D42" s="360"/>
      <c r="E42" s="360"/>
      <c r="F42" s="190"/>
      <c r="G42" s="190"/>
      <c r="I42" s="131" t="str">
        <f t="shared" si="4"/>
        <v/>
      </c>
      <c r="J42" s="460" t="str">
        <f t="shared" si="5"/>
        <v/>
      </c>
      <c r="K42" s="369" t="str">
        <f t="shared" si="6"/>
        <v/>
      </c>
      <c r="M42" s="131" t="str">
        <f t="shared" si="7"/>
        <v/>
      </c>
      <c r="N42" s="451" t="str">
        <f t="shared" si="0"/>
        <v/>
      </c>
      <c r="O42" s="368"/>
      <c r="P42" s="457" t="str">
        <f t="shared" si="1"/>
        <v/>
      </c>
      <c r="Q42" s="369" t="str">
        <f t="shared" si="8"/>
        <v/>
      </c>
      <c r="R42" s="186" t="str">
        <f t="shared" si="14"/>
        <v/>
      </c>
      <c r="V42" s="459" t="str">
        <f t="shared" si="2"/>
        <v/>
      </c>
      <c r="W42" s="369" t="str">
        <f t="shared" si="10"/>
        <v/>
      </c>
      <c r="X42" s="186" t="str">
        <f t="shared" si="15"/>
        <v/>
      </c>
      <c r="AB42" s="459" t="str">
        <f t="shared" si="3"/>
        <v/>
      </c>
      <c r="AC42" s="369" t="str">
        <f t="shared" si="12"/>
        <v/>
      </c>
      <c r="AD42" s="186" t="str">
        <f t="shared" si="16"/>
        <v/>
      </c>
    </row>
    <row r="43" spans="1:30" s="358" customFormat="1" x14ac:dyDescent="0.55000000000000004">
      <c r="A43" s="509">
        <v>40</v>
      </c>
      <c r="B43" s="189"/>
      <c r="C43" s="360"/>
      <c r="D43" s="360"/>
      <c r="E43" s="360"/>
      <c r="F43" s="190"/>
      <c r="G43" s="190"/>
      <c r="I43" s="131" t="str">
        <f t="shared" si="4"/>
        <v/>
      </c>
      <c r="J43" s="460" t="str">
        <f t="shared" si="5"/>
        <v/>
      </c>
      <c r="K43" s="369" t="str">
        <f t="shared" si="6"/>
        <v/>
      </c>
      <c r="M43" s="131" t="str">
        <f t="shared" si="7"/>
        <v/>
      </c>
      <c r="N43" s="451" t="str">
        <f t="shared" si="0"/>
        <v/>
      </c>
      <c r="O43" s="368"/>
      <c r="P43" s="457" t="str">
        <f t="shared" si="1"/>
        <v/>
      </c>
      <c r="Q43" s="369" t="str">
        <f t="shared" si="8"/>
        <v/>
      </c>
      <c r="R43" s="186" t="str">
        <f t="shared" si="14"/>
        <v/>
      </c>
      <c r="V43" s="459" t="str">
        <f t="shared" si="2"/>
        <v/>
      </c>
      <c r="W43" s="369" t="str">
        <f t="shared" si="10"/>
        <v/>
      </c>
      <c r="X43" s="186" t="str">
        <f t="shared" si="15"/>
        <v/>
      </c>
      <c r="AB43" s="459" t="str">
        <f t="shared" si="3"/>
        <v/>
      </c>
      <c r="AC43" s="369" t="str">
        <f t="shared" si="12"/>
        <v/>
      </c>
      <c r="AD43" s="186" t="str">
        <f t="shared" si="16"/>
        <v/>
      </c>
    </row>
    <row r="44" spans="1:30" s="358" customFormat="1" x14ac:dyDescent="0.55000000000000004">
      <c r="A44" s="509">
        <v>41</v>
      </c>
      <c r="B44" s="189"/>
      <c r="C44" s="360"/>
      <c r="D44" s="360"/>
      <c r="E44" s="360"/>
      <c r="F44" s="190"/>
      <c r="G44" s="190"/>
      <c r="I44" s="131" t="str">
        <f t="shared" si="4"/>
        <v/>
      </c>
      <c r="J44" s="460" t="str">
        <f t="shared" si="5"/>
        <v/>
      </c>
      <c r="K44" s="369" t="str">
        <f t="shared" si="6"/>
        <v/>
      </c>
      <c r="M44" s="131" t="str">
        <f t="shared" si="7"/>
        <v/>
      </c>
      <c r="N44" s="451" t="str">
        <f t="shared" si="0"/>
        <v/>
      </c>
      <c r="O44" s="368"/>
      <c r="P44" s="457" t="str">
        <f t="shared" si="1"/>
        <v/>
      </c>
      <c r="Q44" s="369" t="str">
        <f t="shared" si="8"/>
        <v/>
      </c>
      <c r="R44" s="186" t="str">
        <f t="shared" si="14"/>
        <v/>
      </c>
      <c r="V44" s="459" t="str">
        <f t="shared" si="2"/>
        <v/>
      </c>
      <c r="W44" s="369" t="str">
        <f t="shared" si="10"/>
        <v/>
      </c>
      <c r="X44" s="186" t="str">
        <f t="shared" si="15"/>
        <v/>
      </c>
      <c r="AB44" s="459" t="str">
        <f t="shared" si="3"/>
        <v/>
      </c>
      <c r="AC44" s="369" t="str">
        <f t="shared" si="12"/>
        <v/>
      </c>
      <c r="AD44" s="186" t="str">
        <f t="shared" si="16"/>
        <v/>
      </c>
    </row>
    <row r="45" spans="1:30" s="358" customFormat="1" x14ac:dyDescent="0.55000000000000004">
      <c r="A45" s="509">
        <v>42</v>
      </c>
      <c r="B45" s="189"/>
      <c r="C45" s="360"/>
      <c r="D45" s="360"/>
      <c r="E45" s="360"/>
      <c r="F45" s="190"/>
      <c r="G45" s="190"/>
      <c r="I45" s="131" t="str">
        <f t="shared" si="4"/>
        <v/>
      </c>
      <c r="J45" s="460" t="str">
        <f t="shared" si="5"/>
        <v/>
      </c>
      <c r="K45" s="369" t="str">
        <f t="shared" si="6"/>
        <v/>
      </c>
      <c r="M45" s="131" t="str">
        <f t="shared" si="7"/>
        <v/>
      </c>
      <c r="N45" s="451" t="str">
        <f t="shared" si="0"/>
        <v/>
      </c>
      <c r="O45" s="368"/>
      <c r="P45" s="457" t="str">
        <f t="shared" si="1"/>
        <v/>
      </c>
      <c r="Q45" s="369" t="str">
        <f t="shared" si="8"/>
        <v/>
      </c>
      <c r="R45" s="186" t="str">
        <f t="shared" si="14"/>
        <v/>
      </c>
      <c r="V45" s="459" t="str">
        <f t="shared" si="2"/>
        <v/>
      </c>
      <c r="W45" s="369" t="str">
        <f t="shared" si="10"/>
        <v/>
      </c>
      <c r="X45" s="186" t="str">
        <f t="shared" si="15"/>
        <v/>
      </c>
      <c r="AB45" s="459" t="str">
        <f t="shared" si="3"/>
        <v/>
      </c>
      <c r="AC45" s="369" t="str">
        <f t="shared" si="12"/>
        <v/>
      </c>
      <c r="AD45" s="186" t="str">
        <f t="shared" si="16"/>
        <v/>
      </c>
    </row>
    <row r="46" spans="1:30" s="358" customFormat="1" x14ac:dyDescent="0.55000000000000004">
      <c r="A46" s="509">
        <v>43</v>
      </c>
      <c r="B46" s="189"/>
      <c r="C46" s="360"/>
      <c r="D46" s="360"/>
      <c r="E46" s="360"/>
      <c r="F46" s="190"/>
      <c r="G46" s="190"/>
      <c r="I46" s="131" t="str">
        <f t="shared" si="4"/>
        <v/>
      </c>
      <c r="J46" s="460" t="str">
        <f t="shared" si="5"/>
        <v/>
      </c>
      <c r="K46" s="369" t="str">
        <f t="shared" si="6"/>
        <v/>
      </c>
      <c r="M46" s="131" t="str">
        <f t="shared" si="7"/>
        <v/>
      </c>
      <c r="N46" s="451" t="str">
        <f t="shared" si="0"/>
        <v/>
      </c>
      <c r="O46" s="368"/>
      <c r="P46" s="457" t="str">
        <f t="shared" si="1"/>
        <v/>
      </c>
      <c r="Q46" s="369" t="str">
        <f t="shared" si="8"/>
        <v/>
      </c>
      <c r="R46" s="186" t="str">
        <f t="shared" si="14"/>
        <v/>
      </c>
      <c r="V46" s="459" t="str">
        <f t="shared" si="2"/>
        <v/>
      </c>
      <c r="W46" s="369" t="str">
        <f t="shared" si="10"/>
        <v/>
      </c>
      <c r="X46" s="186" t="str">
        <f t="shared" si="15"/>
        <v/>
      </c>
      <c r="AB46" s="459" t="str">
        <f t="shared" si="3"/>
        <v/>
      </c>
      <c r="AC46" s="369" t="str">
        <f t="shared" si="12"/>
        <v/>
      </c>
      <c r="AD46" s="186" t="str">
        <f t="shared" si="16"/>
        <v/>
      </c>
    </row>
    <row r="47" spans="1:30" s="358" customFormat="1" x14ac:dyDescent="0.55000000000000004">
      <c r="A47" s="509">
        <v>44</v>
      </c>
      <c r="B47" s="189"/>
      <c r="C47" s="360"/>
      <c r="D47" s="360"/>
      <c r="E47" s="360"/>
      <c r="F47" s="190"/>
      <c r="G47" s="190"/>
      <c r="I47" s="131" t="str">
        <f t="shared" si="4"/>
        <v/>
      </c>
      <c r="J47" s="460" t="str">
        <f t="shared" si="5"/>
        <v/>
      </c>
      <c r="K47" s="369" t="str">
        <f t="shared" si="6"/>
        <v/>
      </c>
      <c r="M47" s="131" t="str">
        <f t="shared" si="7"/>
        <v/>
      </c>
      <c r="N47" s="451" t="str">
        <f t="shared" si="0"/>
        <v/>
      </c>
      <c r="O47" s="368"/>
      <c r="P47" s="457" t="str">
        <f t="shared" si="1"/>
        <v/>
      </c>
      <c r="Q47" s="369" t="str">
        <f t="shared" si="8"/>
        <v/>
      </c>
      <c r="R47" s="186" t="str">
        <f t="shared" si="14"/>
        <v/>
      </c>
      <c r="V47" s="459" t="str">
        <f t="shared" si="2"/>
        <v/>
      </c>
      <c r="W47" s="369" t="str">
        <f t="shared" si="10"/>
        <v/>
      </c>
      <c r="X47" s="186" t="str">
        <f t="shared" si="15"/>
        <v/>
      </c>
      <c r="AB47" s="459" t="str">
        <f t="shared" si="3"/>
        <v/>
      </c>
      <c r="AC47" s="369" t="str">
        <f t="shared" si="12"/>
        <v/>
      </c>
      <c r="AD47" s="186" t="str">
        <f t="shared" si="16"/>
        <v/>
      </c>
    </row>
    <row r="48" spans="1:30" s="358" customFormat="1" x14ac:dyDescent="0.55000000000000004">
      <c r="A48" s="509">
        <v>45</v>
      </c>
      <c r="B48" s="189"/>
      <c r="C48" s="360"/>
      <c r="D48" s="360"/>
      <c r="E48" s="360"/>
      <c r="F48" s="190"/>
      <c r="G48" s="190"/>
      <c r="I48" s="131" t="str">
        <f t="shared" si="4"/>
        <v/>
      </c>
      <c r="J48" s="460" t="str">
        <f t="shared" si="5"/>
        <v/>
      </c>
      <c r="K48" s="369" t="str">
        <f t="shared" si="6"/>
        <v/>
      </c>
      <c r="M48" s="131" t="str">
        <f t="shared" si="7"/>
        <v/>
      </c>
      <c r="N48" s="451" t="str">
        <f t="shared" si="0"/>
        <v/>
      </c>
      <c r="O48" s="368"/>
      <c r="P48" s="457" t="str">
        <f t="shared" si="1"/>
        <v/>
      </c>
      <c r="Q48" s="369" t="str">
        <f t="shared" si="8"/>
        <v/>
      </c>
      <c r="R48" s="186" t="str">
        <f t="shared" si="14"/>
        <v/>
      </c>
      <c r="V48" s="459" t="str">
        <f t="shared" si="2"/>
        <v/>
      </c>
      <c r="W48" s="369" t="str">
        <f t="shared" si="10"/>
        <v/>
      </c>
      <c r="X48" s="186" t="str">
        <f t="shared" si="15"/>
        <v/>
      </c>
      <c r="AB48" s="459" t="str">
        <f t="shared" si="3"/>
        <v/>
      </c>
      <c r="AC48" s="369" t="str">
        <f t="shared" si="12"/>
        <v/>
      </c>
      <c r="AD48" s="186" t="str">
        <f t="shared" si="16"/>
        <v/>
      </c>
    </row>
    <row r="49" spans="1:30" s="358" customFormat="1" x14ac:dyDescent="0.55000000000000004">
      <c r="A49" s="509">
        <v>46</v>
      </c>
      <c r="B49" s="189"/>
      <c r="C49" s="360"/>
      <c r="D49" s="360"/>
      <c r="E49" s="360"/>
      <c r="F49" s="190"/>
      <c r="G49" s="190"/>
      <c r="I49" s="131" t="str">
        <f t="shared" si="4"/>
        <v/>
      </c>
      <c r="J49" s="460" t="str">
        <f t="shared" si="5"/>
        <v/>
      </c>
      <c r="K49" s="369" t="str">
        <f t="shared" si="6"/>
        <v/>
      </c>
      <c r="M49" s="131" t="str">
        <f t="shared" si="7"/>
        <v/>
      </c>
      <c r="N49" s="451" t="str">
        <f t="shared" si="0"/>
        <v/>
      </c>
      <c r="O49" s="368"/>
      <c r="P49" s="457" t="str">
        <f t="shared" si="1"/>
        <v/>
      </c>
      <c r="Q49" s="369" t="str">
        <f t="shared" si="8"/>
        <v/>
      </c>
      <c r="R49" s="186" t="str">
        <f t="shared" si="14"/>
        <v/>
      </c>
      <c r="V49" s="459" t="str">
        <f t="shared" si="2"/>
        <v/>
      </c>
      <c r="W49" s="369" t="str">
        <f t="shared" si="10"/>
        <v/>
      </c>
      <c r="X49" s="186" t="str">
        <f t="shared" si="15"/>
        <v/>
      </c>
      <c r="AB49" s="459" t="str">
        <f t="shared" si="3"/>
        <v/>
      </c>
      <c r="AC49" s="369" t="str">
        <f t="shared" si="12"/>
        <v/>
      </c>
      <c r="AD49" s="186" t="str">
        <f t="shared" si="16"/>
        <v/>
      </c>
    </row>
    <row r="50" spans="1:30" s="358" customFormat="1" x14ac:dyDescent="0.55000000000000004">
      <c r="A50" s="509">
        <v>47</v>
      </c>
      <c r="B50" s="189"/>
      <c r="C50" s="360"/>
      <c r="D50" s="360"/>
      <c r="E50" s="360"/>
      <c r="F50" s="190"/>
      <c r="G50" s="190"/>
      <c r="I50" s="131" t="str">
        <f t="shared" si="4"/>
        <v/>
      </c>
      <c r="J50" s="460" t="str">
        <f t="shared" si="5"/>
        <v/>
      </c>
      <c r="K50" s="369" t="str">
        <f t="shared" si="6"/>
        <v/>
      </c>
      <c r="M50" s="131" t="str">
        <f t="shared" si="7"/>
        <v/>
      </c>
      <c r="N50" s="451" t="str">
        <f t="shared" si="0"/>
        <v/>
      </c>
      <c r="O50" s="368"/>
      <c r="P50" s="457" t="str">
        <f t="shared" si="1"/>
        <v/>
      </c>
      <c r="Q50" s="369" t="str">
        <f t="shared" si="8"/>
        <v/>
      </c>
      <c r="R50" s="186" t="str">
        <f t="shared" si="14"/>
        <v/>
      </c>
      <c r="V50" s="459" t="str">
        <f t="shared" si="2"/>
        <v/>
      </c>
      <c r="W50" s="369" t="str">
        <f t="shared" si="10"/>
        <v/>
      </c>
      <c r="X50" s="186" t="str">
        <f t="shared" si="15"/>
        <v/>
      </c>
      <c r="AB50" s="459" t="str">
        <f t="shared" si="3"/>
        <v/>
      </c>
      <c r="AC50" s="369" t="str">
        <f t="shared" si="12"/>
        <v/>
      </c>
      <c r="AD50" s="186" t="str">
        <f t="shared" si="16"/>
        <v/>
      </c>
    </row>
    <row r="51" spans="1:30" s="358" customFormat="1" x14ac:dyDescent="0.55000000000000004">
      <c r="A51" s="509">
        <v>48</v>
      </c>
      <c r="B51" s="189"/>
      <c r="C51" s="360"/>
      <c r="D51" s="360"/>
      <c r="E51" s="360"/>
      <c r="F51" s="190"/>
      <c r="G51" s="190"/>
      <c r="I51" s="131" t="str">
        <f t="shared" si="4"/>
        <v/>
      </c>
      <c r="J51" s="460" t="str">
        <f t="shared" si="5"/>
        <v/>
      </c>
      <c r="K51" s="369" t="str">
        <f t="shared" si="6"/>
        <v/>
      </c>
      <c r="M51" s="131" t="str">
        <f t="shared" si="7"/>
        <v/>
      </c>
      <c r="N51" s="451" t="str">
        <f t="shared" si="0"/>
        <v/>
      </c>
      <c r="O51" s="368"/>
      <c r="P51" s="457" t="str">
        <f t="shared" si="1"/>
        <v/>
      </c>
      <c r="Q51" s="369" t="str">
        <f t="shared" si="8"/>
        <v/>
      </c>
      <c r="R51" s="186" t="str">
        <f t="shared" si="14"/>
        <v/>
      </c>
      <c r="V51" s="459" t="str">
        <f t="shared" si="2"/>
        <v/>
      </c>
      <c r="W51" s="369" t="str">
        <f t="shared" si="10"/>
        <v/>
      </c>
      <c r="X51" s="186" t="str">
        <f t="shared" si="15"/>
        <v/>
      </c>
      <c r="AB51" s="459" t="str">
        <f t="shared" si="3"/>
        <v/>
      </c>
      <c r="AC51" s="369" t="str">
        <f t="shared" si="12"/>
        <v/>
      </c>
      <c r="AD51" s="186" t="str">
        <f t="shared" si="16"/>
        <v/>
      </c>
    </row>
    <row r="52" spans="1:30" s="358" customFormat="1" x14ac:dyDescent="0.55000000000000004">
      <c r="A52" s="509">
        <v>49</v>
      </c>
      <c r="B52" s="189"/>
      <c r="C52" s="360"/>
      <c r="D52" s="360"/>
      <c r="E52" s="360"/>
      <c r="F52" s="190"/>
      <c r="G52" s="190"/>
      <c r="I52" s="131" t="str">
        <f t="shared" si="4"/>
        <v/>
      </c>
      <c r="J52" s="460" t="str">
        <f t="shared" si="5"/>
        <v/>
      </c>
      <c r="K52" s="369" t="str">
        <f t="shared" si="6"/>
        <v/>
      </c>
      <c r="M52" s="131" t="str">
        <f t="shared" si="7"/>
        <v/>
      </c>
      <c r="N52" s="451" t="str">
        <f t="shared" si="0"/>
        <v/>
      </c>
      <c r="O52" s="368"/>
      <c r="P52" s="457" t="str">
        <f t="shared" si="1"/>
        <v/>
      </c>
      <c r="Q52" s="369" t="str">
        <f t="shared" si="8"/>
        <v/>
      </c>
      <c r="R52" s="186" t="str">
        <f t="shared" si="14"/>
        <v/>
      </c>
      <c r="V52" s="459" t="str">
        <f t="shared" si="2"/>
        <v/>
      </c>
      <c r="W52" s="369" t="str">
        <f t="shared" si="10"/>
        <v/>
      </c>
      <c r="X52" s="186" t="str">
        <f t="shared" si="15"/>
        <v/>
      </c>
      <c r="AB52" s="459" t="str">
        <f t="shared" si="3"/>
        <v/>
      </c>
      <c r="AC52" s="369" t="str">
        <f t="shared" si="12"/>
        <v/>
      </c>
      <c r="AD52" s="186" t="str">
        <f t="shared" si="16"/>
        <v/>
      </c>
    </row>
    <row r="53" spans="1:30" x14ac:dyDescent="0.55000000000000004">
      <c r="A53" s="509">
        <v>50</v>
      </c>
      <c r="B53" s="189"/>
      <c r="C53" s="3"/>
      <c r="D53" s="3"/>
      <c r="E53" s="3"/>
      <c r="F53" s="190"/>
      <c r="G53" s="190"/>
      <c r="I53" s="131" t="str">
        <f t="shared" si="4"/>
        <v/>
      </c>
      <c r="J53" s="460" t="str">
        <f t="shared" si="5"/>
        <v/>
      </c>
      <c r="K53" s="369" t="str">
        <f t="shared" si="6"/>
        <v/>
      </c>
      <c r="L53" s="358"/>
      <c r="M53" s="131" t="str">
        <f t="shared" si="7"/>
        <v/>
      </c>
      <c r="N53" s="451" t="str">
        <f t="shared" si="0"/>
        <v/>
      </c>
      <c r="O53" s="368"/>
      <c r="P53" s="457" t="str">
        <f t="shared" si="1"/>
        <v/>
      </c>
      <c r="Q53" s="369" t="str">
        <f t="shared" si="8"/>
        <v/>
      </c>
      <c r="R53" s="186" t="str">
        <f t="shared" si="14"/>
        <v/>
      </c>
      <c r="S53" s="358"/>
      <c r="T53" s="358"/>
      <c r="U53" s="358"/>
      <c r="V53" s="459" t="str">
        <f t="shared" si="2"/>
        <v/>
      </c>
      <c r="W53" s="369" t="str">
        <f t="shared" si="10"/>
        <v/>
      </c>
      <c r="X53" s="186" t="str">
        <f t="shared" si="15"/>
        <v/>
      </c>
      <c r="AB53" s="459" t="str">
        <f t="shared" si="3"/>
        <v/>
      </c>
      <c r="AC53" s="369" t="str">
        <f t="shared" si="12"/>
        <v/>
      </c>
      <c r="AD53" s="186" t="str">
        <f t="shared" si="16"/>
        <v/>
      </c>
    </row>
    <row r="54" spans="1:30" x14ac:dyDescent="0.55000000000000004">
      <c r="P54" s="191"/>
      <c r="U54" s="358"/>
      <c r="V54" s="455"/>
    </row>
    <row r="55" spans="1:30" ht="14.4" customHeight="1" x14ac:dyDescent="0.55000000000000004">
      <c r="C55" s="555" t="s">
        <v>338</v>
      </c>
      <c r="D55" s="555"/>
      <c r="E55" s="555"/>
      <c r="F55" s="555"/>
      <c r="G55" s="555"/>
      <c r="H55" s="555"/>
      <c r="I55" s="555"/>
      <c r="J55" s="555"/>
      <c r="K55" s="555"/>
      <c r="L55" s="555"/>
      <c r="M55" s="555"/>
      <c r="N55" s="555"/>
      <c r="P55" s="49" t="s">
        <v>249</v>
      </c>
      <c r="U55" s="358"/>
    </row>
    <row r="56" spans="1:30" x14ac:dyDescent="0.55000000000000004">
      <c r="C56" s="555"/>
      <c r="D56" s="555"/>
      <c r="E56" s="555"/>
      <c r="F56" s="555"/>
      <c r="G56" s="555"/>
      <c r="H56" s="555"/>
      <c r="I56" s="555"/>
      <c r="J56" s="555"/>
      <c r="K56" s="555"/>
      <c r="L56" s="555"/>
      <c r="M56" s="555"/>
      <c r="N56" s="555"/>
      <c r="P56" s="49" t="s">
        <v>250</v>
      </c>
      <c r="U56" s="358"/>
    </row>
    <row r="57" spans="1:30" s="358" customFormat="1" x14ac:dyDescent="0.55000000000000004">
      <c r="C57" s="555"/>
      <c r="D57" s="555"/>
      <c r="E57" s="555"/>
      <c r="F57" s="555"/>
      <c r="G57" s="555"/>
      <c r="H57" s="555"/>
      <c r="I57" s="555"/>
      <c r="J57" s="555"/>
      <c r="K57" s="555"/>
      <c r="L57" s="555"/>
      <c r="M57" s="555"/>
      <c r="N57" s="555"/>
      <c r="P57" s="49"/>
      <c r="V57" s="456"/>
      <c r="AB57" s="456"/>
    </row>
    <row r="58" spans="1:30" s="358" customFormat="1" x14ac:dyDescent="0.55000000000000004">
      <c r="C58" s="555" t="s">
        <v>346</v>
      </c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P58" s="49"/>
      <c r="V58" s="456"/>
      <c r="AB58" s="456"/>
    </row>
    <row r="59" spans="1:30" s="358" customFormat="1" x14ac:dyDescent="0.55000000000000004"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P59" s="49"/>
      <c r="V59" s="456"/>
      <c r="AB59" s="456"/>
    </row>
    <row r="60" spans="1:30" x14ac:dyDescent="0.55000000000000004">
      <c r="C60" s="286" t="s">
        <v>273</v>
      </c>
      <c r="D60" s="286"/>
      <c r="E60" s="286"/>
      <c r="H60" s="286"/>
      <c r="I60" s="286"/>
      <c r="J60" s="286"/>
      <c r="K60" s="286"/>
      <c r="L60" s="286"/>
      <c r="M60" s="286"/>
      <c r="P60" s="49"/>
      <c r="U60" s="358"/>
    </row>
    <row r="61" spans="1:30" x14ac:dyDescent="0.55000000000000004">
      <c r="C61" s="286" t="s">
        <v>274</v>
      </c>
      <c r="D61" s="286"/>
      <c r="E61" s="286"/>
      <c r="H61" s="286"/>
      <c r="I61" s="286"/>
      <c r="J61" s="286"/>
      <c r="K61" s="286"/>
      <c r="L61" s="286"/>
      <c r="M61" s="286"/>
      <c r="P61" s="49"/>
      <c r="U61" s="358"/>
    </row>
    <row r="62" spans="1:30" x14ac:dyDescent="0.55000000000000004">
      <c r="C62" s="286" t="s">
        <v>275</v>
      </c>
      <c r="D62" s="286"/>
      <c r="E62" s="286"/>
      <c r="H62" s="286"/>
      <c r="I62" s="286"/>
      <c r="J62" s="286"/>
      <c r="K62" s="286"/>
      <c r="L62" s="286"/>
      <c r="M62" s="286"/>
    </row>
    <row r="65" spans="1:5" x14ac:dyDescent="0.55000000000000004">
      <c r="A65" s="162"/>
    </row>
    <row r="66" spans="1:5" x14ac:dyDescent="0.55000000000000004">
      <c r="C66" s="161" t="s">
        <v>179</v>
      </c>
      <c r="D66" s="286"/>
      <c r="E66" s="286"/>
    </row>
    <row r="67" spans="1:5" x14ac:dyDescent="0.55000000000000004">
      <c r="C67" s="161" t="s">
        <v>255</v>
      </c>
      <c r="D67" s="286"/>
      <c r="E67" s="286"/>
    </row>
    <row r="68" spans="1:5" x14ac:dyDescent="0.55000000000000004">
      <c r="C68" s="297" t="s">
        <v>254</v>
      </c>
      <c r="D68" s="286"/>
      <c r="E68" s="286"/>
    </row>
  </sheetData>
  <mergeCells count="14">
    <mergeCell ref="V2:W2"/>
    <mergeCell ref="AB2:AC2"/>
    <mergeCell ref="P1:U1"/>
    <mergeCell ref="V1:AA1"/>
    <mergeCell ref="AB1:AG1"/>
    <mergeCell ref="R2:R3"/>
    <mergeCell ref="X2:X3"/>
    <mergeCell ref="AD2:AD3"/>
    <mergeCell ref="C55:N57"/>
    <mergeCell ref="C58:N59"/>
    <mergeCell ref="A1:H1"/>
    <mergeCell ref="J2:K2"/>
    <mergeCell ref="P2:Q2"/>
    <mergeCell ref="B2:G2"/>
  </mergeCells>
  <conditionalFormatting sqref="D4:D53">
    <cfRule type="expression" dxfId="0" priority="1">
      <formula>INDIRECT("RC[2]",FALSE)&gt;0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M68"/>
  <sheetViews>
    <sheetView workbookViewId="0">
      <pane xSplit="2" topLeftCell="C1" activePane="topRight" state="frozen"/>
      <selection pane="topRight" activeCell="A6" sqref="A6"/>
    </sheetView>
  </sheetViews>
  <sheetFormatPr defaultRowHeight="14.4" x14ac:dyDescent="0.55000000000000004"/>
  <cols>
    <col min="1" max="1" width="23.68359375" customWidth="1"/>
    <col min="2" max="2" width="5.20703125" customWidth="1"/>
    <col min="4" max="4" width="2.89453125" customWidth="1"/>
    <col min="5" max="5" width="9.5234375" customWidth="1"/>
    <col min="6" max="6" width="5.3125" customWidth="1"/>
    <col min="7" max="7" width="3.41796875" customWidth="1"/>
    <col min="8" max="8" width="9.5234375" customWidth="1"/>
    <col min="9" max="9" width="6" customWidth="1"/>
    <col min="10" max="10" width="12.1015625" customWidth="1"/>
    <col min="11" max="11" width="4.1015625" customWidth="1"/>
    <col min="13" max="13" width="4.1015625" customWidth="1"/>
    <col min="14" max="14" width="10.5234375" customWidth="1"/>
    <col min="15" max="15" width="7.20703125" customWidth="1"/>
    <col min="16" max="16" width="11.3125" customWidth="1"/>
    <col min="17" max="17" width="5" customWidth="1"/>
    <col min="18" max="18" width="10.41796875" customWidth="1"/>
    <col min="19" max="19" width="3.3125" customWidth="1"/>
    <col min="20" max="20" width="10.41796875" customWidth="1"/>
    <col min="21" max="21" width="4.68359375" customWidth="1"/>
    <col min="22" max="22" width="6.1015625" customWidth="1"/>
    <col min="23" max="23" width="6.7890625" customWidth="1"/>
    <col min="24" max="24" width="12" customWidth="1"/>
    <col min="25" max="25" width="3.68359375" customWidth="1"/>
    <col min="26" max="26" width="10.7890625" customWidth="1"/>
    <col min="27" max="27" width="4.5234375" customWidth="1"/>
    <col min="28" max="28" width="10" customWidth="1"/>
    <col min="29" max="29" width="3.3125" customWidth="1"/>
    <col min="30" max="30" width="11.5234375" customWidth="1"/>
    <col min="31" max="31" width="9.20703125" customWidth="1"/>
    <col min="32" max="32" width="5.5234375" customWidth="1"/>
    <col min="33" max="33" width="9.1015625" customWidth="1"/>
    <col min="34" max="34" width="5.3125" customWidth="1"/>
    <col min="35" max="35" width="9.89453125" customWidth="1"/>
    <col min="36" max="36" width="5.41796875" customWidth="1"/>
    <col min="37" max="37" width="12.89453125" customWidth="1"/>
    <col min="38" max="38" width="4.1015625" customWidth="1"/>
    <col min="39" max="39" width="12.1015625" customWidth="1"/>
    <col min="40" max="40" width="5.41796875" customWidth="1"/>
  </cols>
  <sheetData>
    <row r="1" spans="1:39" ht="17.399999999999999" x14ac:dyDescent="0.75">
      <c r="A1" s="572" t="s">
        <v>272</v>
      </c>
      <c r="B1" s="572"/>
      <c r="C1" s="573" t="s">
        <v>137</v>
      </c>
      <c r="D1" s="573"/>
      <c r="E1" s="573"/>
      <c r="F1" s="573"/>
      <c r="G1" s="573"/>
      <c r="H1" s="573"/>
      <c r="I1" s="330"/>
      <c r="J1" s="573" t="s">
        <v>138</v>
      </c>
      <c r="K1" s="573"/>
      <c r="L1" s="573"/>
      <c r="M1" s="573"/>
      <c r="N1" s="573"/>
      <c r="O1" s="330"/>
      <c r="P1" s="573" t="s">
        <v>139</v>
      </c>
      <c r="Q1" s="573"/>
      <c r="R1" s="573"/>
      <c r="S1" s="573"/>
      <c r="T1" s="573"/>
    </row>
    <row r="2" spans="1:39" ht="37.799999999999997" customHeight="1" x14ac:dyDescent="0.75">
      <c r="A2" s="572"/>
      <c r="B2" s="572"/>
      <c r="C2" s="566" t="s">
        <v>144</v>
      </c>
      <c r="D2" s="566"/>
      <c r="E2" s="566"/>
      <c r="F2" s="566"/>
      <c r="G2" s="566"/>
      <c r="H2" s="566"/>
      <c r="I2" s="130" t="s">
        <v>132</v>
      </c>
      <c r="J2" s="566" t="s">
        <v>204</v>
      </c>
      <c r="K2" s="566"/>
      <c r="L2" s="566"/>
      <c r="M2" s="566"/>
      <c r="N2" s="566"/>
      <c r="O2" s="130" t="s">
        <v>132</v>
      </c>
      <c r="P2" s="566" t="s">
        <v>145</v>
      </c>
      <c r="Q2" s="566"/>
      <c r="R2" s="566"/>
      <c r="S2" s="566"/>
      <c r="T2" s="566"/>
      <c r="U2" s="141"/>
      <c r="V2" s="108"/>
      <c r="W2" s="108"/>
      <c r="X2" s="108"/>
      <c r="Y2" s="108"/>
      <c r="Z2" s="108"/>
      <c r="AA2" s="108"/>
      <c r="AB2" s="108"/>
      <c r="AC2" s="108"/>
      <c r="AD2" s="108"/>
      <c r="AE2" s="566" t="s">
        <v>131</v>
      </c>
      <c r="AF2" s="566"/>
      <c r="AG2" s="567"/>
      <c r="AH2" s="567"/>
      <c r="AI2" s="567"/>
      <c r="AJ2" s="567"/>
      <c r="AK2" s="567"/>
      <c r="AL2" s="567"/>
      <c r="AM2" s="567"/>
    </row>
    <row r="3" spans="1:39" x14ac:dyDescent="0.55000000000000004">
      <c r="A3" s="104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5"/>
      <c r="Q3" s="105"/>
      <c r="R3" s="105"/>
      <c r="S3" s="106"/>
      <c r="T3" s="106"/>
      <c r="U3" s="106"/>
      <c r="V3" s="107"/>
      <c r="W3" s="107"/>
      <c r="X3" s="107"/>
      <c r="Y3" s="107"/>
      <c r="Z3" s="107"/>
      <c r="AA3" s="107"/>
      <c r="AB3" s="107"/>
      <c r="AC3" s="107"/>
      <c r="AD3" s="108"/>
      <c r="AE3" s="108"/>
      <c r="AF3" s="108"/>
      <c r="AG3" s="108"/>
      <c r="AH3" s="108"/>
      <c r="AI3" s="108"/>
      <c r="AJ3" s="108"/>
      <c r="AK3" s="108"/>
      <c r="AL3" s="108"/>
      <c r="AM3" s="108"/>
    </row>
    <row r="4" spans="1:39" x14ac:dyDescent="0.55000000000000004">
      <c r="B4" s="27"/>
      <c r="C4" s="569" t="s">
        <v>69</v>
      </c>
      <c r="D4" s="569"/>
      <c r="E4" s="569"/>
      <c r="F4" s="569"/>
      <c r="G4" s="569"/>
      <c r="H4" s="569"/>
      <c r="I4" s="574"/>
      <c r="J4" s="568" t="s">
        <v>70</v>
      </c>
      <c r="K4" s="569"/>
      <c r="L4" s="569"/>
      <c r="M4" s="569"/>
      <c r="N4" s="103"/>
      <c r="O4" s="47"/>
      <c r="P4" s="568" t="s">
        <v>80</v>
      </c>
      <c r="Q4" s="569"/>
      <c r="R4" s="571"/>
      <c r="S4" s="571"/>
      <c r="T4" s="571"/>
      <c r="U4" s="12"/>
      <c r="V4" s="571" t="s">
        <v>81</v>
      </c>
      <c r="W4" s="571"/>
      <c r="X4" s="571"/>
      <c r="Y4" s="571"/>
      <c r="Z4" s="571"/>
      <c r="AA4" s="571"/>
      <c r="AB4" s="571"/>
      <c r="AC4" s="571"/>
      <c r="AD4" s="12"/>
      <c r="AE4" s="570"/>
      <c r="AF4" s="570"/>
      <c r="AG4" s="570"/>
      <c r="AH4" s="570"/>
      <c r="AI4" s="570"/>
      <c r="AJ4" s="570"/>
      <c r="AK4" s="570"/>
      <c r="AL4" s="570"/>
      <c r="AM4" s="570"/>
    </row>
    <row r="5" spans="1:39" s="34" customFormat="1" ht="28.8" thickBot="1" x14ac:dyDescent="0.85">
      <c r="A5" s="94" t="s">
        <v>82</v>
      </c>
      <c r="B5" s="35"/>
      <c r="C5" s="134" t="s">
        <v>71</v>
      </c>
      <c r="D5" s="138" t="s">
        <v>133</v>
      </c>
      <c r="E5" s="97" t="s">
        <v>77</v>
      </c>
      <c r="F5" s="142" t="s">
        <v>127</v>
      </c>
      <c r="G5" s="138" t="s">
        <v>133</v>
      </c>
      <c r="H5" s="144" t="s">
        <v>136</v>
      </c>
      <c r="I5" s="100" t="s">
        <v>127</v>
      </c>
      <c r="J5" s="94" t="s">
        <v>128</v>
      </c>
      <c r="K5" s="101" t="s">
        <v>72</v>
      </c>
      <c r="L5" s="94" t="s">
        <v>129</v>
      </c>
      <c r="M5" s="101" t="s">
        <v>72</v>
      </c>
      <c r="N5" s="94" t="s">
        <v>130</v>
      </c>
      <c r="O5" s="101" t="s">
        <v>72</v>
      </c>
      <c r="P5" s="292" t="s">
        <v>173</v>
      </c>
      <c r="Q5" s="101" t="s">
        <v>72</v>
      </c>
      <c r="R5" s="94" t="s">
        <v>74</v>
      </c>
      <c r="S5" s="101" t="s">
        <v>72</v>
      </c>
      <c r="T5" s="94" t="s">
        <v>142</v>
      </c>
      <c r="U5" s="101" t="s">
        <v>72</v>
      </c>
      <c r="V5" s="94"/>
      <c r="W5" s="102" t="s">
        <v>75</v>
      </c>
      <c r="X5" s="94" t="s">
        <v>73</v>
      </c>
      <c r="Y5" s="101" t="s">
        <v>72</v>
      </c>
      <c r="Z5" s="94" t="s">
        <v>74</v>
      </c>
      <c r="AA5" s="101" t="s">
        <v>72</v>
      </c>
      <c r="AB5" s="94" t="s">
        <v>142</v>
      </c>
      <c r="AC5" s="101" t="s">
        <v>72</v>
      </c>
      <c r="AD5" s="36"/>
      <c r="AE5" s="94" t="s">
        <v>140</v>
      </c>
      <c r="AF5" s="101" t="s">
        <v>72</v>
      </c>
      <c r="AG5" s="160" t="s">
        <v>174</v>
      </c>
      <c r="AH5" s="101" t="s">
        <v>72</v>
      </c>
      <c r="AI5" s="94" t="s">
        <v>141</v>
      </c>
      <c r="AJ5" s="101" t="s">
        <v>72</v>
      </c>
      <c r="AK5" s="94" t="s">
        <v>142</v>
      </c>
      <c r="AL5" s="101" t="s">
        <v>72</v>
      </c>
      <c r="AM5" s="152" t="s">
        <v>143</v>
      </c>
    </row>
    <row r="6" spans="1:39" ht="14.7" thickTop="1" x14ac:dyDescent="0.55000000000000004">
      <c r="A6" s="93"/>
      <c r="B6" s="95"/>
      <c r="C6" s="96"/>
      <c r="D6" s="42" t="s">
        <v>79</v>
      </c>
      <c r="E6" s="3"/>
      <c r="F6" s="143" t="str">
        <f t="shared" ref="F6:F7" si="0">IF(K6="","",K6)</f>
        <v>g/L</v>
      </c>
      <c r="H6" s="3">
        <v>10</v>
      </c>
      <c r="I6" s="147" t="s">
        <v>252</v>
      </c>
      <c r="J6" s="98">
        <v>1</v>
      </c>
      <c r="K6" s="99" t="s">
        <v>252</v>
      </c>
      <c r="L6" s="293">
        <v>0.1</v>
      </c>
      <c r="M6" s="99" t="s">
        <v>78</v>
      </c>
      <c r="N6" s="109">
        <f>IF(J6="","",J6*L6)</f>
        <v>0.1</v>
      </c>
      <c r="O6" s="145"/>
      <c r="P6" s="110">
        <f t="shared" ref="P6:P27" si="1">IF(C6="",IF(H6="","",N6/H6),C6*N6)</f>
        <v>0.01</v>
      </c>
      <c r="Q6" s="111" t="str">
        <f t="shared" ref="Q6:Q27" si="2">IF(C6,"g",IF(H6,RIGHT(I6,LEN(I6)-FIND("/",I6)),""))</f>
        <v>L</v>
      </c>
      <c r="R6" s="110" t="str">
        <f t="shared" ref="R6:R27" si="3">IF(ISERROR(N6/E6),"",IF(N6/E6=0,"",N6/E6))</f>
        <v/>
      </c>
      <c r="S6" s="115" t="str">
        <f t="shared" ref="S6:S25" si="4">IF(R6="","",M6)</f>
        <v/>
      </c>
      <c r="T6" s="112">
        <f>IF(NOT(P6=""),L6,IF(ISERROR(L6-R6),"",IF(L6-R6&lt;0,"",L6-R6)))</f>
        <v>0.1</v>
      </c>
      <c r="U6" s="111" t="str">
        <f t="shared" ref="U6:U25" si="5">IF(T6="","",M6)</f>
        <v>L</v>
      </c>
      <c r="V6" s="37" t="s">
        <v>15</v>
      </c>
      <c r="W6" s="96"/>
      <c r="X6" s="117">
        <f>IF(ISERROR(P6*W6),"",P6*W6)</f>
        <v>0</v>
      </c>
      <c r="Y6" s="118" t="str">
        <f>Q6</f>
        <v>L</v>
      </c>
      <c r="Z6" s="10" t="str">
        <f t="shared" ref="Z6:Z27" si="6">IF(ISERROR(R6*W6),"",R6*W6)</f>
        <v/>
      </c>
      <c r="AA6" s="122" t="str">
        <f>S6</f>
        <v/>
      </c>
      <c r="AB6" s="110">
        <f t="shared" ref="AB6:AB27" si="7">IF(ISERROR(T6*W6),"",T6*W6)</f>
        <v>0</v>
      </c>
      <c r="AC6" s="111" t="str">
        <f>U6</f>
        <v>L</v>
      </c>
      <c r="AD6" s="38"/>
      <c r="AE6" s="135">
        <f>IF(J6="","",J6)</f>
        <v>1</v>
      </c>
      <c r="AF6" s="10" t="str">
        <f>IF(K6="","",K6)</f>
        <v>g/L</v>
      </c>
      <c r="AG6" s="136"/>
      <c r="AH6" s="10" t="str">
        <f>IF(Q6="","",Q6)</f>
        <v>L</v>
      </c>
      <c r="AI6" s="10">
        <f t="shared" ref="AI6:AI27" si="8">IF(C6="",IF(H6="","",AG6*H6),AG6/C6)</f>
        <v>0</v>
      </c>
      <c r="AJ6" s="137" t="str">
        <f>IF(O6="","",O6)</f>
        <v/>
      </c>
      <c r="AK6" s="132">
        <f t="shared" ref="AK6:AK27" si="9">IF(ISERROR(AI6/AE6),"",AI6/AE6)</f>
        <v>0</v>
      </c>
      <c r="AL6" s="132" t="str">
        <f>IF(A6="","",M6)</f>
        <v/>
      </c>
      <c r="AM6" s="10">
        <f t="shared" ref="AM6:AM27" si="10">IF(ISERROR(AI6*1000/AE6),"",AI6*1000/AE6)</f>
        <v>0</v>
      </c>
    </row>
    <row r="7" spans="1:39" x14ac:dyDescent="0.55000000000000004">
      <c r="A7" s="48"/>
      <c r="B7" s="27"/>
      <c r="C7" s="29"/>
      <c r="D7" s="42" t="s">
        <v>79</v>
      </c>
      <c r="E7" s="3"/>
      <c r="F7" s="143" t="str">
        <f t="shared" si="0"/>
        <v/>
      </c>
      <c r="H7" s="3"/>
      <c r="I7" s="148"/>
      <c r="J7" s="40"/>
      <c r="K7" s="44"/>
      <c r="L7" s="41"/>
      <c r="M7" s="99"/>
      <c r="N7" s="109" t="str">
        <f t="shared" ref="N7:N27" si="11">IF(J7="","",J7*L7)</f>
        <v/>
      </c>
      <c r="O7" s="146"/>
      <c r="P7" s="110" t="str">
        <f t="shared" si="1"/>
        <v/>
      </c>
      <c r="Q7" s="111" t="str">
        <f t="shared" si="2"/>
        <v/>
      </c>
      <c r="R7" s="113" t="str">
        <f t="shared" si="3"/>
        <v/>
      </c>
      <c r="S7" s="115" t="str">
        <f t="shared" si="4"/>
        <v/>
      </c>
      <c r="T7" s="116" t="str">
        <f t="shared" ref="T7:T27" si="12">IF(NOT(P7=""),L7,IF(ISERROR(L7-R7),"",IF(L7-R7&lt;0,"",L7-R7)))</f>
        <v/>
      </c>
      <c r="U7" s="111" t="str">
        <f t="shared" si="5"/>
        <v/>
      </c>
      <c r="V7" s="37"/>
      <c r="W7" s="29"/>
      <c r="X7" s="116" t="str">
        <f>IF(ISERROR(P7*W7),"",P7*W7)</f>
        <v/>
      </c>
      <c r="Y7" s="119" t="str">
        <f>Q7</f>
        <v/>
      </c>
      <c r="Z7" s="10" t="str">
        <f t="shared" si="6"/>
        <v/>
      </c>
      <c r="AA7" s="121" t="str">
        <f>S7</f>
        <v/>
      </c>
      <c r="AB7" s="113" t="str">
        <f t="shared" si="7"/>
        <v/>
      </c>
      <c r="AC7" s="114" t="str">
        <f t="shared" ref="AC7:AC27" si="13">U7</f>
        <v/>
      </c>
      <c r="AD7" s="38"/>
      <c r="AE7" s="135" t="str">
        <f t="shared" ref="AE7:AE27" si="14">IF(J7="","",J7)</f>
        <v/>
      </c>
      <c r="AF7" s="10" t="str">
        <f t="shared" ref="AF7:AF27" si="15">IF(K7="","",K7)</f>
        <v/>
      </c>
      <c r="AG7" s="3"/>
      <c r="AH7" s="10" t="str">
        <f t="shared" ref="AH7:AH27" si="16">IF(Q7="","",Q7)</f>
        <v/>
      </c>
      <c r="AI7" s="10" t="str">
        <f t="shared" si="8"/>
        <v/>
      </c>
      <c r="AJ7" s="137" t="str">
        <f t="shared" ref="AJ7:AJ27" si="17">IF(O7="","",O7)</f>
        <v/>
      </c>
      <c r="AK7" s="132" t="str">
        <f t="shared" si="9"/>
        <v/>
      </c>
      <c r="AL7" s="132" t="str">
        <f t="shared" ref="AL7:AL27" si="18">IF(A7="","",M7)</f>
        <v/>
      </c>
      <c r="AM7" s="133" t="str">
        <f t="shared" si="10"/>
        <v/>
      </c>
    </row>
    <row r="8" spans="1:39" x14ac:dyDescent="0.55000000000000004">
      <c r="A8" s="48"/>
      <c r="B8" s="27"/>
      <c r="C8" s="29"/>
      <c r="D8" s="42" t="s">
        <v>79</v>
      </c>
      <c r="E8" s="3"/>
      <c r="F8" s="143" t="str">
        <f>IF(K8="","",K8)</f>
        <v/>
      </c>
      <c r="H8" s="3"/>
      <c r="I8" s="148"/>
      <c r="J8" s="40"/>
      <c r="K8" s="44"/>
      <c r="L8" s="41"/>
      <c r="M8" s="99"/>
      <c r="N8" s="109" t="str">
        <f t="shared" si="11"/>
        <v/>
      </c>
      <c r="O8" s="146"/>
      <c r="P8" s="110" t="str">
        <f t="shared" si="1"/>
        <v/>
      </c>
      <c r="Q8" s="111" t="str">
        <f t="shared" si="2"/>
        <v/>
      </c>
      <c r="R8" s="113" t="str">
        <f t="shared" si="3"/>
        <v/>
      </c>
      <c r="S8" s="115" t="str">
        <f t="shared" si="4"/>
        <v/>
      </c>
      <c r="T8" s="116" t="str">
        <f t="shared" si="12"/>
        <v/>
      </c>
      <c r="U8" s="111" t="str">
        <f t="shared" si="5"/>
        <v/>
      </c>
      <c r="V8" s="37" t="s">
        <v>15</v>
      </c>
      <c r="W8" s="29"/>
      <c r="X8" s="116" t="str">
        <f t="shared" ref="X8:X27" si="19">IF(ISERROR(P8*W8),"",P8*W8)</f>
        <v/>
      </c>
      <c r="Y8" s="119" t="str">
        <f t="shared" ref="Y8:Y27" si="20">Q8</f>
        <v/>
      </c>
      <c r="Z8" s="10" t="str">
        <f t="shared" si="6"/>
        <v/>
      </c>
      <c r="AA8" s="121" t="str">
        <f t="shared" ref="AA8:AA27" si="21">S8</f>
        <v/>
      </c>
      <c r="AB8" s="113" t="str">
        <f t="shared" si="7"/>
        <v/>
      </c>
      <c r="AC8" s="114" t="str">
        <f t="shared" si="13"/>
        <v/>
      </c>
      <c r="AD8" s="38"/>
      <c r="AE8" s="135" t="str">
        <f t="shared" si="14"/>
        <v/>
      </c>
      <c r="AF8" s="10" t="str">
        <f t="shared" si="15"/>
        <v/>
      </c>
      <c r="AG8" s="3"/>
      <c r="AH8" s="10" t="str">
        <f t="shared" si="16"/>
        <v/>
      </c>
      <c r="AI8" s="10" t="str">
        <f t="shared" si="8"/>
        <v/>
      </c>
      <c r="AJ8" s="137" t="str">
        <f t="shared" si="17"/>
        <v/>
      </c>
      <c r="AK8" s="132" t="str">
        <f t="shared" si="9"/>
        <v/>
      </c>
      <c r="AL8" s="132" t="str">
        <f t="shared" si="18"/>
        <v/>
      </c>
      <c r="AM8" s="133" t="str">
        <f t="shared" si="10"/>
        <v/>
      </c>
    </row>
    <row r="9" spans="1:39" x14ac:dyDescent="0.55000000000000004">
      <c r="A9" s="48"/>
      <c r="B9" s="27"/>
      <c r="C9" s="29"/>
      <c r="D9" s="42" t="s">
        <v>79</v>
      </c>
      <c r="E9" s="3"/>
      <c r="F9" s="143" t="str">
        <f t="shared" ref="F9:F27" si="22">IF(K9="","",K9)</f>
        <v/>
      </c>
      <c r="H9" s="3"/>
      <c r="I9" s="148"/>
      <c r="J9" s="40"/>
      <c r="K9" s="44"/>
      <c r="L9" s="41"/>
      <c r="M9" s="99"/>
      <c r="N9" s="109" t="str">
        <f t="shared" si="11"/>
        <v/>
      </c>
      <c r="O9" s="146"/>
      <c r="P9" s="110" t="str">
        <f t="shared" si="1"/>
        <v/>
      </c>
      <c r="Q9" s="111" t="str">
        <f t="shared" si="2"/>
        <v/>
      </c>
      <c r="R9" s="113" t="str">
        <f t="shared" si="3"/>
        <v/>
      </c>
      <c r="S9" s="115" t="str">
        <f t="shared" si="4"/>
        <v/>
      </c>
      <c r="T9" s="116" t="str">
        <f>IF(NOT(P9=""),L9,IF(ISERROR(L9-R9),"",IF(L9-R9&lt;0,"",L9-R9)))</f>
        <v/>
      </c>
      <c r="U9" s="111" t="str">
        <f t="shared" si="5"/>
        <v/>
      </c>
      <c r="V9" s="37" t="s">
        <v>15</v>
      </c>
      <c r="W9" s="29"/>
      <c r="X9" s="116" t="str">
        <f t="shared" si="19"/>
        <v/>
      </c>
      <c r="Y9" s="119" t="str">
        <f t="shared" si="20"/>
        <v/>
      </c>
      <c r="Z9" s="10" t="str">
        <f t="shared" si="6"/>
        <v/>
      </c>
      <c r="AA9" s="121" t="str">
        <f t="shared" si="21"/>
        <v/>
      </c>
      <c r="AB9" s="113" t="str">
        <f t="shared" si="7"/>
        <v/>
      </c>
      <c r="AC9" s="114" t="str">
        <f t="shared" si="13"/>
        <v/>
      </c>
      <c r="AD9" s="38"/>
      <c r="AE9" s="135" t="str">
        <f t="shared" si="14"/>
        <v/>
      </c>
      <c r="AF9" s="10" t="str">
        <f t="shared" si="15"/>
        <v/>
      </c>
      <c r="AG9" s="3"/>
      <c r="AH9" s="10" t="str">
        <f t="shared" si="16"/>
        <v/>
      </c>
      <c r="AI9" s="10" t="str">
        <f t="shared" si="8"/>
        <v/>
      </c>
      <c r="AJ9" s="137" t="str">
        <f t="shared" si="17"/>
        <v/>
      </c>
      <c r="AK9" s="132" t="str">
        <f t="shared" si="9"/>
        <v/>
      </c>
      <c r="AL9" s="132" t="str">
        <f t="shared" si="18"/>
        <v/>
      </c>
      <c r="AM9" s="133" t="str">
        <f t="shared" si="10"/>
        <v/>
      </c>
    </row>
    <row r="10" spans="1:39" x14ac:dyDescent="0.55000000000000004">
      <c r="A10" s="48"/>
      <c r="B10" s="27"/>
      <c r="C10" s="29"/>
      <c r="D10" s="42" t="s">
        <v>79</v>
      </c>
      <c r="E10" s="3"/>
      <c r="F10" s="143" t="str">
        <f t="shared" si="22"/>
        <v/>
      </c>
      <c r="H10" s="3"/>
      <c r="I10" s="148"/>
      <c r="J10" s="40"/>
      <c r="K10" s="44"/>
      <c r="L10" s="41"/>
      <c r="M10" s="99"/>
      <c r="N10" s="109" t="str">
        <f t="shared" si="11"/>
        <v/>
      </c>
      <c r="O10" s="146"/>
      <c r="P10" s="110" t="str">
        <f t="shared" si="1"/>
        <v/>
      </c>
      <c r="Q10" s="111" t="str">
        <f t="shared" si="2"/>
        <v/>
      </c>
      <c r="R10" s="113" t="str">
        <f t="shared" si="3"/>
        <v/>
      </c>
      <c r="S10" s="115" t="str">
        <f t="shared" si="4"/>
        <v/>
      </c>
      <c r="T10" s="116" t="str">
        <f t="shared" si="12"/>
        <v/>
      </c>
      <c r="U10" s="111" t="str">
        <f t="shared" si="5"/>
        <v/>
      </c>
      <c r="V10" s="37" t="s">
        <v>15</v>
      </c>
      <c r="W10" s="29"/>
      <c r="X10" s="116" t="str">
        <f t="shared" si="19"/>
        <v/>
      </c>
      <c r="Y10" s="119" t="str">
        <f t="shared" si="20"/>
        <v/>
      </c>
      <c r="Z10" s="10" t="str">
        <f t="shared" si="6"/>
        <v/>
      </c>
      <c r="AA10" s="121" t="str">
        <f t="shared" si="21"/>
        <v/>
      </c>
      <c r="AB10" s="113" t="str">
        <f t="shared" si="7"/>
        <v/>
      </c>
      <c r="AC10" s="114" t="str">
        <f t="shared" si="13"/>
        <v/>
      </c>
      <c r="AD10" s="38"/>
      <c r="AE10" s="135" t="str">
        <f t="shared" si="14"/>
        <v/>
      </c>
      <c r="AF10" s="10" t="str">
        <f t="shared" si="15"/>
        <v/>
      </c>
      <c r="AG10" s="3"/>
      <c r="AH10" s="10" t="str">
        <f t="shared" si="16"/>
        <v/>
      </c>
      <c r="AI10" s="10" t="str">
        <f t="shared" si="8"/>
        <v/>
      </c>
      <c r="AJ10" s="137" t="str">
        <f t="shared" si="17"/>
        <v/>
      </c>
      <c r="AK10" s="132" t="str">
        <f t="shared" si="9"/>
        <v/>
      </c>
      <c r="AL10" s="132" t="str">
        <f t="shared" si="18"/>
        <v/>
      </c>
      <c r="AM10" s="133" t="str">
        <f t="shared" si="10"/>
        <v/>
      </c>
    </row>
    <row r="11" spans="1:39" x14ac:dyDescent="0.55000000000000004">
      <c r="A11" s="48"/>
      <c r="B11" s="27"/>
      <c r="C11" s="29"/>
      <c r="D11" s="42" t="s">
        <v>79</v>
      </c>
      <c r="E11" s="3"/>
      <c r="F11" s="143" t="str">
        <f t="shared" si="22"/>
        <v/>
      </c>
      <c r="H11" s="3"/>
      <c r="I11" s="148"/>
      <c r="J11" s="40"/>
      <c r="K11" s="44"/>
      <c r="L11" s="41"/>
      <c r="M11" s="44"/>
      <c r="N11" s="109" t="str">
        <f t="shared" si="11"/>
        <v/>
      </c>
      <c r="O11" s="146"/>
      <c r="P11" s="110" t="str">
        <f t="shared" si="1"/>
        <v/>
      </c>
      <c r="Q11" s="111" t="str">
        <f t="shared" si="2"/>
        <v/>
      </c>
      <c r="R11" s="113" t="str">
        <f t="shared" si="3"/>
        <v/>
      </c>
      <c r="S11" s="115" t="str">
        <f t="shared" si="4"/>
        <v/>
      </c>
      <c r="T11" s="116" t="str">
        <f t="shared" si="12"/>
        <v/>
      </c>
      <c r="U11" s="111" t="str">
        <f t="shared" si="5"/>
        <v/>
      </c>
      <c r="V11" s="37" t="s">
        <v>15</v>
      </c>
      <c r="W11" s="29"/>
      <c r="X11" s="116" t="str">
        <f t="shared" si="19"/>
        <v/>
      </c>
      <c r="Y11" s="119" t="str">
        <f t="shared" si="20"/>
        <v/>
      </c>
      <c r="Z11" s="10" t="str">
        <f t="shared" si="6"/>
        <v/>
      </c>
      <c r="AA11" s="121" t="str">
        <f t="shared" si="21"/>
        <v/>
      </c>
      <c r="AB11" s="113" t="str">
        <f t="shared" si="7"/>
        <v/>
      </c>
      <c r="AC11" s="114" t="str">
        <f t="shared" si="13"/>
        <v/>
      </c>
      <c r="AD11" s="38"/>
      <c r="AE11" s="135" t="str">
        <f t="shared" si="14"/>
        <v/>
      </c>
      <c r="AF11" s="10" t="str">
        <f t="shared" si="15"/>
        <v/>
      </c>
      <c r="AG11" s="3"/>
      <c r="AH11" s="10" t="str">
        <f t="shared" si="16"/>
        <v/>
      </c>
      <c r="AI11" s="10" t="str">
        <f t="shared" si="8"/>
        <v/>
      </c>
      <c r="AJ11" s="137" t="str">
        <f t="shared" si="17"/>
        <v/>
      </c>
      <c r="AK11" s="132" t="str">
        <f t="shared" si="9"/>
        <v/>
      </c>
      <c r="AL11" s="132" t="str">
        <f t="shared" si="18"/>
        <v/>
      </c>
      <c r="AM11" s="133" t="str">
        <f t="shared" si="10"/>
        <v/>
      </c>
    </row>
    <row r="12" spans="1:39" x14ac:dyDescent="0.55000000000000004">
      <c r="A12" s="139"/>
      <c r="B12" s="27"/>
      <c r="C12" s="29"/>
      <c r="D12" s="42" t="s">
        <v>79</v>
      </c>
      <c r="E12" s="3"/>
      <c r="F12" s="143" t="str">
        <f t="shared" si="22"/>
        <v/>
      </c>
      <c r="H12" s="3"/>
      <c r="I12" s="148"/>
      <c r="J12" s="40"/>
      <c r="K12" s="44"/>
      <c r="L12" s="41"/>
      <c r="M12" s="44"/>
      <c r="N12" s="149" t="str">
        <f t="shared" si="11"/>
        <v/>
      </c>
      <c r="O12" s="146"/>
      <c r="P12" s="110" t="str">
        <f t="shared" si="1"/>
        <v/>
      </c>
      <c r="Q12" s="111" t="str">
        <f t="shared" si="2"/>
        <v/>
      </c>
      <c r="R12" s="113" t="str">
        <f t="shared" si="3"/>
        <v/>
      </c>
      <c r="S12" s="115" t="str">
        <f t="shared" si="4"/>
        <v/>
      </c>
      <c r="T12" s="150" t="str">
        <f t="shared" si="12"/>
        <v/>
      </c>
      <c r="U12" s="111" t="str">
        <f t="shared" si="5"/>
        <v/>
      </c>
      <c r="V12" s="37" t="s">
        <v>15</v>
      </c>
      <c r="W12" s="29"/>
      <c r="X12" s="151" t="str">
        <f t="shared" si="19"/>
        <v/>
      </c>
      <c r="Y12" s="119" t="str">
        <f t="shared" si="20"/>
        <v/>
      </c>
      <c r="Z12" s="10" t="str">
        <f t="shared" si="6"/>
        <v/>
      </c>
      <c r="AA12" s="121" t="str">
        <f t="shared" si="21"/>
        <v/>
      </c>
      <c r="AB12" s="113" t="str">
        <f t="shared" si="7"/>
        <v/>
      </c>
      <c r="AC12" s="114" t="str">
        <f t="shared" si="13"/>
        <v/>
      </c>
      <c r="AD12" s="38"/>
      <c r="AE12" s="135" t="str">
        <f t="shared" si="14"/>
        <v/>
      </c>
      <c r="AF12" s="10" t="str">
        <f t="shared" si="15"/>
        <v/>
      </c>
      <c r="AG12" s="3"/>
      <c r="AH12" s="10" t="str">
        <f t="shared" si="16"/>
        <v/>
      </c>
      <c r="AI12" s="10" t="str">
        <f t="shared" si="8"/>
        <v/>
      </c>
      <c r="AJ12" s="137" t="str">
        <f t="shared" si="17"/>
        <v/>
      </c>
      <c r="AK12" s="132" t="str">
        <f t="shared" si="9"/>
        <v/>
      </c>
      <c r="AL12" s="132" t="str">
        <f t="shared" si="18"/>
        <v/>
      </c>
      <c r="AM12" s="133" t="str">
        <f t="shared" si="10"/>
        <v/>
      </c>
    </row>
    <row r="13" spans="1:39" x14ac:dyDescent="0.55000000000000004">
      <c r="A13" s="139"/>
      <c r="B13" s="27"/>
      <c r="C13" s="29"/>
      <c r="D13" s="42" t="s">
        <v>79</v>
      </c>
      <c r="E13" s="3"/>
      <c r="F13" s="143" t="str">
        <f t="shared" si="22"/>
        <v/>
      </c>
      <c r="H13" s="3"/>
      <c r="I13" s="148"/>
      <c r="J13" s="40"/>
      <c r="K13" s="44"/>
      <c r="L13" s="41"/>
      <c r="M13" s="44"/>
      <c r="N13" s="109" t="str">
        <f t="shared" si="11"/>
        <v/>
      </c>
      <c r="O13" s="146"/>
      <c r="P13" s="110" t="str">
        <f t="shared" si="1"/>
        <v/>
      </c>
      <c r="Q13" s="111" t="str">
        <f t="shared" si="2"/>
        <v/>
      </c>
      <c r="R13" s="113" t="str">
        <f t="shared" si="3"/>
        <v/>
      </c>
      <c r="S13" s="115" t="str">
        <f t="shared" si="4"/>
        <v/>
      </c>
      <c r="T13" s="116" t="str">
        <f t="shared" si="12"/>
        <v/>
      </c>
      <c r="U13" s="111" t="str">
        <f t="shared" si="5"/>
        <v/>
      </c>
      <c r="V13" s="37" t="s">
        <v>15</v>
      </c>
      <c r="W13" s="29"/>
      <c r="X13" s="125" t="str">
        <f t="shared" si="19"/>
        <v/>
      </c>
      <c r="Y13" s="119" t="str">
        <f t="shared" si="20"/>
        <v/>
      </c>
      <c r="Z13" s="10" t="str">
        <f t="shared" si="6"/>
        <v/>
      </c>
      <c r="AA13" s="121" t="str">
        <f t="shared" si="21"/>
        <v/>
      </c>
      <c r="AB13" s="113" t="str">
        <f t="shared" si="7"/>
        <v/>
      </c>
      <c r="AC13" s="114" t="str">
        <f t="shared" si="13"/>
        <v/>
      </c>
      <c r="AD13" s="38"/>
      <c r="AE13" s="135" t="str">
        <f t="shared" si="14"/>
        <v/>
      </c>
      <c r="AF13" s="10" t="str">
        <f t="shared" si="15"/>
        <v/>
      </c>
      <c r="AG13" s="3"/>
      <c r="AH13" s="10" t="str">
        <f t="shared" si="16"/>
        <v/>
      </c>
      <c r="AI13" s="10" t="str">
        <f t="shared" si="8"/>
        <v/>
      </c>
      <c r="AJ13" s="137" t="str">
        <f t="shared" si="17"/>
        <v/>
      </c>
      <c r="AK13" s="132" t="str">
        <f t="shared" si="9"/>
        <v/>
      </c>
      <c r="AL13" s="132" t="str">
        <f t="shared" si="18"/>
        <v/>
      </c>
      <c r="AM13" s="133" t="str">
        <f t="shared" si="10"/>
        <v/>
      </c>
    </row>
    <row r="14" spans="1:39" x14ac:dyDescent="0.55000000000000004">
      <c r="A14" s="139"/>
      <c r="B14" s="27"/>
      <c r="C14" s="29"/>
      <c r="D14" s="42" t="s">
        <v>79</v>
      </c>
      <c r="E14" s="3"/>
      <c r="F14" s="143" t="str">
        <f t="shared" si="22"/>
        <v/>
      </c>
      <c r="H14" s="3"/>
      <c r="I14" s="148"/>
      <c r="J14" s="40"/>
      <c r="K14" s="44"/>
      <c r="L14" s="41"/>
      <c r="M14" s="44"/>
      <c r="N14" s="109" t="str">
        <f t="shared" si="11"/>
        <v/>
      </c>
      <c r="O14" s="146"/>
      <c r="P14" s="110" t="str">
        <f t="shared" si="1"/>
        <v/>
      </c>
      <c r="Q14" s="111" t="str">
        <f t="shared" si="2"/>
        <v/>
      </c>
      <c r="R14" s="113" t="str">
        <f t="shared" si="3"/>
        <v/>
      </c>
      <c r="S14" s="115" t="str">
        <f t="shared" si="4"/>
        <v/>
      </c>
      <c r="T14" s="116" t="str">
        <f t="shared" si="12"/>
        <v/>
      </c>
      <c r="U14" s="111" t="str">
        <f t="shared" si="5"/>
        <v/>
      </c>
      <c r="V14" s="37" t="s">
        <v>15</v>
      </c>
      <c r="W14" s="123"/>
      <c r="X14" s="168" t="str">
        <f t="shared" si="19"/>
        <v/>
      </c>
      <c r="Y14" s="124" t="str">
        <f t="shared" si="20"/>
        <v/>
      </c>
      <c r="Z14" s="10" t="str">
        <f t="shared" si="6"/>
        <v/>
      </c>
      <c r="AA14" s="121" t="str">
        <f t="shared" si="21"/>
        <v/>
      </c>
      <c r="AB14" s="113" t="str">
        <f t="shared" si="7"/>
        <v/>
      </c>
      <c r="AC14" s="114" t="str">
        <f t="shared" si="13"/>
        <v/>
      </c>
      <c r="AD14" s="38"/>
      <c r="AE14" s="135" t="str">
        <f t="shared" si="14"/>
        <v/>
      </c>
      <c r="AF14" s="10" t="str">
        <f t="shared" si="15"/>
        <v/>
      </c>
      <c r="AG14" s="3"/>
      <c r="AH14" s="10" t="str">
        <f t="shared" si="16"/>
        <v/>
      </c>
      <c r="AI14" s="10" t="str">
        <f t="shared" si="8"/>
        <v/>
      </c>
      <c r="AJ14" s="137" t="str">
        <f t="shared" si="17"/>
        <v/>
      </c>
      <c r="AK14" s="132" t="str">
        <f t="shared" si="9"/>
        <v/>
      </c>
      <c r="AL14" s="132" t="str">
        <f t="shared" si="18"/>
        <v/>
      </c>
      <c r="AM14" s="133" t="str">
        <f t="shared" si="10"/>
        <v/>
      </c>
    </row>
    <row r="15" spans="1:39" x14ac:dyDescent="0.55000000000000004">
      <c r="A15" s="139"/>
      <c r="B15" s="27"/>
      <c r="C15" s="29"/>
      <c r="D15" s="42" t="s">
        <v>79</v>
      </c>
      <c r="E15" s="3"/>
      <c r="F15" s="143" t="str">
        <f t="shared" ref="F15:F19" si="23">IF(K15="","",K15)</f>
        <v/>
      </c>
      <c r="H15" s="3"/>
      <c r="I15" s="148"/>
      <c r="J15" s="40"/>
      <c r="K15" s="44"/>
      <c r="L15" s="41"/>
      <c r="M15" s="44"/>
      <c r="N15" s="109" t="str">
        <f t="shared" ref="N15:N19" si="24">IF(J15="","",J15*L15)</f>
        <v/>
      </c>
      <c r="O15" s="146"/>
      <c r="P15" s="110" t="str">
        <f t="shared" ref="P15:P19" si="25">IF(C15="",IF(H15="","",N15/H15),C15*N15)</f>
        <v/>
      </c>
      <c r="Q15" s="111" t="str">
        <f t="shared" ref="Q15:Q19" si="26">IF(C15,"g",IF(H15,RIGHT(I15,LEN(I15)-FIND("/",I15)),""))</f>
        <v/>
      </c>
      <c r="R15" s="113" t="str">
        <f t="shared" ref="R15:R19" si="27">IF(ISERROR(N15/E15),"",IF(N15/E15=0,"",N15/E15))</f>
        <v/>
      </c>
      <c r="S15" s="115" t="str">
        <f t="shared" ref="S15:S19" si="28">IF(R15="","",M15)</f>
        <v/>
      </c>
      <c r="T15" s="116" t="str">
        <f t="shared" ref="T15:T19" si="29">IF(NOT(P15=""),L15,IF(ISERROR(L15-R15),"",IF(L15-R15&lt;0,"",L15-R15)))</f>
        <v/>
      </c>
      <c r="U15" s="111" t="str">
        <f t="shared" ref="U15:U19" si="30">IF(T15="","",M15)</f>
        <v/>
      </c>
      <c r="V15" s="37" t="s">
        <v>15</v>
      </c>
      <c r="W15" s="29"/>
      <c r="X15" s="116" t="str">
        <f t="shared" ref="X15:X19" si="31">IF(ISERROR(P15*W15),"",P15*W15)</f>
        <v/>
      </c>
      <c r="Y15" s="119" t="str">
        <f t="shared" ref="Y15:Y19" si="32">Q15</f>
        <v/>
      </c>
      <c r="Z15" s="10" t="str">
        <f t="shared" si="6"/>
        <v/>
      </c>
      <c r="AA15" s="121" t="str">
        <f t="shared" ref="AA15:AA19" si="33">S15</f>
        <v/>
      </c>
      <c r="AB15" s="113" t="str">
        <f t="shared" ref="AB15:AB19" si="34">IF(ISERROR(T15*W15),"",T15*W15)</f>
        <v/>
      </c>
      <c r="AC15" s="114" t="str">
        <f t="shared" ref="AC15:AC19" si="35">U15</f>
        <v/>
      </c>
      <c r="AD15" s="38"/>
      <c r="AE15" s="135" t="str">
        <f t="shared" ref="AE15:AE19" si="36">IF(J15="","",J15)</f>
        <v/>
      </c>
      <c r="AF15" s="10" t="str">
        <f t="shared" ref="AF15:AF19" si="37">IF(K15="","",K15)</f>
        <v/>
      </c>
      <c r="AG15" s="3"/>
      <c r="AH15" s="10" t="str">
        <f t="shared" ref="AH15:AH19" si="38">IF(Q15="","",Q15)</f>
        <v/>
      </c>
      <c r="AI15" s="10" t="str">
        <f t="shared" ref="AI15:AI19" si="39">IF(C15="",IF(H15="","",AG15*H15),AG15/C15)</f>
        <v/>
      </c>
      <c r="AJ15" s="137" t="str">
        <f t="shared" ref="AJ15:AJ19" si="40">IF(O15="","",O15)</f>
        <v/>
      </c>
      <c r="AK15" s="132" t="str">
        <f t="shared" ref="AK15:AK19" si="41">IF(ISERROR(AI15/AE15),"",AI15/AE15)</f>
        <v/>
      </c>
      <c r="AL15" s="132" t="str">
        <f t="shared" ref="AL15:AL19" si="42">IF(A15="","",M15)</f>
        <v/>
      </c>
      <c r="AM15" s="133" t="str">
        <f t="shared" ref="AM15:AM19" si="43">IF(ISERROR(AI15*1000/AE15),"",AI15*1000/AE15)</f>
        <v/>
      </c>
    </row>
    <row r="16" spans="1:39" x14ac:dyDescent="0.55000000000000004">
      <c r="A16" s="139"/>
      <c r="B16" s="27"/>
      <c r="C16" s="29"/>
      <c r="D16" s="42" t="s">
        <v>79</v>
      </c>
      <c r="E16" s="3"/>
      <c r="F16" s="143" t="str">
        <f t="shared" si="23"/>
        <v/>
      </c>
      <c r="H16" s="3"/>
      <c r="I16" s="148"/>
      <c r="J16" s="40"/>
      <c r="K16" s="44"/>
      <c r="L16" s="41"/>
      <c r="M16" s="44"/>
      <c r="N16" s="109" t="str">
        <f t="shared" si="24"/>
        <v/>
      </c>
      <c r="O16" s="146"/>
      <c r="P16" s="110" t="str">
        <f t="shared" si="25"/>
        <v/>
      </c>
      <c r="Q16" s="111" t="str">
        <f t="shared" si="26"/>
        <v/>
      </c>
      <c r="R16" s="113" t="str">
        <f t="shared" si="27"/>
        <v/>
      </c>
      <c r="S16" s="115" t="str">
        <f t="shared" si="28"/>
        <v/>
      </c>
      <c r="T16" s="116" t="str">
        <f t="shared" si="29"/>
        <v/>
      </c>
      <c r="U16" s="111" t="str">
        <f t="shared" si="30"/>
        <v/>
      </c>
      <c r="V16" s="37" t="s">
        <v>15</v>
      </c>
      <c r="W16" s="29"/>
      <c r="X16" s="116" t="str">
        <f t="shared" si="31"/>
        <v/>
      </c>
      <c r="Y16" s="119" t="str">
        <f t="shared" si="32"/>
        <v/>
      </c>
      <c r="Z16" s="10" t="str">
        <f t="shared" si="6"/>
        <v/>
      </c>
      <c r="AA16" s="121" t="str">
        <f t="shared" si="33"/>
        <v/>
      </c>
      <c r="AB16" s="113" t="str">
        <f t="shared" si="34"/>
        <v/>
      </c>
      <c r="AC16" s="114" t="str">
        <f t="shared" si="35"/>
        <v/>
      </c>
      <c r="AD16" s="38"/>
      <c r="AE16" s="135" t="str">
        <f t="shared" si="36"/>
        <v/>
      </c>
      <c r="AF16" s="10" t="str">
        <f t="shared" si="37"/>
        <v/>
      </c>
      <c r="AG16" s="3"/>
      <c r="AH16" s="10" t="str">
        <f t="shared" si="38"/>
        <v/>
      </c>
      <c r="AI16" s="10" t="str">
        <f t="shared" si="39"/>
        <v/>
      </c>
      <c r="AJ16" s="137" t="str">
        <f t="shared" si="40"/>
        <v/>
      </c>
      <c r="AK16" s="132" t="str">
        <f t="shared" si="41"/>
        <v/>
      </c>
      <c r="AL16" s="132" t="str">
        <f t="shared" si="42"/>
        <v/>
      </c>
      <c r="AM16" s="133" t="str">
        <f t="shared" si="43"/>
        <v/>
      </c>
    </row>
    <row r="17" spans="1:39" x14ac:dyDescent="0.55000000000000004">
      <c r="A17" s="48"/>
      <c r="B17" s="27"/>
      <c r="C17" s="29"/>
      <c r="D17" s="42" t="s">
        <v>79</v>
      </c>
      <c r="E17" s="3"/>
      <c r="F17" s="143" t="str">
        <f t="shared" si="23"/>
        <v/>
      </c>
      <c r="H17" s="3"/>
      <c r="I17" s="148"/>
      <c r="J17" s="40"/>
      <c r="K17" s="44"/>
      <c r="L17" s="41"/>
      <c r="M17" s="44"/>
      <c r="N17" s="109" t="str">
        <f t="shared" si="24"/>
        <v/>
      </c>
      <c r="O17" s="146"/>
      <c r="P17" s="110" t="str">
        <f t="shared" si="25"/>
        <v/>
      </c>
      <c r="Q17" s="111" t="str">
        <f t="shared" si="26"/>
        <v/>
      </c>
      <c r="R17" s="113" t="str">
        <f t="shared" si="27"/>
        <v/>
      </c>
      <c r="S17" s="115" t="str">
        <f t="shared" si="28"/>
        <v/>
      </c>
      <c r="T17" s="116" t="str">
        <f t="shared" si="29"/>
        <v/>
      </c>
      <c r="U17" s="111" t="str">
        <f t="shared" si="30"/>
        <v/>
      </c>
      <c r="V17" s="37" t="s">
        <v>15</v>
      </c>
      <c r="W17" s="29"/>
      <c r="X17" s="116" t="str">
        <f t="shared" si="31"/>
        <v/>
      </c>
      <c r="Y17" s="119" t="str">
        <f t="shared" si="32"/>
        <v/>
      </c>
      <c r="Z17" s="10" t="str">
        <f t="shared" si="6"/>
        <v/>
      </c>
      <c r="AA17" s="121" t="str">
        <f t="shared" si="33"/>
        <v/>
      </c>
      <c r="AB17" s="113" t="str">
        <f t="shared" si="34"/>
        <v/>
      </c>
      <c r="AC17" s="114" t="str">
        <f t="shared" si="35"/>
        <v/>
      </c>
      <c r="AD17" s="38"/>
      <c r="AE17" s="135" t="str">
        <f t="shared" si="36"/>
        <v/>
      </c>
      <c r="AF17" s="10" t="str">
        <f t="shared" si="37"/>
        <v/>
      </c>
      <c r="AG17" s="3"/>
      <c r="AH17" s="10" t="str">
        <f t="shared" si="38"/>
        <v/>
      </c>
      <c r="AI17" s="10" t="str">
        <f t="shared" si="39"/>
        <v/>
      </c>
      <c r="AJ17" s="137" t="str">
        <f t="shared" si="40"/>
        <v/>
      </c>
      <c r="AK17" s="132" t="str">
        <f t="shared" si="41"/>
        <v/>
      </c>
      <c r="AL17" s="132" t="str">
        <f t="shared" si="42"/>
        <v/>
      </c>
      <c r="AM17" s="133" t="str">
        <f t="shared" si="43"/>
        <v/>
      </c>
    </row>
    <row r="18" spans="1:39" x14ac:dyDescent="0.55000000000000004">
      <c r="A18" s="48"/>
      <c r="C18" s="91"/>
      <c r="D18" s="42" t="s">
        <v>79</v>
      </c>
      <c r="E18" s="3"/>
      <c r="F18" s="143" t="str">
        <f t="shared" si="23"/>
        <v/>
      </c>
      <c r="H18" s="3"/>
      <c r="I18" s="148"/>
      <c r="J18" s="40"/>
      <c r="K18" s="44"/>
      <c r="L18" s="41"/>
      <c r="M18" s="44"/>
      <c r="N18" s="109" t="str">
        <f t="shared" si="24"/>
        <v/>
      </c>
      <c r="O18" s="146"/>
      <c r="P18" s="110" t="str">
        <f t="shared" si="25"/>
        <v/>
      </c>
      <c r="Q18" s="111" t="str">
        <f t="shared" si="26"/>
        <v/>
      </c>
      <c r="R18" s="113" t="str">
        <f t="shared" si="27"/>
        <v/>
      </c>
      <c r="S18" s="115" t="str">
        <f t="shared" si="28"/>
        <v/>
      </c>
      <c r="T18" s="116" t="str">
        <f t="shared" si="29"/>
        <v/>
      </c>
      <c r="U18" s="111" t="str">
        <f t="shared" si="30"/>
        <v/>
      </c>
      <c r="V18" s="37" t="s">
        <v>15</v>
      </c>
      <c r="W18" s="29"/>
      <c r="X18" s="116" t="str">
        <f t="shared" si="31"/>
        <v/>
      </c>
      <c r="Y18" s="119" t="str">
        <f t="shared" si="32"/>
        <v/>
      </c>
      <c r="Z18" s="10" t="str">
        <f t="shared" si="6"/>
        <v/>
      </c>
      <c r="AA18" s="121" t="str">
        <f t="shared" si="33"/>
        <v/>
      </c>
      <c r="AB18" s="113" t="str">
        <f t="shared" si="34"/>
        <v/>
      </c>
      <c r="AC18" s="114" t="str">
        <f t="shared" si="35"/>
        <v/>
      </c>
      <c r="AD18" s="38"/>
      <c r="AE18" s="135" t="str">
        <f t="shared" si="36"/>
        <v/>
      </c>
      <c r="AF18" s="10" t="str">
        <f t="shared" si="37"/>
        <v/>
      </c>
      <c r="AG18" s="3"/>
      <c r="AH18" s="10" t="str">
        <f t="shared" si="38"/>
        <v/>
      </c>
      <c r="AI18" s="10" t="str">
        <f t="shared" si="39"/>
        <v/>
      </c>
      <c r="AJ18" s="137" t="str">
        <f t="shared" si="40"/>
        <v/>
      </c>
      <c r="AK18" s="132" t="str">
        <f t="shared" si="41"/>
        <v/>
      </c>
      <c r="AL18" s="132" t="str">
        <f t="shared" si="42"/>
        <v/>
      </c>
      <c r="AM18" s="133" t="str">
        <f t="shared" si="43"/>
        <v/>
      </c>
    </row>
    <row r="19" spans="1:39" x14ac:dyDescent="0.55000000000000004">
      <c r="A19" s="48"/>
      <c r="C19" s="91"/>
      <c r="D19" s="42" t="s">
        <v>79</v>
      </c>
      <c r="E19" s="3"/>
      <c r="F19" s="143" t="str">
        <f t="shared" si="23"/>
        <v/>
      </c>
      <c r="H19" s="3"/>
      <c r="I19" s="148"/>
      <c r="J19" s="40"/>
      <c r="K19" s="44"/>
      <c r="L19" s="41"/>
      <c r="M19" s="44"/>
      <c r="N19" s="109" t="str">
        <f t="shared" si="24"/>
        <v/>
      </c>
      <c r="O19" s="146"/>
      <c r="P19" s="110" t="str">
        <f t="shared" si="25"/>
        <v/>
      </c>
      <c r="Q19" s="111" t="str">
        <f t="shared" si="26"/>
        <v/>
      </c>
      <c r="R19" s="113" t="str">
        <f t="shared" si="27"/>
        <v/>
      </c>
      <c r="S19" s="115" t="str">
        <f t="shared" si="28"/>
        <v/>
      </c>
      <c r="T19" s="116" t="str">
        <f t="shared" si="29"/>
        <v/>
      </c>
      <c r="U19" s="111" t="str">
        <f t="shared" si="30"/>
        <v/>
      </c>
      <c r="V19" s="37" t="s">
        <v>15</v>
      </c>
      <c r="W19" s="29"/>
      <c r="X19" s="116" t="str">
        <f t="shared" si="31"/>
        <v/>
      </c>
      <c r="Y19" s="119" t="str">
        <f t="shared" si="32"/>
        <v/>
      </c>
      <c r="Z19" s="10" t="str">
        <f t="shared" si="6"/>
        <v/>
      </c>
      <c r="AA19" s="121" t="str">
        <f t="shared" si="33"/>
        <v/>
      </c>
      <c r="AB19" s="113" t="str">
        <f t="shared" si="34"/>
        <v/>
      </c>
      <c r="AC19" s="114" t="str">
        <f t="shared" si="35"/>
        <v/>
      </c>
      <c r="AD19" s="38"/>
      <c r="AE19" s="135" t="str">
        <f t="shared" si="36"/>
        <v/>
      </c>
      <c r="AF19" s="10" t="str">
        <f t="shared" si="37"/>
        <v/>
      </c>
      <c r="AG19" s="3"/>
      <c r="AH19" s="10" t="str">
        <f t="shared" si="38"/>
        <v/>
      </c>
      <c r="AI19" s="10" t="str">
        <f t="shared" si="39"/>
        <v/>
      </c>
      <c r="AJ19" s="137" t="str">
        <f t="shared" si="40"/>
        <v/>
      </c>
      <c r="AK19" s="132" t="str">
        <f t="shared" si="41"/>
        <v/>
      </c>
      <c r="AL19" s="132" t="str">
        <f t="shared" si="42"/>
        <v/>
      </c>
      <c r="AM19" s="133" t="str">
        <f t="shared" si="43"/>
        <v/>
      </c>
    </row>
    <row r="20" spans="1:39" x14ac:dyDescent="0.55000000000000004">
      <c r="A20" s="139"/>
      <c r="B20" s="27"/>
      <c r="C20" s="29"/>
      <c r="D20" s="42" t="s">
        <v>79</v>
      </c>
      <c r="E20" s="3"/>
      <c r="F20" s="143" t="str">
        <f t="shared" si="22"/>
        <v/>
      </c>
      <c r="H20" s="3"/>
      <c r="I20" s="148"/>
      <c r="J20" s="40"/>
      <c r="K20" s="44"/>
      <c r="L20" s="41"/>
      <c r="M20" s="44"/>
      <c r="N20" s="109" t="str">
        <f t="shared" si="11"/>
        <v/>
      </c>
      <c r="O20" s="146"/>
      <c r="P20" s="110" t="str">
        <f t="shared" si="1"/>
        <v/>
      </c>
      <c r="Q20" s="111" t="str">
        <f t="shared" si="2"/>
        <v/>
      </c>
      <c r="R20" s="113" t="str">
        <f t="shared" si="3"/>
        <v/>
      </c>
      <c r="S20" s="115" t="str">
        <f t="shared" si="4"/>
        <v/>
      </c>
      <c r="T20" s="116" t="str">
        <f t="shared" si="12"/>
        <v/>
      </c>
      <c r="U20" s="111" t="str">
        <f t="shared" si="5"/>
        <v/>
      </c>
      <c r="V20" s="37" t="s">
        <v>15</v>
      </c>
      <c r="W20" s="29"/>
      <c r="X20" s="112" t="str">
        <f t="shared" si="19"/>
        <v/>
      </c>
      <c r="Y20" s="119" t="str">
        <f t="shared" si="20"/>
        <v/>
      </c>
      <c r="Z20" s="10" t="str">
        <f t="shared" si="6"/>
        <v/>
      </c>
      <c r="AA20" s="121" t="str">
        <f t="shared" si="21"/>
        <v/>
      </c>
      <c r="AB20" s="113" t="str">
        <f t="shared" si="7"/>
        <v/>
      </c>
      <c r="AC20" s="114" t="str">
        <f t="shared" si="13"/>
        <v/>
      </c>
      <c r="AD20" s="38"/>
      <c r="AE20" s="135" t="str">
        <f t="shared" si="14"/>
        <v/>
      </c>
      <c r="AF20" s="10" t="str">
        <f t="shared" si="15"/>
        <v/>
      </c>
      <c r="AG20" s="3"/>
      <c r="AH20" s="10" t="str">
        <f t="shared" si="16"/>
        <v/>
      </c>
      <c r="AI20" s="10" t="str">
        <f t="shared" si="8"/>
        <v/>
      </c>
      <c r="AJ20" s="137" t="str">
        <f t="shared" si="17"/>
        <v/>
      </c>
      <c r="AK20" s="132" t="str">
        <f t="shared" si="9"/>
        <v/>
      </c>
      <c r="AL20" s="132" t="str">
        <f t="shared" si="18"/>
        <v/>
      </c>
      <c r="AM20" s="133" t="str">
        <f t="shared" si="10"/>
        <v/>
      </c>
    </row>
    <row r="21" spans="1:39" x14ac:dyDescent="0.55000000000000004">
      <c r="A21" s="139"/>
      <c r="B21" s="27"/>
      <c r="C21" s="29"/>
      <c r="D21" s="42" t="s">
        <v>79</v>
      </c>
      <c r="E21" s="3"/>
      <c r="F21" s="143" t="str">
        <f t="shared" si="22"/>
        <v/>
      </c>
      <c r="H21" s="3"/>
      <c r="I21" s="148"/>
      <c r="J21" s="40"/>
      <c r="K21" s="44"/>
      <c r="L21" s="41"/>
      <c r="M21" s="44"/>
      <c r="N21" s="109" t="str">
        <f t="shared" si="11"/>
        <v/>
      </c>
      <c r="O21" s="146"/>
      <c r="P21" s="110" t="str">
        <f t="shared" si="1"/>
        <v/>
      </c>
      <c r="Q21" s="111" t="str">
        <f t="shared" si="2"/>
        <v/>
      </c>
      <c r="R21" s="113" t="str">
        <f t="shared" si="3"/>
        <v/>
      </c>
      <c r="S21" s="115" t="str">
        <f t="shared" si="4"/>
        <v/>
      </c>
      <c r="T21" s="116" t="str">
        <f t="shared" si="12"/>
        <v/>
      </c>
      <c r="U21" s="111" t="str">
        <f t="shared" si="5"/>
        <v/>
      </c>
      <c r="V21" s="37" t="s">
        <v>15</v>
      </c>
      <c r="W21" s="29"/>
      <c r="X21" s="116" t="str">
        <f t="shared" si="19"/>
        <v/>
      </c>
      <c r="Y21" s="119" t="str">
        <f t="shared" si="20"/>
        <v/>
      </c>
      <c r="Z21" s="10" t="str">
        <f t="shared" si="6"/>
        <v/>
      </c>
      <c r="AA21" s="121" t="str">
        <f t="shared" si="21"/>
        <v/>
      </c>
      <c r="AB21" s="113" t="str">
        <f t="shared" si="7"/>
        <v/>
      </c>
      <c r="AC21" s="114" t="str">
        <f t="shared" si="13"/>
        <v/>
      </c>
      <c r="AD21" s="38"/>
      <c r="AE21" s="135" t="str">
        <f t="shared" si="14"/>
        <v/>
      </c>
      <c r="AF21" s="10" t="str">
        <f t="shared" si="15"/>
        <v/>
      </c>
      <c r="AG21" s="3"/>
      <c r="AH21" s="10" t="str">
        <f t="shared" si="16"/>
        <v/>
      </c>
      <c r="AI21" s="10" t="str">
        <f t="shared" si="8"/>
        <v/>
      </c>
      <c r="AJ21" s="137" t="str">
        <f t="shared" si="17"/>
        <v/>
      </c>
      <c r="AK21" s="132" t="str">
        <f t="shared" si="9"/>
        <v/>
      </c>
      <c r="AL21" s="132" t="str">
        <f t="shared" si="18"/>
        <v/>
      </c>
      <c r="AM21" s="133" t="str">
        <f t="shared" si="10"/>
        <v/>
      </c>
    </row>
    <row r="22" spans="1:39" x14ac:dyDescent="0.55000000000000004">
      <c r="A22" s="139"/>
      <c r="B22" s="27"/>
      <c r="C22" s="29"/>
      <c r="D22" s="42" t="s">
        <v>79</v>
      </c>
      <c r="E22" s="3"/>
      <c r="F22" s="143" t="str">
        <f t="shared" si="22"/>
        <v/>
      </c>
      <c r="H22" s="3"/>
      <c r="I22" s="148"/>
      <c r="J22" s="40"/>
      <c r="K22" s="44"/>
      <c r="L22" s="41"/>
      <c r="M22" s="44"/>
      <c r="N22" s="109" t="str">
        <f t="shared" si="11"/>
        <v/>
      </c>
      <c r="O22" s="146"/>
      <c r="P22" s="110" t="str">
        <f t="shared" si="1"/>
        <v/>
      </c>
      <c r="Q22" s="111" t="str">
        <f t="shared" si="2"/>
        <v/>
      </c>
      <c r="R22" s="113" t="str">
        <f t="shared" si="3"/>
        <v/>
      </c>
      <c r="S22" s="115" t="str">
        <f t="shared" si="4"/>
        <v/>
      </c>
      <c r="T22" s="116" t="str">
        <f t="shared" si="12"/>
        <v/>
      </c>
      <c r="U22" s="111" t="str">
        <f t="shared" si="5"/>
        <v/>
      </c>
      <c r="V22" s="37" t="s">
        <v>15</v>
      </c>
      <c r="W22" s="29"/>
      <c r="X22" s="116" t="str">
        <f t="shared" si="19"/>
        <v/>
      </c>
      <c r="Y22" s="119" t="str">
        <f t="shared" si="20"/>
        <v/>
      </c>
      <c r="Z22" s="10" t="str">
        <f t="shared" si="6"/>
        <v/>
      </c>
      <c r="AA22" s="121" t="str">
        <f t="shared" si="21"/>
        <v/>
      </c>
      <c r="AB22" s="113" t="str">
        <f t="shared" si="7"/>
        <v/>
      </c>
      <c r="AC22" s="114" t="str">
        <f t="shared" si="13"/>
        <v/>
      </c>
      <c r="AD22" s="38"/>
      <c r="AE22" s="135" t="str">
        <f t="shared" si="14"/>
        <v/>
      </c>
      <c r="AF22" s="10" t="str">
        <f t="shared" si="15"/>
        <v/>
      </c>
      <c r="AG22" s="3"/>
      <c r="AH22" s="10" t="str">
        <f t="shared" si="16"/>
        <v/>
      </c>
      <c r="AI22" s="10" t="str">
        <f t="shared" si="8"/>
        <v/>
      </c>
      <c r="AJ22" s="137" t="str">
        <f t="shared" si="17"/>
        <v/>
      </c>
      <c r="AK22" s="132" t="str">
        <f t="shared" si="9"/>
        <v/>
      </c>
      <c r="AL22" s="132" t="str">
        <f t="shared" si="18"/>
        <v/>
      </c>
      <c r="AM22" s="133" t="str">
        <f t="shared" si="10"/>
        <v/>
      </c>
    </row>
    <row r="23" spans="1:39" x14ac:dyDescent="0.55000000000000004">
      <c r="A23" s="48"/>
      <c r="B23" s="27"/>
      <c r="C23" s="29"/>
      <c r="D23" s="42" t="s">
        <v>79</v>
      </c>
      <c r="E23" s="3"/>
      <c r="F23" s="143" t="str">
        <f t="shared" si="22"/>
        <v/>
      </c>
      <c r="H23" s="3"/>
      <c r="I23" s="148"/>
      <c r="J23" s="40"/>
      <c r="K23" s="44"/>
      <c r="L23" s="41"/>
      <c r="M23" s="44"/>
      <c r="N23" s="109" t="str">
        <f t="shared" si="11"/>
        <v/>
      </c>
      <c r="O23" s="146"/>
      <c r="P23" s="110" t="str">
        <f t="shared" si="1"/>
        <v/>
      </c>
      <c r="Q23" s="111" t="str">
        <f t="shared" si="2"/>
        <v/>
      </c>
      <c r="R23" s="113" t="str">
        <f t="shared" si="3"/>
        <v/>
      </c>
      <c r="S23" s="115" t="str">
        <f t="shared" si="4"/>
        <v/>
      </c>
      <c r="T23" s="116" t="str">
        <f t="shared" si="12"/>
        <v/>
      </c>
      <c r="U23" s="111" t="str">
        <f t="shared" si="5"/>
        <v/>
      </c>
      <c r="V23" s="37" t="s">
        <v>15</v>
      </c>
      <c r="W23" s="29"/>
      <c r="X23" s="116" t="str">
        <f t="shared" si="19"/>
        <v/>
      </c>
      <c r="Y23" s="119" t="str">
        <f t="shared" si="20"/>
        <v/>
      </c>
      <c r="Z23" s="10" t="str">
        <f t="shared" si="6"/>
        <v/>
      </c>
      <c r="AA23" s="121" t="str">
        <f t="shared" si="21"/>
        <v/>
      </c>
      <c r="AB23" s="113" t="str">
        <f t="shared" si="7"/>
        <v/>
      </c>
      <c r="AC23" s="114" t="str">
        <f t="shared" si="13"/>
        <v/>
      </c>
      <c r="AD23" s="38"/>
      <c r="AE23" s="135" t="str">
        <f t="shared" si="14"/>
        <v/>
      </c>
      <c r="AF23" s="10" t="str">
        <f t="shared" si="15"/>
        <v/>
      </c>
      <c r="AG23" s="3"/>
      <c r="AH23" s="10" t="str">
        <f t="shared" si="16"/>
        <v/>
      </c>
      <c r="AI23" s="10" t="str">
        <f t="shared" si="8"/>
        <v/>
      </c>
      <c r="AJ23" s="137" t="str">
        <f t="shared" si="17"/>
        <v/>
      </c>
      <c r="AK23" s="132" t="str">
        <f t="shared" si="9"/>
        <v/>
      </c>
      <c r="AL23" s="132" t="str">
        <f t="shared" si="18"/>
        <v/>
      </c>
      <c r="AM23" s="133" t="str">
        <f t="shared" si="10"/>
        <v/>
      </c>
    </row>
    <row r="24" spans="1:39" x14ac:dyDescent="0.55000000000000004">
      <c r="A24" s="48"/>
      <c r="C24" s="91"/>
      <c r="D24" s="42" t="s">
        <v>79</v>
      </c>
      <c r="E24" s="3"/>
      <c r="F24" s="143" t="str">
        <f t="shared" si="22"/>
        <v/>
      </c>
      <c r="H24" s="3"/>
      <c r="I24" s="148"/>
      <c r="J24" s="40"/>
      <c r="K24" s="44"/>
      <c r="L24" s="41"/>
      <c r="M24" s="44"/>
      <c r="N24" s="109" t="str">
        <f t="shared" si="11"/>
        <v/>
      </c>
      <c r="O24" s="146"/>
      <c r="P24" s="110" t="str">
        <f t="shared" si="1"/>
        <v/>
      </c>
      <c r="Q24" s="111" t="str">
        <f t="shared" si="2"/>
        <v/>
      </c>
      <c r="R24" s="113" t="str">
        <f t="shared" si="3"/>
        <v/>
      </c>
      <c r="S24" s="115" t="str">
        <f t="shared" si="4"/>
        <v/>
      </c>
      <c r="T24" s="116" t="str">
        <f t="shared" si="12"/>
        <v/>
      </c>
      <c r="U24" s="111" t="str">
        <f t="shared" si="5"/>
        <v/>
      </c>
      <c r="V24" s="37" t="s">
        <v>15</v>
      </c>
      <c r="W24" s="29"/>
      <c r="X24" s="116" t="str">
        <f t="shared" si="19"/>
        <v/>
      </c>
      <c r="Y24" s="119" t="str">
        <f t="shared" si="20"/>
        <v/>
      </c>
      <c r="Z24" s="10" t="str">
        <f t="shared" si="6"/>
        <v/>
      </c>
      <c r="AA24" s="121" t="str">
        <f t="shared" si="21"/>
        <v/>
      </c>
      <c r="AB24" s="113" t="str">
        <f t="shared" si="7"/>
        <v/>
      </c>
      <c r="AC24" s="114" t="str">
        <f t="shared" si="13"/>
        <v/>
      </c>
      <c r="AD24" s="38"/>
      <c r="AE24" s="135" t="str">
        <f t="shared" si="14"/>
        <v/>
      </c>
      <c r="AF24" s="10" t="str">
        <f t="shared" si="15"/>
        <v/>
      </c>
      <c r="AG24" s="3"/>
      <c r="AH24" s="10" t="str">
        <f t="shared" si="16"/>
        <v/>
      </c>
      <c r="AI24" s="10" t="str">
        <f t="shared" si="8"/>
        <v/>
      </c>
      <c r="AJ24" s="137" t="str">
        <f t="shared" si="17"/>
        <v/>
      </c>
      <c r="AK24" s="132" t="str">
        <f t="shared" si="9"/>
        <v/>
      </c>
      <c r="AL24" s="132" t="str">
        <f t="shared" si="18"/>
        <v/>
      </c>
      <c r="AM24" s="133" t="str">
        <f t="shared" si="10"/>
        <v/>
      </c>
    </row>
    <row r="25" spans="1:39" x14ac:dyDescent="0.55000000000000004">
      <c r="A25" s="48"/>
      <c r="C25" s="91"/>
      <c r="D25" s="42" t="s">
        <v>79</v>
      </c>
      <c r="E25" s="3"/>
      <c r="F25" s="143" t="str">
        <f t="shared" si="22"/>
        <v/>
      </c>
      <c r="H25" s="3"/>
      <c r="I25" s="148"/>
      <c r="J25" s="40"/>
      <c r="K25" s="44"/>
      <c r="L25" s="41"/>
      <c r="M25" s="44"/>
      <c r="N25" s="109" t="str">
        <f t="shared" si="11"/>
        <v/>
      </c>
      <c r="O25" s="146"/>
      <c r="P25" s="110" t="str">
        <f t="shared" si="1"/>
        <v/>
      </c>
      <c r="Q25" s="111" t="str">
        <f t="shared" si="2"/>
        <v/>
      </c>
      <c r="R25" s="113" t="str">
        <f t="shared" si="3"/>
        <v/>
      </c>
      <c r="S25" s="115" t="str">
        <f t="shared" si="4"/>
        <v/>
      </c>
      <c r="T25" s="116" t="str">
        <f t="shared" si="12"/>
        <v/>
      </c>
      <c r="U25" s="111" t="str">
        <f t="shared" si="5"/>
        <v/>
      </c>
      <c r="V25" s="37" t="s">
        <v>15</v>
      </c>
      <c r="W25" s="29"/>
      <c r="X25" s="116" t="str">
        <f t="shared" si="19"/>
        <v/>
      </c>
      <c r="Y25" s="119" t="str">
        <f t="shared" si="20"/>
        <v/>
      </c>
      <c r="Z25" s="10" t="str">
        <f t="shared" si="6"/>
        <v/>
      </c>
      <c r="AA25" s="121" t="str">
        <f t="shared" si="21"/>
        <v/>
      </c>
      <c r="AB25" s="113" t="str">
        <f t="shared" si="7"/>
        <v/>
      </c>
      <c r="AC25" s="114" t="str">
        <f t="shared" si="13"/>
        <v/>
      </c>
      <c r="AD25" s="38"/>
      <c r="AE25" s="135" t="str">
        <f t="shared" si="14"/>
        <v/>
      </c>
      <c r="AF25" s="10" t="str">
        <f t="shared" si="15"/>
        <v/>
      </c>
      <c r="AG25" s="3"/>
      <c r="AH25" s="10" t="str">
        <f t="shared" si="16"/>
        <v/>
      </c>
      <c r="AI25" s="10" t="str">
        <f t="shared" si="8"/>
        <v/>
      </c>
      <c r="AJ25" s="137" t="str">
        <f t="shared" si="17"/>
        <v/>
      </c>
      <c r="AK25" s="132" t="str">
        <f t="shared" si="9"/>
        <v/>
      </c>
      <c r="AL25" s="132" t="str">
        <f t="shared" si="18"/>
        <v/>
      </c>
      <c r="AM25" s="133" t="str">
        <f t="shared" si="10"/>
        <v/>
      </c>
    </row>
    <row r="26" spans="1:39" x14ac:dyDescent="0.55000000000000004">
      <c r="A26" s="140" t="s">
        <v>126</v>
      </c>
      <c r="B26" s="92"/>
      <c r="C26" s="29"/>
      <c r="D26" s="42" t="s">
        <v>79</v>
      </c>
      <c r="E26" s="3">
        <v>100</v>
      </c>
      <c r="F26" s="143" t="str">
        <f t="shared" si="22"/>
        <v>mM</v>
      </c>
      <c r="H26" s="3"/>
      <c r="I26" s="148"/>
      <c r="J26" s="40">
        <v>10</v>
      </c>
      <c r="K26" s="44" t="s">
        <v>76</v>
      </c>
      <c r="L26" s="41">
        <v>190</v>
      </c>
      <c r="M26" s="44" t="s">
        <v>10</v>
      </c>
      <c r="N26" s="109">
        <f t="shared" si="11"/>
        <v>1900</v>
      </c>
      <c r="O26" s="146" t="s">
        <v>120</v>
      </c>
      <c r="P26" s="110" t="str">
        <f t="shared" si="1"/>
        <v/>
      </c>
      <c r="Q26" s="111" t="str">
        <f t="shared" si="2"/>
        <v/>
      </c>
      <c r="R26" s="113">
        <f t="shared" si="3"/>
        <v>19</v>
      </c>
      <c r="S26" s="115" t="str">
        <f>IF(R26="","",M26)</f>
        <v>µL</v>
      </c>
      <c r="T26" s="116">
        <f t="shared" si="12"/>
        <v>171</v>
      </c>
      <c r="U26" s="111" t="str">
        <f>IF(T26="","",M26)</f>
        <v>µL</v>
      </c>
      <c r="V26" s="37" t="s">
        <v>15</v>
      </c>
      <c r="W26" s="29">
        <v>96</v>
      </c>
      <c r="X26" s="116" t="str">
        <f t="shared" si="19"/>
        <v/>
      </c>
      <c r="Y26" s="119" t="str">
        <f t="shared" si="20"/>
        <v/>
      </c>
      <c r="Z26" s="10">
        <f t="shared" si="6"/>
        <v>1824</v>
      </c>
      <c r="AA26" s="121" t="str">
        <f t="shared" si="21"/>
        <v>µL</v>
      </c>
      <c r="AB26" s="113">
        <f t="shared" si="7"/>
        <v>16416</v>
      </c>
      <c r="AC26" s="114" t="str">
        <f t="shared" si="13"/>
        <v>µL</v>
      </c>
      <c r="AD26" s="38"/>
      <c r="AE26" s="135">
        <f t="shared" si="14"/>
        <v>10</v>
      </c>
      <c r="AF26" s="10" t="str">
        <f t="shared" si="15"/>
        <v>mM</v>
      </c>
      <c r="AG26" s="3"/>
      <c r="AH26" s="10" t="str">
        <f t="shared" si="16"/>
        <v/>
      </c>
      <c r="AI26" s="10" t="str">
        <f t="shared" si="8"/>
        <v/>
      </c>
      <c r="AJ26" s="137" t="str">
        <f t="shared" si="17"/>
        <v>mmol</v>
      </c>
      <c r="AK26" s="132" t="str">
        <f t="shared" si="9"/>
        <v/>
      </c>
      <c r="AL26" s="132" t="str">
        <f t="shared" si="18"/>
        <v>µL</v>
      </c>
      <c r="AM26" s="133" t="str">
        <f t="shared" si="10"/>
        <v/>
      </c>
    </row>
    <row r="27" spans="1:39" x14ac:dyDescent="0.55000000000000004">
      <c r="A27" s="140" t="s">
        <v>251</v>
      </c>
      <c r="C27" s="91">
        <v>250.5</v>
      </c>
      <c r="D27" s="42" t="s">
        <v>79</v>
      </c>
      <c r="E27" s="3"/>
      <c r="F27" s="143" t="str">
        <f t="shared" si="22"/>
        <v>M</v>
      </c>
      <c r="H27" s="3"/>
      <c r="I27" s="148"/>
      <c r="J27" s="40">
        <v>0.01</v>
      </c>
      <c r="K27" s="44" t="s">
        <v>17</v>
      </c>
      <c r="L27" s="41">
        <v>1.6416E-2</v>
      </c>
      <c r="M27" s="44" t="s">
        <v>78</v>
      </c>
      <c r="N27" s="109">
        <f t="shared" si="11"/>
        <v>1.6416E-4</v>
      </c>
      <c r="O27" s="146" t="s">
        <v>39</v>
      </c>
      <c r="P27" s="110">
        <f t="shared" si="1"/>
        <v>4.1122079999999998E-2</v>
      </c>
      <c r="Q27" s="111" t="str">
        <f t="shared" si="2"/>
        <v>g</v>
      </c>
      <c r="R27" s="113" t="str">
        <f t="shared" si="3"/>
        <v/>
      </c>
      <c r="S27" s="115" t="str">
        <f>IF(R27="","",M27)</f>
        <v/>
      </c>
      <c r="T27" s="116">
        <f t="shared" si="12"/>
        <v>1.6416E-2</v>
      </c>
      <c r="U27" s="111" t="str">
        <f>IF(T27="","",M27)</f>
        <v>L</v>
      </c>
      <c r="V27" s="37" t="s">
        <v>15</v>
      </c>
      <c r="W27" s="29">
        <v>1</v>
      </c>
      <c r="X27" s="116">
        <f t="shared" si="19"/>
        <v>4.1122079999999998E-2</v>
      </c>
      <c r="Y27" s="119" t="str">
        <f t="shared" si="20"/>
        <v>g</v>
      </c>
      <c r="Z27" s="10" t="str">
        <f t="shared" si="6"/>
        <v/>
      </c>
      <c r="AA27" s="121" t="str">
        <f t="shared" si="21"/>
        <v/>
      </c>
      <c r="AB27" s="113">
        <f t="shared" si="7"/>
        <v>1.6416E-2</v>
      </c>
      <c r="AC27" s="114" t="str">
        <f t="shared" si="13"/>
        <v>L</v>
      </c>
      <c r="AD27" s="38"/>
      <c r="AE27" s="135">
        <f t="shared" si="14"/>
        <v>0.01</v>
      </c>
      <c r="AF27" s="10" t="str">
        <f t="shared" si="15"/>
        <v>M</v>
      </c>
      <c r="AG27" s="3">
        <v>140.30000000000001</v>
      </c>
      <c r="AH27" s="10" t="str">
        <f t="shared" si="16"/>
        <v>g</v>
      </c>
      <c r="AI27" s="10">
        <f t="shared" si="8"/>
        <v>0.56007984031936131</v>
      </c>
      <c r="AJ27" s="137" t="str">
        <f t="shared" si="17"/>
        <v>mol</v>
      </c>
      <c r="AK27" s="132">
        <f t="shared" si="9"/>
        <v>56.007984031936132</v>
      </c>
      <c r="AL27" s="132" t="str">
        <f t="shared" si="18"/>
        <v>L</v>
      </c>
      <c r="AM27" s="133">
        <f t="shared" si="10"/>
        <v>56007.984031936132</v>
      </c>
    </row>
    <row r="28" spans="1:39" x14ac:dyDescent="0.55000000000000004">
      <c r="B28" s="27"/>
      <c r="C28" s="39"/>
      <c r="D28" s="38"/>
      <c r="I28" s="43"/>
      <c r="K28" s="45"/>
      <c r="M28" s="45"/>
      <c r="N28" s="38"/>
      <c r="O28" s="27"/>
      <c r="P28" s="38"/>
      <c r="Q28" s="46"/>
      <c r="R28" s="38"/>
      <c r="S28" s="46"/>
      <c r="T28" s="38"/>
      <c r="U28" s="46"/>
      <c r="V28" s="38"/>
      <c r="W28" s="38"/>
      <c r="X28" s="38"/>
      <c r="Y28" s="120"/>
      <c r="Z28" s="38"/>
      <c r="AA28" s="38"/>
      <c r="AB28" s="38"/>
      <c r="AC28" s="46"/>
      <c r="AD28" s="38"/>
      <c r="AE28" s="38"/>
      <c r="AF28" s="38"/>
    </row>
    <row r="29" spans="1:39" x14ac:dyDescent="0.55000000000000004">
      <c r="B29" s="27"/>
      <c r="C29" s="38"/>
      <c r="D29" s="38"/>
      <c r="I29" s="43"/>
      <c r="K29" s="45"/>
      <c r="M29" s="45"/>
      <c r="N29" s="38"/>
      <c r="O29" s="27"/>
      <c r="P29" s="38"/>
      <c r="Q29" s="46"/>
      <c r="R29" s="38"/>
      <c r="S29" s="46"/>
      <c r="T29" s="38"/>
      <c r="U29" s="46"/>
      <c r="V29" s="38"/>
      <c r="W29" s="38"/>
      <c r="X29" s="38"/>
      <c r="Y29" s="38"/>
      <c r="Z29" s="38"/>
      <c r="AA29" s="38"/>
      <c r="AB29" s="38"/>
      <c r="AC29" s="46"/>
      <c r="AD29" s="38"/>
      <c r="AE29" s="38"/>
      <c r="AF29" s="38"/>
    </row>
    <row r="30" spans="1:39" x14ac:dyDescent="0.55000000000000004">
      <c r="B30" s="27"/>
      <c r="C30" s="38"/>
      <c r="D30" s="38"/>
      <c r="I30" s="43"/>
      <c r="K30" s="45"/>
      <c r="M30" s="45"/>
      <c r="N30" s="38"/>
      <c r="O30" s="27"/>
      <c r="P30" s="38"/>
      <c r="Q30" s="46"/>
      <c r="R30" s="38"/>
      <c r="S30" s="46"/>
      <c r="T30" s="38"/>
      <c r="U30" s="46"/>
      <c r="V30" s="38"/>
      <c r="W30" s="38"/>
      <c r="X30" s="38"/>
      <c r="Y30" s="38"/>
      <c r="Z30" s="38"/>
      <c r="AA30" s="38"/>
      <c r="AB30" s="38"/>
      <c r="AC30" s="46"/>
      <c r="AD30" s="38"/>
      <c r="AE30" s="38"/>
      <c r="AF30" s="38"/>
    </row>
    <row r="31" spans="1:39" x14ac:dyDescent="0.55000000000000004">
      <c r="B31" s="27"/>
      <c r="C31" s="38"/>
      <c r="D31" s="38"/>
      <c r="I31" s="43"/>
      <c r="J31" s="49"/>
      <c r="K31" s="45"/>
      <c r="M31" s="45"/>
      <c r="N31" s="38"/>
      <c r="O31" s="27"/>
      <c r="P31" s="38"/>
      <c r="Q31" s="46"/>
      <c r="R31" s="38"/>
      <c r="S31" s="46"/>
      <c r="T31" s="38"/>
      <c r="U31" s="46"/>
      <c r="V31" s="38"/>
      <c r="W31" s="38"/>
      <c r="X31" s="38"/>
      <c r="Y31" s="38"/>
      <c r="Z31" s="38"/>
      <c r="AA31" s="38"/>
      <c r="AB31" s="38"/>
      <c r="AC31" s="46"/>
      <c r="AD31" s="38"/>
      <c r="AE31" s="38"/>
      <c r="AF31" s="38"/>
    </row>
    <row r="32" spans="1:39" x14ac:dyDescent="0.55000000000000004">
      <c r="B32" s="27"/>
      <c r="C32" s="38"/>
      <c r="D32" s="38"/>
      <c r="I32" s="43"/>
      <c r="J32" s="49"/>
      <c r="K32" s="45"/>
      <c r="M32" s="45"/>
      <c r="N32" s="38"/>
      <c r="O32" s="27"/>
      <c r="P32" s="38"/>
      <c r="Q32" s="46"/>
      <c r="R32" s="38"/>
      <c r="S32" s="46"/>
      <c r="T32" s="38"/>
      <c r="U32" s="46"/>
      <c r="V32" s="38"/>
      <c r="W32" s="38"/>
      <c r="X32" s="38"/>
      <c r="Y32" s="38"/>
      <c r="Z32" s="38"/>
      <c r="AA32" s="38"/>
      <c r="AB32" s="38"/>
      <c r="AC32" s="46"/>
      <c r="AD32" s="38"/>
      <c r="AE32" s="38"/>
      <c r="AF32" s="38"/>
    </row>
    <row r="33" spans="1:32" x14ac:dyDescent="0.55000000000000004">
      <c r="B33" s="27"/>
      <c r="C33" s="38"/>
      <c r="D33" s="38"/>
      <c r="I33" s="43"/>
      <c r="K33" s="45"/>
      <c r="N33" s="38"/>
      <c r="O33" s="27"/>
      <c r="P33" s="38"/>
      <c r="Q33" s="38"/>
      <c r="R33" s="38"/>
      <c r="S33" s="46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32" x14ac:dyDescent="0.55000000000000004">
      <c r="B34" s="27"/>
      <c r="C34" s="38"/>
      <c r="D34" s="38"/>
      <c r="I34" s="43"/>
      <c r="K34" s="45"/>
      <c r="N34" s="38"/>
      <c r="O34" s="27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</row>
    <row r="35" spans="1:32" x14ac:dyDescent="0.55000000000000004">
      <c r="B35" s="27"/>
      <c r="C35" s="38"/>
      <c r="D35" s="38"/>
      <c r="I35" s="43"/>
      <c r="K35" s="45"/>
      <c r="N35" s="38"/>
      <c r="O35" s="27"/>
      <c r="P35" s="38"/>
      <c r="Q35" s="38"/>
      <c r="X35" s="38"/>
      <c r="Y35" s="38"/>
    </row>
    <row r="36" spans="1:32" x14ac:dyDescent="0.55000000000000004">
      <c r="B36" s="27"/>
      <c r="C36" s="38"/>
      <c r="D36" s="38"/>
      <c r="I36" s="43"/>
      <c r="K36" s="45"/>
      <c r="N36" s="38"/>
      <c r="O36" s="27"/>
      <c r="P36" s="38"/>
      <c r="Q36" s="38"/>
      <c r="X36" s="38"/>
      <c r="Y36" s="38"/>
    </row>
    <row r="37" spans="1:32" x14ac:dyDescent="0.55000000000000004">
      <c r="B37" s="27"/>
      <c r="C37" s="38"/>
      <c r="D37" s="38"/>
      <c r="J37" s="49"/>
      <c r="K37" s="45"/>
      <c r="N37" s="38"/>
      <c r="O37" s="27"/>
      <c r="P37" s="38"/>
      <c r="Q37" s="38"/>
      <c r="X37" s="38"/>
      <c r="Y37" s="38"/>
      <c r="Z37" s="38"/>
      <c r="AA37" s="38"/>
    </row>
    <row r="38" spans="1:32" x14ac:dyDescent="0.55000000000000004">
      <c r="C38" s="38"/>
      <c r="D38" s="38"/>
      <c r="K38" s="45"/>
      <c r="P38" s="38"/>
      <c r="X38" s="38"/>
      <c r="Y38" s="38"/>
    </row>
    <row r="39" spans="1:32" x14ac:dyDescent="0.55000000000000004">
      <c r="C39" s="38"/>
      <c r="D39" s="38"/>
      <c r="P39" s="38"/>
      <c r="X39" s="38"/>
      <c r="Y39" s="38"/>
    </row>
    <row r="40" spans="1:32" x14ac:dyDescent="0.55000000000000004">
      <c r="P40" s="38"/>
      <c r="X40" s="38"/>
      <c r="Y40" s="38"/>
    </row>
    <row r="41" spans="1:32" x14ac:dyDescent="0.55000000000000004">
      <c r="P41" s="38"/>
      <c r="X41" s="38"/>
      <c r="Y41" s="38"/>
    </row>
    <row r="42" spans="1:32" x14ac:dyDescent="0.55000000000000004">
      <c r="P42" s="38"/>
      <c r="X42" s="38"/>
      <c r="Y42" s="38"/>
    </row>
    <row r="43" spans="1:32" x14ac:dyDescent="0.55000000000000004">
      <c r="A43" s="161" t="s">
        <v>179</v>
      </c>
      <c r="B43" s="286"/>
      <c r="C43" s="286"/>
      <c r="P43" s="38"/>
      <c r="X43" s="38"/>
      <c r="Y43" s="38"/>
    </row>
    <row r="44" spans="1:32" x14ac:dyDescent="0.55000000000000004">
      <c r="A44" s="161" t="s">
        <v>255</v>
      </c>
      <c r="B44" s="286"/>
      <c r="C44" s="286"/>
      <c r="P44" s="38"/>
      <c r="X44" s="38"/>
      <c r="Y44" s="38"/>
    </row>
    <row r="45" spans="1:32" x14ac:dyDescent="0.55000000000000004">
      <c r="A45" s="297" t="s">
        <v>254</v>
      </c>
      <c r="B45" s="286"/>
      <c r="C45" s="286"/>
      <c r="P45" s="38"/>
      <c r="X45" s="38"/>
      <c r="Y45" s="38"/>
    </row>
    <row r="46" spans="1:32" x14ac:dyDescent="0.55000000000000004">
      <c r="P46" s="38"/>
      <c r="X46" s="38"/>
      <c r="Y46" s="38"/>
    </row>
    <row r="47" spans="1:32" x14ac:dyDescent="0.55000000000000004">
      <c r="P47" s="38"/>
      <c r="X47" s="38"/>
      <c r="Y47" s="38"/>
    </row>
    <row r="48" spans="1:32" x14ac:dyDescent="0.55000000000000004">
      <c r="P48" s="38"/>
      <c r="X48" s="38"/>
      <c r="Y48" s="38"/>
    </row>
    <row r="49" spans="16:25" x14ac:dyDescent="0.55000000000000004">
      <c r="P49" s="38"/>
      <c r="X49" s="38"/>
      <c r="Y49" s="38"/>
    </row>
    <row r="50" spans="16:25" x14ac:dyDescent="0.55000000000000004">
      <c r="P50" s="38"/>
      <c r="X50" s="38"/>
      <c r="Y50" s="38"/>
    </row>
    <row r="51" spans="16:25" x14ac:dyDescent="0.55000000000000004">
      <c r="P51" s="38"/>
      <c r="X51" s="38"/>
      <c r="Y51" s="38"/>
    </row>
    <row r="52" spans="16:25" x14ac:dyDescent="0.55000000000000004">
      <c r="P52" s="38"/>
      <c r="X52" s="38"/>
      <c r="Y52" s="38"/>
    </row>
    <row r="53" spans="16:25" x14ac:dyDescent="0.55000000000000004">
      <c r="P53" s="38"/>
      <c r="X53" s="38"/>
      <c r="Y53" s="38"/>
    </row>
    <row r="54" spans="16:25" x14ac:dyDescent="0.55000000000000004">
      <c r="X54" s="38"/>
      <c r="Y54" s="38"/>
    </row>
    <row r="55" spans="16:25" x14ac:dyDescent="0.55000000000000004">
      <c r="X55" s="38"/>
      <c r="Y55" s="38"/>
    </row>
    <row r="56" spans="16:25" x14ac:dyDescent="0.55000000000000004">
      <c r="X56" s="38"/>
      <c r="Y56" s="38"/>
    </row>
    <row r="57" spans="16:25" x14ac:dyDescent="0.55000000000000004">
      <c r="X57" s="38"/>
    </row>
    <row r="58" spans="16:25" x14ac:dyDescent="0.55000000000000004">
      <c r="X58" s="38"/>
    </row>
    <row r="59" spans="16:25" x14ac:dyDescent="0.55000000000000004">
      <c r="X59" s="38"/>
    </row>
    <row r="60" spans="16:25" x14ac:dyDescent="0.55000000000000004">
      <c r="X60" s="38"/>
    </row>
    <row r="61" spans="16:25" x14ac:dyDescent="0.55000000000000004">
      <c r="X61" s="38"/>
    </row>
    <row r="62" spans="16:25" x14ac:dyDescent="0.55000000000000004">
      <c r="X62" s="38"/>
    </row>
    <row r="63" spans="16:25" x14ac:dyDescent="0.55000000000000004">
      <c r="X63" s="38"/>
    </row>
    <row r="64" spans="16:25" x14ac:dyDescent="0.55000000000000004">
      <c r="X64" s="38"/>
    </row>
    <row r="65" spans="24:24" x14ac:dyDescent="0.55000000000000004">
      <c r="X65" s="38"/>
    </row>
    <row r="66" spans="24:24" x14ac:dyDescent="0.55000000000000004">
      <c r="X66" s="38"/>
    </row>
    <row r="67" spans="24:24" x14ac:dyDescent="0.55000000000000004">
      <c r="X67" s="38"/>
    </row>
    <row r="68" spans="24:24" x14ac:dyDescent="0.55000000000000004">
      <c r="X68" s="38"/>
    </row>
  </sheetData>
  <mergeCells count="13">
    <mergeCell ref="A1:B2"/>
    <mergeCell ref="C1:H1"/>
    <mergeCell ref="J1:N1"/>
    <mergeCell ref="P1:T1"/>
    <mergeCell ref="V4:AC4"/>
    <mergeCell ref="C2:H2"/>
    <mergeCell ref="C4:I4"/>
    <mergeCell ref="AE2:AM2"/>
    <mergeCell ref="J2:N2"/>
    <mergeCell ref="P2:T2"/>
    <mergeCell ref="J4:M4"/>
    <mergeCell ref="AE4:AM4"/>
    <mergeCell ref="P4:T4"/>
  </mergeCells>
  <pageMargins left="0.7" right="0.7" top="0.75" bottom="0.75" header="0.3" footer="0.3"/>
  <pageSetup orientation="portrait" r:id="rId1"/>
  <ignoredErrors>
    <ignoredError sqref="AB20:AB27 Z21:Z25 Z6:Z14 AB6:AB14 Z15:Z20 AB15:AB19 Z26:Z27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V48"/>
  <sheetViews>
    <sheetView zoomScale="87" zoomScaleNormal="120" workbookViewId="0">
      <selection activeCell="C5" sqref="C5"/>
    </sheetView>
  </sheetViews>
  <sheetFormatPr defaultRowHeight="14.4" x14ac:dyDescent="0.55000000000000004"/>
  <cols>
    <col min="3" max="3" width="14.20703125" customWidth="1"/>
    <col min="4" max="4" width="5.1015625" customWidth="1"/>
    <col min="5" max="5" width="10" customWidth="1"/>
    <col min="6" max="6" width="4.7890625" customWidth="1"/>
    <col min="7" max="7" width="6.7890625" customWidth="1"/>
    <col min="8" max="8" width="11.7890625" customWidth="1"/>
    <col min="9" max="9" width="4.1015625" customWidth="1"/>
    <col min="10" max="10" width="8.1015625" customWidth="1"/>
    <col min="11" max="11" width="9.68359375" customWidth="1"/>
    <col min="12" max="12" width="11" customWidth="1"/>
    <col min="13" max="13" width="8.5234375" customWidth="1"/>
    <col min="20" max="20" width="14.41796875" customWidth="1"/>
    <col min="21" max="21" width="5.41796875" customWidth="1"/>
    <col min="23" max="23" width="6" customWidth="1"/>
    <col min="25" max="25" width="11.3125" customWidth="1"/>
    <col min="26" max="26" width="4.7890625" customWidth="1"/>
    <col min="29" max="29" width="10.89453125" customWidth="1"/>
    <col min="31" max="31" width="4.1015625" customWidth="1"/>
    <col min="37" max="37" width="14.41796875" customWidth="1"/>
    <col min="38" max="38" width="4.7890625" customWidth="1"/>
    <col min="40" max="40" width="5.1015625" customWidth="1"/>
    <col min="42" max="42" width="12" customWidth="1"/>
    <col min="43" max="43" width="3.7890625" customWidth="1"/>
    <col min="46" max="46" width="11.7890625" customWidth="1"/>
    <col min="48" max="48" width="3.89453125" customWidth="1"/>
  </cols>
  <sheetData>
    <row r="1" spans="1:48" ht="55.8" customHeight="1" x14ac:dyDescent="0.55000000000000004">
      <c r="A1" s="578" t="s">
        <v>271</v>
      </c>
      <c r="B1" s="578"/>
      <c r="C1" s="578"/>
      <c r="D1" s="577" t="s">
        <v>265</v>
      </c>
      <c r="E1" s="577"/>
      <c r="F1" s="577"/>
      <c r="G1" s="577"/>
      <c r="H1" s="577"/>
      <c r="I1" s="577"/>
      <c r="J1" s="577"/>
      <c r="K1" s="577"/>
      <c r="L1" s="577"/>
      <c r="M1" s="577"/>
      <c r="N1" s="577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  <c r="AE1" s="303"/>
      <c r="AF1" s="303"/>
      <c r="AG1" s="303"/>
      <c r="AH1" s="303"/>
      <c r="AI1" s="303"/>
      <c r="AJ1" s="303"/>
      <c r="AK1" s="303"/>
      <c r="AL1" s="303"/>
      <c r="AM1" s="303"/>
      <c r="AN1" s="303"/>
      <c r="AO1" s="303"/>
      <c r="AP1" s="303"/>
      <c r="AQ1" s="303"/>
      <c r="AR1" s="303"/>
      <c r="AS1" s="303"/>
      <c r="AT1" s="303"/>
      <c r="AU1" s="303"/>
      <c r="AV1" s="303"/>
    </row>
    <row r="2" spans="1:48" ht="16.2" customHeight="1" x14ac:dyDescent="0.55000000000000004">
      <c r="A2" s="304"/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4"/>
      <c r="M2" s="304"/>
      <c r="N2" s="304"/>
      <c r="O2" s="303"/>
      <c r="P2" s="303"/>
      <c r="Q2" s="303"/>
      <c r="R2" s="304"/>
      <c r="S2" s="305"/>
      <c r="T2" s="305"/>
      <c r="U2" s="305"/>
      <c r="V2" s="305"/>
      <c r="W2" s="305"/>
      <c r="X2" s="305"/>
      <c r="Y2" s="305"/>
      <c r="Z2" s="305"/>
      <c r="AA2" s="305"/>
      <c r="AB2" s="305"/>
      <c r="AC2" s="304"/>
      <c r="AD2" s="304"/>
      <c r="AE2" s="304"/>
      <c r="AF2" s="303"/>
      <c r="AG2" s="303"/>
      <c r="AH2" s="303"/>
      <c r="AI2" s="304"/>
      <c r="AJ2" s="305"/>
      <c r="AK2" s="305"/>
      <c r="AL2" s="305"/>
      <c r="AM2" s="305"/>
      <c r="AN2" s="305"/>
      <c r="AO2" s="305"/>
      <c r="AP2" s="305"/>
      <c r="AQ2" s="305"/>
      <c r="AR2" s="305"/>
      <c r="AS2" s="305"/>
      <c r="AT2" s="304"/>
      <c r="AU2" s="304"/>
      <c r="AV2" s="304"/>
    </row>
    <row r="3" spans="1:48" x14ac:dyDescent="0.55000000000000004">
      <c r="A3" s="304"/>
      <c r="B3" s="306" t="s">
        <v>121</v>
      </c>
      <c r="C3" s="307">
        <v>0.1</v>
      </c>
      <c r="D3" s="575" t="s">
        <v>135</v>
      </c>
      <c r="E3" s="575"/>
      <c r="F3" s="575"/>
      <c r="G3" s="575"/>
      <c r="H3" s="575"/>
      <c r="I3" s="575"/>
      <c r="J3" s="575"/>
      <c r="K3" s="575"/>
      <c r="L3" s="575"/>
      <c r="M3" s="575"/>
      <c r="N3" s="575"/>
      <c r="O3" s="303"/>
      <c r="P3" s="303"/>
      <c r="Q3" s="303"/>
      <c r="R3" s="304"/>
      <c r="S3" s="306" t="s">
        <v>121</v>
      </c>
      <c r="T3" s="307">
        <v>0.1</v>
      </c>
      <c r="U3" s="575" t="s">
        <v>135</v>
      </c>
      <c r="V3" s="575"/>
      <c r="W3" s="575"/>
      <c r="X3" s="575"/>
      <c r="Y3" s="575"/>
      <c r="Z3" s="575"/>
      <c r="AA3" s="575"/>
      <c r="AB3" s="575"/>
      <c r="AC3" s="575"/>
      <c r="AD3" s="575"/>
      <c r="AE3" s="575"/>
      <c r="AF3" s="303"/>
      <c r="AG3" s="303"/>
      <c r="AH3" s="303"/>
      <c r="AI3" s="304"/>
      <c r="AJ3" s="306" t="s">
        <v>121</v>
      </c>
      <c r="AK3" s="307">
        <v>0.1</v>
      </c>
      <c r="AL3" s="575" t="s">
        <v>135</v>
      </c>
      <c r="AM3" s="575"/>
      <c r="AN3" s="575"/>
      <c r="AO3" s="575"/>
      <c r="AP3" s="575"/>
      <c r="AQ3" s="575"/>
      <c r="AR3" s="575"/>
      <c r="AS3" s="575"/>
      <c r="AT3" s="575"/>
      <c r="AU3" s="575"/>
      <c r="AV3" s="575"/>
    </row>
    <row r="4" spans="1:48" s="127" customFormat="1" ht="36.6" customHeight="1" x14ac:dyDescent="0.55000000000000004">
      <c r="A4" s="303"/>
      <c r="B4" s="308" t="s">
        <v>258</v>
      </c>
      <c r="C4" s="308" t="s">
        <v>261</v>
      </c>
      <c r="D4" s="308" t="s">
        <v>259</v>
      </c>
      <c r="E4" s="308" t="s">
        <v>177</v>
      </c>
      <c r="F4" s="308" t="s">
        <v>259</v>
      </c>
      <c r="G4" s="309" t="s">
        <v>260</v>
      </c>
      <c r="H4" s="308" t="s">
        <v>264</v>
      </c>
      <c r="I4" s="308"/>
      <c r="J4" s="308" t="s">
        <v>123</v>
      </c>
      <c r="K4" s="580" t="s">
        <v>124</v>
      </c>
      <c r="L4" s="580"/>
      <c r="M4" s="465" t="s">
        <v>277</v>
      </c>
      <c r="N4" s="310"/>
      <c r="O4" s="310"/>
      <c r="P4" s="310"/>
      <c r="Q4" s="310"/>
      <c r="R4" s="303"/>
      <c r="S4" s="308" t="s">
        <v>258</v>
      </c>
      <c r="T4" s="308" t="s">
        <v>261</v>
      </c>
      <c r="U4" s="308" t="s">
        <v>259</v>
      </c>
      <c r="V4" s="308" t="s">
        <v>177</v>
      </c>
      <c r="W4" s="308" t="s">
        <v>259</v>
      </c>
      <c r="X4" s="309" t="s">
        <v>260</v>
      </c>
      <c r="Y4" s="308" t="s">
        <v>264</v>
      </c>
      <c r="Z4" s="308"/>
      <c r="AA4" s="308" t="s">
        <v>123</v>
      </c>
      <c r="AB4" s="580" t="s">
        <v>124</v>
      </c>
      <c r="AC4" s="580"/>
      <c r="AD4" s="308" t="s">
        <v>277</v>
      </c>
      <c r="AE4" s="310"/>
      <c r="AF4" s="310"/>
      <c r="AG4" s="310"/>
      <c r="AH4" s="310"/>
      <c r="AI4" s="303"/>
      <c r="AJ4" s="308" t="s">
        <v>258</v>
      </c>
      <c r="AK4" s="308" t="s">
        <v>261</v>
      </c>
      <c r="AL4" s="308" t="s">
        <v>259</v>
      </c>
      <c r="AM4" s="308" t="s">
        <v>177</v>
      </c>
      <c r="AN4" s="308" t="s">
        <v>259</v>
      </c>
      <c r="AO4" s="309" t="s">
        <v>260</v>
      </c>
      <c r="AP4" s="308" t="s">
        <v>264</v>
      </c>
      <c r="AQ4" s="308"/>
      <c r="AR4" s="308" t="s">
        <v>123</v>
      </c>
      <c r="AS4" s="580" t="s">
        <v>124</v>
      </c>
      <c r="AT4" s="580"/>
      <c r="AU4" s="308" t="s">
        <v>277</v>
      </c>
      <c r="AV4" s="310"/>
    </row>
    <row r="5" spans="1:48" x14ac:dyDescent="0.55000000000000004">
      <c r="A5" s="318" t="s">
        <v>28</v>
      </c>
      <c r="B5" s="303"/>
      <c r="C5" s="488"/>
      <c r="D5" s="487" t="s">
        <v>17</v>
      </c>
      <c r="E5" s="488"/>
      <c r="F5" s="487" t="s">
        <v>10</v>
      </c>
      <c r="G5" s="311"/>
      <c r="H5" s="481" t="str">
        <f>IF(C5="","",E5*IF(G5="",1,G5)*(1+C3)+IF(K6="",0,K6))</f>
        <v/>
      </c>
      <c r="I5" s="312" t="str">
        <f>IF(C5="","",F5)</f>
        <v/>
      </c>
      <c r="J5" s="313">
        <v>1</v>
      </c>
      <c r="K5" s="314">
        <v>0</v>
      </c>
      <c r="L5" s="303"/>
      <c r="M5" s="463" t="str">
        <f>IF(C5="","",H5-K5)</f>
        <v/>
      </c>
      <c r="N5" s="461" t="str">
        <f>IF(F5="","",F5)</f>
        <v>µL</v>
      </c>
      <c r="O5" s="303"/>
      <c r="P5" s="303"/>
      <c r="Q5" s="303"/>
      <c r="R5" s="318" t="s">
        <v>28</v>
      </c>
      <c r="S5" s="303"/>
      <c r="T5" s="488"/>
      <c r="U5" s="487" t="s">
        <v>181</v>
      </c>
      <c r="V5" s="488"/>
      <c r="W5" s="487" t="s">
        <v>52</v>
      </c>
      <c r="X5" s="311"/>
      <c r="Y5" s="481" t="str">
        <f>IF(T5="","",V5*IF(X5="",1,X5)*(1+T3)+IF(AB6="",0,AB6))</f>
        <v/>
      </c>
      <c r="Z5" s="312" t="str">
        <f>IF(T5="","",W5)</f>
        <v/>
      </c>
      <c r="AA5" s="313">
        <v>1</v>
      </c>
      <c r="AB5" s="314">
        <v>0</v>
      </c>
      <c r="AC5" s="303"/>
      <c r="AD5" s="463" t="str">
        <f>IF(T5="","",Y5-AB5)</f>
        <v/>
      </c>
      <c r="AE5" s="461" t="str">
        <f>IF(W5="","",W5)</f>
        <v>mL</v>
      </c>
      <c r="AF5" s="303"/>
      <c r="AG5" s="303"/>
      <c r="AH5" s="303"/>
      <c r="AI5" s="318" t="s">
        <v>28</v>
      </c>
      <c r="AJ5" s="303"/>
      <c r="AK5" s="488"/>
      <c r="AL5" s="487" t="s">
        <v>134</v>
      </c>
      <c r="AM5" s="488"/>
      <c r="AN5" s="487" t="s">
        <v>10</v>
      </c>
      <c r="AO5" s="311"/>
      <c r="AP5" s="481" t="str">
        <f>IF(AK5="","",AM5*IF(AO5="",1,AO5)*(1+AK3)+IF(AS6="",0,AS6))</f>
        <v/>
      </c>
      <c r="AQ5" s="312" t="str">
        <f>IF(AK5="","",AN5)</f>
        <v/>
      </c>
      <c r="AR5" s="313">
        <v>1</v>
      </c>
      <c r="AS5" s="493">
        <v>0</v>
      </c>
      <c r="AT5" s="303"/>
      <c r="AU5" s="463" t="str">
        <f>IF(AK5="","",AP5-AS5)</f>
        <v/>
      </c>
      <c r="AV5" s="461" t="str">
        <f>IF(AN5="","",AN5)</f>
        <v>µL</v>
      </c>
    </row>
    <row r="6" spans="1:48" x14ac:dyDescent="0.55000000000000004">
      <c r="A6" s="318" t="s">
        <v>29</v>
      </c>
      <c r="B6" s="303"/>
      <c r="C6" s="488"/>
      <c r="D6" s="315" t="str">
        <f>IF(C6="","",D5)</f>
        <v/>
      </c>
      <c r="E6" s="488"/>
      <c r="F6" s="315" t="str">
        <f>IF(E6="","",F5)</f>
        <v/>
      </c>
      <c r="G6" s="311"/>
      <c r="H6" s="489" t="str">
        <f>IF(C6="","",E6*IF(G6="",1,G6)*(1+C3)+IF(K7="",0,K7))</f>
        <v/>
      </c>
      <c r="I6" s="315" t="str">
        <f t="shared" ref="I6:I19" si="0">IF(C6="","",F6)</f>
        <v/>
      </c>
      <c r="J6" s="316" t="str">
        <f>IF(C6="","",C6/C5)</f>
        <v/>
      </c>
      <c r="K6" s="490" t="str">
        <f t="shared" ref="K6:K19" si="1">IF(C6="","",H6*J6)</f>
        <v/>
      </c>
      <c r="L6" s="461" t="str">
        <f>IF(C6="","",CONCATENATE(F5," ",C5," ",D5, " in"))</f>
        <v/>
      </c>
      <c r="M6" s="463" t="str">
        <f>IF(C6="","",H6-K6)</f>
        <v/>
      </c>
      <c r="N6" s="461" t="str">
        <f>IF(F6="","",F5)</f>
        <v/>
      </c>
      <c r="O6" s="303"/>
      <c r="P6" s="303"/>
      <c r="Q6" s="303"/>
      <c r="R6" s="318" t="s">
        <v>29</v>
      </c>
      <c r="S6" s="303"/>
      <c r="T6" s="488"/>
      <c r="U6" s="315" t="str">
        <f>IF(T6="","",U5)</f>
        <v/>
      </c>
      <c r="V6" s="488"/>
      <c r="W6" s="315" t="str">
        <f>IF(V6="","",W5)</f>
        <v/>
      </c>
      <c r="X6" s="311"/>
      <c r="Y6" s="489" t="str">
        <f>IF(T6="","",V6*IF(X6="",1,X6)*(1+T3)+IF(AB7="",0,AB7))</f>
        <v/>
      </c>
      <c r="Z6" s="315" t="str">
        <f t="shared" ref="Z6:Z19" si="2">IF(T6="","",W6)</f>
        <v/>
      </c>
      <c r="AA6" s="316" t="str">
        <f>IF(T6="","",T6/T5)</f>
        <v/>
      </c>
      <c r="AB6" s="490" t="str">
        <f t="shared" ref="AB6:AB19" si="3">IF(T6="","",Y6*AA6)</f>
        <v/>
      </c>
      <c r="AC6" s="461" t="str">
        <f>IF(T6="","",CONCATENATE(W5," ",T5," ",U5, " in"))</f>
        <v/>
      </c>
      <c r="AD6" s="463" t="str">
        <f>IF(T6="","",Y6-AB6)</f>
        <v/>
      </c>
      <c r="AE6" s="461" t="str">
        <f>IF(W6="","",W5)</f>
        <v/>
      </c>
      <c r="AF6" s="303"/>
      <c r="AG6" s="303"/>
      <c r="AH6" s="303"/>
      <c r="AI6" s="318" t="s">
        <v>29</v>
      </c>
      <c r="AJ6" s="303"/>
      <c r="AK6" s="488"/>
      <c r="AL6" s="315" t="str">
        <f>IF(AK6="","",AL5)</f>
        <v/>
      </c>
      <c r="AM6" s="488"/>
      <c r="AN6" s="315" t="str">
        <f>IF(AM6="","",AN5)</f>
        <v/>
      </c>
      <c r="AO6" s="311"/>
      <c r="AP6" s="489" t="str">
        <f>IF(AK6="","",AM6*IF(AO6="",1,AO6)*(1+AK3)+IF(AS7="",0,AS7))</f>
        <v/>
      </c>
      <c r="AQ6" s="315" t="str">
        <f t="shared" ref="AQ6:AQ19" si="4">IF(AK6="","",AN6)</f>
        <v/>
      </c>
      <c r="AR6" s="316" t="str">
        <f>IF(AK6="","",AK6/AK5)</f>
        <v/>
      </c>
      <c r="AS6" s="490" t="str">
        <f t="shared" ref="AS6:AS19" si="5">IF(AK6="","",AP6*AR6)</f>
        <v/>
      </c>
      <c r="AT6" s="461" t="str">
        <f>IF(AK6="","",CONCATENATE(AN5," ",AK5," ",AL5, " in"))</f>
        <v/>
      </c>
      <c r="AU6" s="463" t="str">
        <f>IF(AK6="","",AP6-AS6)</f>
        <v/>
      </c>
      <c r="AV6" s="461" t="str">
        <f>IF(AN6="","",AN5)</f>
        <v/>
      </c>
    </row>
    <row r="7" spans="1:48" x14ac:dyDescent="0.55000000000000004">
      <c r="A7" s="318" t="s">
        <v>30</v>
      </c>
      <c r="B7" s="303"/>
      <c r="C7" s="488"/>
      <c r="D7" s="315" t="str">
        <f>IF(C7="","",D5)</f>
        <v/>
      </c>
      <c r="E7" s="488"/>
      <c r="F7" s="315" t="str">
        <f>IF(E7="","",F5)</f>
        <v/>
      </c>
      <c r="G7" s="311"/>
      <c r="H7" s="489" t="str">
        <f>IF(C7="","",E7*IF(G7="",1,G7)*(1+C3)+IF(K8="",0,K8))</f>
        <v/>
      </c>
      <c r="I7" s="315" t="str">
        <f t="shared" si="0"/>
        <v/>
      </c>
      <c r="J7" s="316" t="str">
        <f t="shared" ref="J7:J19" si="6">IF(C7="","",C7/C6)</f>
        <v/>
      </c>
      <c r="K7" s="490" t="str">
        <f t="shared" si="1"/>
        <v/>
      </c>
      <c r="L7" s="461" t="str">
        <f t="shared" ref="L7:L19" si="7">IF(C7="","",CONCATENATE(F6," ",C6," ",D6, " in"))</f>
        <v/>
      </c>
      <c r="M7" s="463" t="str">
        <f t="shared" ref="M7:M19" si="8">IF(C7="","",H7-K7)</f>
        <v/>
      </c>
      <c r="N7" s="461" t="str">
        <f>IF(F7="","",F5)</f>
        <v/>
      </c>
      <c r="O7" s="303"/>
      <c r="P7" s="303"/>
      <c r="Q7" s="303"/>
      <c r="R7" s="318" t="s">
        <v>30</v>
      </c>
      <c r="S7" s="303"/>
      <c r="T7" s="488"/>
      <c r="U7" s="315" t="str">
        <f>IF(T7="","",U5)</f>
        <v/>
      </c>
      <c r="V7" s="488"/>
      <c r="W7" s="315" t="str">
        <f>IF(V7="","",W5)</f>
        <v/>
      </c>
      <c r="X7" s="311"/>
      <c r="Y7" s="489" t="str">
        <f>IF(T7="","",V7*IF(X7="",1,X7)*(1+T3)+IF(AB8="",0,AB8))</f>
        <v/>
      </c>
      <c r="Z7" s="315" t="str">
        <f t="shared" si="2"/>
        <v/>
      </c>
      <c r="AA7" s="316" t="str">
        <f t="shared" ref="AA7:AA19" si="9">IF(T7="","",T7/T6)</f>
        <v/>
      </c>
      <c r="AB7" s="490" t="str">
        <f t="shared" si="3"/>
        <v/>
      </c>
      <c r="AC7" s="461" t="str">
        <f t="shared" ref="AC7:AC19" si="10">IF(T7="","",CONCATENATE(W6," ",T6," ",U6, " in"))</f>
        <v/>
      </c>
      <c r="AD7" s="463" t="str">
        <f t="shared" ref="AD7:AD19" si="11">IF(T7="","",Y7-AB7)</f>
        <v/>
      </c>
      <c r="AE7" s="461" t="str">
        <f>IF(W7="","",W5)</f>
        <v/>
      </c>
      <c r="AF7" s="303"/>
      <c r="AG7" s="303"/>
      <c r="AH7" s="303"/>
      <c r="AI7" s="318" t="s">
        <v>30</v>
      </c>
      <c r="AJ7" s="303"/>
      <c r="AK7" s="488"/>
      <c r="AL7" s="315" t="str">
        <f>IF(AK7="","",AL5)</f>
        <v/>
      </c>
      <c r="AM7" s="488"/>
      <c r="AN7" s="315" t="str">
        <f>IF(AM7="","",AN5)</f>
        <v/>
      </c>
      <c r="AO7" s="311"/>
      <c r="AP7" s="489" t="str">
        <f>IF(AK7="","",AM7*IF(AO7="",1,AO7)*(1+AK3)+IF(AS8="",0,AS8))</f>
        <v/>
      </c>
      <c r="AQ7" s="315" t="str">
        <f t="shared" si="4"/>
        <v/>
      </c>
      <c r="AR7" s="316" t="str">
        <f t="shared" ref="AR7:AR19" si="12">IF(AK7="","",AK7/AK6)</f>
        <v/>
      </c>
      <c r="AS7" s="490" t="str">
        <f t="shared" si="5"/>
        <v/>
      </c>
      <c r="AT7" s="461" t="str">
        <f t="shared" ref="AT7:AT19" si="13">IF(AK7="","",CONCATENATE(AN6," ",AK6," ",AL6, " in"))</f>
        <v/>
      </c>
      <c r="AU7" s="463" t="str">
        <f t="shared" ref="AU7:AU19" si="14">IF(AK7="","",AP7-AS7)</f>
        <v/>
      </c>
      <c r="AV7" s="461" t="str">
        <f>IF(AN7="","",AN5)</f>
        <v/>
      </c>
    </row>
    <row r="8" spans="1:48" x14ac:dyDescent="0.55000000000000004">
      <c r="A8" s="318" t="s">
        <v>31</v>
      </c>
      <c r="B8" s="303"/>
      <c r="C8" s="488"/>
      <c r="D8" s="315" t="str">
        <f>IF(C8="","",D5)</f>
        <v/>
      </c>
      <c r="E8" s="488"/>
      <c r="F8" s="315" t="str">
        <f>IF(E8="","",F5)</f>
        <v/>
      </c>
      <c r="G8" s="311"/>
      <c r="H8" s="489" t="str">
        <f>IF(C8="","",E8*IF(G8="",1,G8)*(1+C3)+IF(K9="",0,K9))</f>
        <v/>
      </c>
      <c r="I8" s="315" t="str">
        <f t="shared" si="0"/>
        <v/>
      </c>
      <c r="J8" s="316" t="str">
        <f t="shared" si="6"/>
        <v/>
      </c>
      <c r="K8" s="490" t="str">
        <f t="shared" si="1"/>
        <v/>
      </c>
      <c r="L8" s="461" t="str">
        <f t="shared" si="7"/>
        <v/>
      </c>
      <c r="M8" s="463" t="str">
        <f t="shared" si="8"/>
        <v/>
      </c>
      <c r="N8" s="461" t="str">
        <f>IF(F8="","",F5)</f>
        <v/>
      </c>
      <c r="O8" s="303"/>
      <c r="P8" s="303"/>
      <c r="Q8" s="303"/>
      <c r="R8" s="318" t="s">
        <v>31</v>
      </c>
      <c r="S8" s="303"/>
      <c r="T8" s="488"/>
      <c r="U8" s="315" t="str">
        <f>IF(T8="","",U5)</f>
        <v/>
      </c>
      <c r="V8" s="488"/>
      <c r="W8" s="315" t="str">
        <f>IF(V8="","",W5)</f>
        <v/>
      </c>
      <c r="X8" s="311"/>
      <c r="Y8" s="489" t="str">
        <f>IF(T8="","",V8*IF(X8="",1,X8)*(1+T3)+IF(AB9="",0,AB9))</f>
        <v/>
      </c>
      <c r="Z8" s="315" t="str">
        <f t="shared" si="2"/>
        <v/>
      </c>
      <c r="AA8" s="316" t="str">
        <f t="shared" si="9"/>
        <v/>
      </c>
      <c r="AB8" s="490" t="str">
        <f t="shared" si="3"/>
        <v/>
      </c>
      <c r="AC8" s="461" t="str">
        <f t="shared" si="10"/>
        <v/>
      </c>
      <c r="AD8" s="463" t="str">
        <f t="shared" si="11"/>
        <v/>
      </c>
      <c r="AE8" s="461" t="str">
        <f>IF(W8="","",W5)</f>
        <v/>
      </c>
      <c r="AF8" s="303"/>
      <c r="AG8" s="303"/>
      <c r="AH8" s="303"/>
      <c r="AI8" s="318" t="s">
        <v>31</v>
      </c>
      <c r="AJ8" s="303"/>
      <c r="AK8" s="488"/>
      <c r="AL8" s="315" t="str">
        <f>IF(AK8="","",AL5)</f>
        <v/>
      </c>
      <c r="AM8" s="488"/>
      <c r="AN8" s="315" t="str">
        <f>IF(AM8="","",AN5)</f>
        <v/>
      </c>
      <c r="AO8" s="311"/>
      <c r="AP8" s="489" t="str">
        <f>IF(AK8="","",AM8*IF(AO8="",1,AO8)*(1+AK3)+IF(AS9="",0,AS9))</f>
        <v/>
      </c>
      <c r="AQ8" s="315" t="str">
        <f t="shared" si="4"/>
        <v/>
      </c>
      <c r="AR8" s="316" t="str">
        <f t="shared" si="12"/>
        <v/>
      </c>
      <c r="AS8" s="490" t="str">
        <f t="shared" si="5"/>
        <v/>
      </c>
      <c r="AT8" s="461" t="str">
        <f t="shared" si="13"/>
        <v/>
      </c>
      <c r="AU8" s="463" t="str">
        <f t="shared" si="14"/>
        <v/>
      </c>
      <c r="AV8" s="461" t="str">
        <f>IF(AN8="","",AN5)</f>
        <v/>
      </c>
    </row>
    <row r="9" spans="1:48" x14ac:dyDescent="0.55000000000000004">
      <c r="A9" s="318" t="s">
        <v>32</v>
      </c>
      <c r="B9" s="303"/>
      <c r="C9" s="488"/>
      <c r="D9" s="315" t="str">
        <f>IF(C9="","",D5)</f>
        <v/>
      </c>
      <c r="E9" s="488"/>
      <c r="F9" s="315" t="str">
        <f>IF(E9="","",F5)</f>
        <v/>
      </c>
      <c r="G9" s="311"/>
      <c r="H9" s="489" t="str">
        <f>IF(C9="","",E9*IF(G9="",1,G9)*(1+C3)+IF(K10="",0,K10))</f>
        <v/>
      </c>
      <c r="I9" s="315" t="str">
        <f t="shared" si="0"/>
        <v/>
      </c>
      <c r="J9" s="316" t="str">
        <f t="shared" si="6"/>
        <v/>
      </c>
      <c r="K9" s="490" t="str">
        <f t="shared" si="1"/>
        <v/>
      </c>
      <c r="L9" s="461" t="str">
        <f t="shared" si="7"/>
        <v/>
      </c>
      <c r="M9" s="463" t="str">
        <f t="shared" si="8"/>
        <v/>
      </c>
      <c r="N9" s="461" t="str">
        <f>IF(F9="","",F5)</f>
        <v/>
      </c>
      <c r="O9" s="303"/>
      <c r="P9" s="303"/>
      <c r="Q9" s="303"/>
      <c r="R9" s="318" t="s">
        <v>32</v>
      </c>
      <c r="S9" s="303"/>
      <c r="T9" s="488"/>
      <c r="U9" s="315" t="str">
        <f>IF(T9="","",U5)</f>
        <v/>
      </c>
      <c r="V9" s="488"/>
      <c r="W9" s="315" t="str">
        <f>IF(V9="","",W5)</f>
        <v/>
      </c>
      <c r="X9" s="311"/>
      <c r="Y9" s="489" t="str">
        <f>IF(T9="","",V9*IF(X9="",1,X9)*(1+T3)+IF(AB10="",0,AB10))</f>
        <v/>
      </c>
      <c r="Z9" s="315" t="str">
        <f t="shared" si="2"/>
        <v/>
      </c>
      <c r="AA9" s="316" t="str">
        <f t="shared" si="9"/>
        <v/>
      </c>
      <c r="AB9" s="490" t="str">
        <f t="shared" si="3"/>
        <v/>
      </c>
      <c r="AC9" s="461" t="str">
        <f t="shared" si="10"/>
        <v/>
      </c>
      <c r="AD9" s="463" t="str">
        <f t="shared" si="11"/>
        <v/>
      </c>
      <c r="AE9" s="461" t="str">
        <f>IF(W9="","",W5)</f>
        <v/>
      </c>
      <c r="AF9" s="303"/>
      <c r="AG9" s="303"/>
      <c r="AH9" s="303"/>
      <c r="AI9" s="318" t="s">
        <v>32</v>
      </c>
      <c r="AJ9" s="303"/>
      <c r="AK9" s="488"/>
      <c r="AL9" s="315" t="str">
        <f>IF(AK9="","",AL5)</f>
        <v/>
      </c>
      <c r="AM9" s="488"/>
      <c r="AN9" s="315" t="str">
        <f>IF(AM9="","",AN5)</f>
        <v/>
      </c>
      <c r="AO9" s="311"/>
      <c r="AP9" s="489" t="str">
        <f>IF(AK9="","",AM9*IF(AO9="",1,AO9)*(1+AK3)+IF(AS10="",0,AS10))</f>
        <v/>
      </c>
      <c r="AQ9" s="315" t="str">
        <f t="shared" si="4"/>
        <v/>
      </c>
      <c r="AR9" s="316" t="str">
        <f t="shared" si="12"/>
        <v/>
      </c>
      <c r="AS9" s="490" t="str">
        <f t="shared" si="5"/>
        <v/>
      </c>
      <c r="AT9" s="461" t="str">
        <f t="shared" si="13"/>
        <v/>
      </c>
      <c r="AU9" s="463" t="str">
        <f t="shared" si="14"/>
        <v/>
      </c>
      <c r="AV9" s="461" t="str">
        <f>IF(AN9="","",AN5)</f>
        <v/>
      </c>
    </row>
    <row r="10" spans="1:48" x14ac:dyDescent="0.55000000000000004">
      <c r="A10" s="318" t="s">
        <v>33</v>
      </c>
      <c r="B10" s="303"/>
      <c r="C10" s="488"/>
      <c r="D10" s="315" t="str">
        <f>IF(C10="","",D5)</f>
        <v/>
      </c>
      <c r="E10" s="488"/>
      <c r="F10" s="315" t="str">
        <f>IF(E10="","",F5)</f>
        <v/>
      </c>
      <c r="G10" s="311"/>
      <c r="H10" s="489" t="str">
        <f>IF(C10="","",E10*IF(G10="",1,G10)*(1+C3)+IF(K11="",0,K11))</f>
        <v/>
      </c>
      <c r="I10" s="315" t="str">
        <f t="shared" si="0"/>
        <v/>
      </c>
      <c r="J10" s="316" t="str">
        <f t="shared" si="6"/>
        <v/>
      </c>
      <c r="K10" s="490" t="str">
        <f t="shared" si="1"/>
        <v/>
      </c>
      <c r="L10" s="461" t="str">
        <f t="shared" si="7"/>
        <v/>
      </c>
      <c r="M10" s="463" t="str">
        <f t="shared" si="8"/>
        <v/>
      </c>
      <c r="N10" s="461" t="str">
        <f>IF(F10="","",F5)</f>
        <v/>
      </c>
      <c r="O10" s="303"/>
      <c r="P10" s="303"/>
      <c r="Q10" s="303"/>
      <c r="R10" s="318" t="s">
        <v>33</v>
      </c>
      <c r="S10" s="303"/>
      <c r="T10" s="488"/>
      <c r="U10" s="315" t="str">
        <f>IF(T10="","",U5)</f>
        <v/>
      </c>
      <c r="V10" s="488"/>
      <c r="W10" s="315" t="str">
        <f>IF(V10="","",W5)</f>
        <v/>
      </c>
      <c r="X10" s="311"/>
      <c r="Y10" s="489" t="str">
        <f>IF(T10="","",V10*IF(X10="",1,X10)*(1+T3)+IF(AB11="",0,AB11))</f>
        <v/>
      </c>
      <c r="Z10" s="315" t="str">
        <f t="shared" si="2"/>
        <v/>
      </c>
      <c r="AA10" s="316" t="str">
        <f t="shared" si="9"/>
        <v/>
      </c>
      <c r="AB10" s="490" t="str">
        <f t="shared" si="3"/>
        <v/>
      </c>
      <c r="AC10" s="461" t="str">
        <f t="shared" si="10"/>
        <v/>
      </c>
      <c r="AD10" s="463" t="str">
        <f t="shared" si="11"/>
        <v/>
      </c>
      <c r="AE10" s="461" t="str">
        <f>IF(W10="","",W5)</f>
        <v/>
      </c>
      <c r="AF10" s="303"/>
      <c r="AG10" s="303"/>
      <c r="AH10" s="303"/>
      <c r="AI10" s="318" t="s">
        <v>33</v>
      </c>
      <c r="AJ10" s="303"/>
      <c r="AK10" s="488"/>
      <c r="AL10" s="315" t="str">
        <f>IF(AK10="","",AL5)</f>
        <v/>
      </c>
      <c r="AM10" s="488"/>
      <c r="AN10" s="315" t="str">
        <f>IF(AM10="","",AN5)</f>
        <v/>
      </c>
      <c r="AO10" s="311"/>
      <c r="AP10" s="489" t="str">
        <f>IF(AK10="","",AM10*IF(AO10="",1,AO10)*(1+AK3)+IF(AS11="",0,AS11))</f>
        <v/>
      </c>
      <c r="AQ10" s="315" t="str">
        <f t="shared" si="4"/>
        <v/>
      </c>
      <c r="AR10" s="316" t="str">
        <f t="shared" si="12"/>
        <v/>
      </c>
      <c r="AS10" s="490" t="str">
        <f t="shared" si="5"/>
        <v/>
      </c>
      <c r="AT10" s="461" t="str">
        <f t="shared" si="13"/>
        <v/>
      </c>
      <c r="AU10" s="463" t="str">
        <f t="shared" si="14"/>
        <v/>
      </c>
      <c r="AV10" s="461" t="str">
        <f>IF(AN10="","",AN5)</f>
        <v/>
      </c>
    </row>
    <row r="11" spans="1:48" x14ac:dyDescent="0.55000000000000004">
      <c r="A11" s="318" t="s">
        <v>34</v>
      </c>
      <c r="B11" s="303"/>
      <c r="C11" s="488"/>
      <c r="D11" s="315" t="str">
        <f>IF(C11="","",D5)</f>
        <v/>
      </c>
      <c r="E11" s="488"/>
      <c r="F11" s="315" t="str">
        <f>IF(E11="","",F5)</f>
        <v/>
      </c>
      <c r="G11" s="311"/>
      <c r="H11" s="489" t="str">
        <f>IF(C11="","",E11*IF(G11="",1,G11)*(1+C3)+IF(K12="",0,K12))</f>
        <v/>
      </c>
      <c r="I11" s="315" t="str">
        <f t="shared" si="0"/>
        <v/>
      </c>
      <c r="J11" s="316" t="str">
        <f t="shared" si="6"/>
        <v/>
      </c>
      <c r="K11" s="490" t="str">
        <f t="shared" si="1"/>
        <v/>
      </c>
      <c r="L11" s="461" t="str">
        <f t="shared" si="7"/>
        <v/>
      </c>
      <c r="M11" s="463" t="str">
        <f t="shared" si="8"/>
        <v/>
      </c>
      <c r="N11" s="461" t="str">
        <f>IF(F11="","",F5)</f>
        <v/>
      </c>
      <c r="O11" s="303"/>
      <c r="P11" s="303"/>
      <c r="Q11" s="303"/>
      <c r="R11" s="318" t="s">
        <v>34</v>
      </c>
      <c r="S11" s="303"/>
      <c r="T11" s="488"/>
      <c r="U11" s="315" t="str">
        <f>IF(T11="","",U5)</f>
        <v/>
      </c>
      <c r="V11" s="488"/>
      <c r="W11" s="315" t="str">
        <f>IF(V11="","",W5)</f>
        <v/>
      </c>
      <c r="X11" s="311"/>
      <c r="Y11" s="489" t="str">
        <f>IF(T11="","",V11*IF(X11="",1,X11)*(1+T3)+IF(AB12="",0,AB12))</f>
        <v/>
      </c>
      <c r="Z11" s="315" t="str">
        <f t="shared" si="2"/>
        <v/>
      </c>
      <c r="AA11" s="316" t="str">
        <f t="shared" si="9"/>
        <v/>
      </c>
      <c r="AB11" s="490" t="str">
        <f t="shared" si="3"/>
        <v/>
      </c>
      <c r="AC11" s="461" t="str">
        <f t="shared" si="10"/>
        <v/>
      </c>
      <c r="AD11" s="463" t="str">
        <f t="shared" si="11"/>
        <v/>
      </c>
      <c r="AE11" s="461" t="str">
        <f>IF(W11="","",W5)</f>
        <v/>
      </c>
      <c r="AF11" s="303"/>
      <c r="AG11" s="303"/>
      <c r="AH11" s="303"/>
      <c r="AI11" s="318" t="s">
        <v>34</v>
      </c>
      <c r="AJ11" s="303"/>
      <c r="AK11" s="488"/>
      <c r="AL11" s="315" t="str">
        <f>IF(AK11="","",AL5)</f>
        <v/>
      </c>
      <c r="AM11" s="488"/>
      <c r="AN11" s="315" t="str">
        <f>IF(AM11="","",AN5)</f>
        <v/>
      </c>
      <c r="AO11" s="311"/>
      <c r="AP11" s="489" t="str">
        <f>IF(AK11="","",AM11*IF(AO11="",1,AO11)*(1+AK3)+IF(AS12="",0,AS12))</f>
        <v/>
      </c>
      <c r="AQ11" s="315" t="str">
        <f t="shared" si="4"/>
        <v/>
      </c>
      <c r="AR11" s="316" t="str">
        <f t="shared" si="12"/>
        <v/>
      </c>
      <c r="AS11" s="490" t="str">
        <f t="shared" si="5"/>
        <v/>
      </c>
      <c r="AT11" s="461" t="str">
        <f t="shared" si="13"/>
        <v/>
      </c>
      <c r="AU11" s="463" t="str">
        <f t="shared" si="14"/>
        <v/>
      </c>
      <c r="AV11" s="461" t="str">
        <f>IF(AN11="","",AN5)</f>
        <v/>
      </c>
    </row>
    <row r="12" spans="1:48" x14ac:dyDescent="0.55000000000000004">
      <c r="A12" s="318" t="s">
        <v>35</v>
      </c>
      <c r="B12" s="303"/>
      <c r="C12" s="488"/>
      <c r="D12" s="315" t="str">
        <f>IF(C12="","",D5)</f>
        <v/>
      </c>
      <c r="E12" s="488"/>
      <c r="F12" s="315" t="str">
        <f>IF(E12="","",F5)</f>
        <v/>
      </c>
      <c r="G12" s="311"/>
      <c r="H12" s="489" t="str">
        <f>IF(C12="","",E12*IF(G12="",1,G12)*(1+C3)+IF(K13="",0,K13))</f>
        <v/>
      </c>
      <c r="I12" s="315" t="str">
        <f t="shared" si="0"/>
        <v/>
      </c>
      <c r="J12" s="316" t="str">
        <f t="shared" si="6"/>
        <v/>
      </c>
      <c r="K12" s="490" t="str">
        <f t="shared" si="1"/>
        <v/>
      </c>
      <c r="L12" s="461" t="str">
        <f t="shared" si="7"/>
        <v/>
      </c>
      <c r="M12" s="463" t="str">
        <f t="shared" si="8"/>
        <v/>
      </c>
      <c r="N12" s="461" t="str">
        <f>IF(F12="","",F5)</f>
        <v/>
      </c>
      <c r="O12" s="303"/>
      <c r="P12" s="303"/>
      <c r="Q12" s="303"/>
      <c r="R12" s="318" t="s">
        <v>35</v>
      </c>
      <c r="S12" s="303"/>
      <c r="T12" s="488"/>
      <c r="U12" s="315" t="str">
        <f>IF(T12="","",U5)</f>
        <v/>
      </c>
      <c r="V12" s="488"/>
      <c r="W12" s="315" t="str">
        <f>IF(V12="","",W5)</f>
        <v/>
      </c>
      <c r="X12" s="311"/>
      <c r="Y12" s="489" t="str">
        <f>IF(T12="","",V12*IF(X12="",1,X12)*(1+T3)+IF(AB13="",0,AB13))</f>
        <v/>
      </c>
      <c r="Z12" s="315" t="str">
        <f t="shared" si="2"/>
        <v/>
      </c>
      <c r="AA12" s="316" t="str">
        <f t="shared" si="9"/>
        <v/>
      </c>
      <c r="AB12" s="490" t="str">
        <f t="shared" si="3"/>
        <v/>
      </c>
      <c r="AC12" s="461" t="str">
        <f t="shared" si="10"/>
        <v/>
      </c>
      <c r="AD12" s="463" t="str">
        <f t="shared" si="11"/>
        <v/>
      </c>
      <c r="AE12" s="461" t="str">
        <f>IF(W12="","",W5)</f>
        <v/>
      </c>
      <c r="AF12" s="303"/>
      <c r="AG12" s="303"/>
      <c r="AH12" s="303"/>
      <c r="AI12" s="318" t="s">
        <v>35</v>
      </c>
      <c r="AJ12" s="303"/>
      <c r="AK12" s="488"/>
      <c r="AL12" s="315" t="str">
        <f>IF(AK12="","",AL5)</f>
        <v/>
      </c>
      <c r="AM12" s="488"/>
      <c r="AN12" s="315" t="str">
        <f>IF(AM12="","",AN5)</f>
        <v/>
      </c>
      <c r="AO12" s="311"/>
      <c r="AP12" s="489" t="str">
        <f>IF(AK12="","",AM12*IF(AO12="",1,AO12)*(1+AK3)+IF(AS13="",0,AS13))</f>
        <v/>
      </c>
      <c r="AQ12" s="315" t="str">
        <f t="shared" si="4"/>
        <v/>
      </c>
      <c r="AR12" s="316" t="str">
        <f t="shared" si="12"/>
        <v/>
      </c>
      <c r="AS12" s="490" t="str">
        <f t="shared" si="5"/>
        <v/>
      </c>
      <c r="AT12" s="461" t="str">
        <f t="shared" si="13"/>
        <v/>
      </c>
      <c r="AU12" s="463" t="str">
        <f t="shared" si="14"/>
        <v/>
      </c>
      <c r="AV12" s="461" t="str">
        <f>IF(AN12="","",AN5)</f>
        <v/>
      </c>
    </row>
    <row r="13" spans="1:48" x14ac:dyDescent="0.55000000000000004">
      <c r="A13" s="318" t="s">
        <v>36</v>
      </c>
      <c r="B13" s="303"/>
      <c r="C13" s="488"/>
      <c r="D13" s="315" t="str">
        <f>IF(C13="","",D5)</f>
        <v/>
      </c>
      <c r="E13" s="488"/>
      <c r="F13" s="315" t="str">
        <f>IF(E13="","",F5)</f>
        <v/>
      </c>
      <c r="G13" s="311"/>
      <c r="H13" s="489" t="str">
        <f>IF(C13="","",E13*IF(G13="",1,G13)*(1+C3)+IF(K14="",0,K14))</f>
        <v/>
      </c>
      <c r="I13" s="315" t="str">
        <f t="shared" si="0"/>
        <v/>
      </c>
      <c r="J13" s="316" t="str">
        <f t="shared" si="6"/>
        <v/>
      </c>
      <c r="K13" s="490" t="str">
        <f t="shared" si="1"/>
        <v/>
      </c>
      <c r="L13" s="461" t="str">
        <f t="shared" si="7"/>
        <v/>
      </c>
      <c r="M13" s="463" t="str">
        <f t="shared" si="8"/>
        <v/>
      </c>
      <c r="N13" s="461" t="str">
        <f>IF(F13="","",F5)</f>
        <v/>
      </c>
      <c r="O13" s="303"/>
      <c r="P13" s="303"/>
      <c r="Q13" s="303"/>
      <c r="R13" s="318" t="s">
        <v>36</v>
      </c>
      <c r="S13" s="303"/>
      <c r="T13" s="488"/>
      <c r="U13" s="315" t="str">
        <f>IF(T13="","",U5)</f>
        <v/>
      </c>
      <c r="V13" s="488"/>
      <c r="W13" s="315" t="str">
        <f>IF(V13="","",W5)</f>
        <v/>
      </c>
      <c r="X13" s="311"/>
      <c r="Y13" s="489" t="str">
        <f>IF(T13="","",V13*IF(X13="",1,X13)*(1+T3)+IF(AB14="",0,AB14))</f>
        <v/>
      </c>
      <c r="Z13" s="315" t="str">
        <f t="shared" si="2"/>
        <v/>
      </c>
      <c r="AA13" s="316" t="str">
        <f t="shared" si="9"/>
        <v/>
      </c>
      <c r="AB13" s="490" t="str">
        <f t="shared" si="3"/>
        <v/>
      </c>
      <c r="AC13" s="461" t="str">
        <f t="shared" si="10"/>
        <v/>
      </c>
      <c r="AD13" s="463" t="str">
        <f t="shared" si="11"/>
        <v/>
      </c>
      <c r="AE13" s="461" t="str">
        <f>IF(W13="","",W5)</f>
        <v/>
      </c>
      <c r="AF13" s="303"/>
      <c r="AG13" s="303"/>
      <c r="AH13" s="303"/>
      <c r="AI13" s="318" t="s">
        <v>36</v>
      </c>
      <c r="AJ13" s="303"/>
      <c r="AK13" s="488"/>
      <c r="AL13" s="315" t="str">
        <f>IF(AK13="","",AL5)</f>
        <v/>
      </c>
      <c r="AM13" s="488"/>
      <c r="AN13" s="315" t="str">
        <f>IF(AM13="","",AN5)</f>
        <v/>
      </c>
      <c r="AO13" s="311"/>
      <c r="AP13" s="489" t="str">
        <f>IF(AK13="","",AM13*IF(AO13="",1,AO13)*(1+AK3)+IF(AS14="",0,AS14))</f>
        <v/>
      </c>
      <c r="AQ13" s="315" t="str">
        <f t="shared" si="4"/>
        <v/>
      </c>
      <c r="AR13" s="316" t="str">
        <f t="shared" si="12"/>
        <v/>
      </c>
      <c r="AS13" s="490" t="str">
        <f t="shared" si="5"/>
        <v/>
      </c>
      <c r="AT13" s="461" t="str">
        <f t="shared" si="13"/>
        <v/>
      </c>
      <c r="AU13" s="463" t="str">
        <f t="shared" si="14"/>
        <v/>
      </c>
      <c r="AV13" s="461" t="str">
        <f>IF(AN13="","",AN5)</f>
        <v/>
      </c>
    </row>
    <row r="14" spans="1:48" x14ac:dyDescent="0.55000000000000004">
      <c r="A14" s="318" t="s">
        <v>37</v>
      </c>
      <c r="B14" s="303"/>
      <c r="C14" s="488"/>
      <c r="D14" s="315" t="str">
        <f>IF(C14="","",D5)</f>
        <v/>
      </c>
      <c r="E14" s="488"/>
      <c r="F14" s="315" t="str">
        <f>IF(E14="","",F5)</f>
        <v/>
      </c>
      <c r="G14" s="311"/>
      <c r="H14" s="489" t="str">
        <f>IF(C14="","",E14*IF(G14="",1,G14)*(1+C3)+IF(K15="",0,K15))</f>
        <v/>
      </c>
      <c r="I14" s="315" t="str">
        <f t="shared" si="0"/>
        <v/>
      </c>
      <c r="J14" s="316" t="str">
        <f t="shared" si="6"/>
        <v/>
      </c>
      <c r="K14" s="490" t="str">
        <f t="shared" si="1"/>
        <v/>
      </c>
      <c r="L14" s="461" t="str">
        <f t="shared" si="7"/>
        <v/>
      </c>
      <c r="M14" s="463" t="str">
        <f t="shared" si="8"/>
        <v/>
      </c>
      <c r="N14" s="461" t="str">
        <f>IF(F14="","",F5)</f>
        <v/>
      </c>
      <c r="O14" s="303"/>
      <c r="P14" s="303"/>
      <c r="Q14" s="303"/>
      <c r="R14" s="318" t="s">
        <v>37</v>
      </c>
      <c r="S14" s="303"/>
      <c r="T14" s="488"/>
      <c r="U14" s="315" t="str">
        <f>IF(T14="","",U5)</f>
        <v/>
      </c>
      <c r="V14" s="488"/>
      <c r="W14" s="315" t="str">
        <f>IF(V14="","",W5)</f>
        <v/>
      </c>
      <c r="X14" s="311"/>
      <c r="Y14" s="489" t="str">
        <f>IF(T14="","",V14*IF(X14="",1,X14)*(1+T3)+IF(AB15="",0,AB15))</f>
        <v/>
      </c>
      <c r="Z14" s="315" t="str">
        <f t="shared" si="2"/>
        <v/>
      </c>
      <c r="AA14" s="316" t="str">
        <f t="shared" si="9"/>
        <v/>
      </c>
      <c r="AB14" s="490" t="str">
        <f t="shared" si="3"/>
        <v/>
      </c>
      <c r="AC14" s="461" t="str">
        <f t="shared" si="10"/>
        <v/>
      </c>
      <c r="AD14" s="463" t="str">
        <f t="shared" si="11"/>
        <v/>
      </c>
      <c r="AE14" s="461" t="str">
        <f>IF(W14="","",W5)</f>
        <v/>
      </c>
      <c r="AF14" s="303"/>
      <c r="AG14" s="303"/>
      <c r="AH14" s="303"/>
      <c r="AI14" s="318" t="s">
        <v>37</v>
      </c>
      <c r="AJ14" s="303"/>
      <c r="AK14" s="488"/>
      <c r="AL14" s="315" t="str">
        <f>IF(AK14="","",AL5)</f>
        <v/>
      </c>
      <c r="AM14" s="488"/>
      <c r="AN14" s="315" t="str">
        <f>IF(AM14="","",AN5)</f>
        <v/>
      </c>
      <c r="AO14" s="311"/>
      <c r="AP14" s="489" t="str">
        <f>IF(AK14="","",AM14*IF(AO14="",1,AO14)*(1+AK3)+IF(AS15="",0,AS15))</f>
        <v/>
      </c>
      <c r="AQ14" s="315" t="str">
        <f t="shared" si="4"/>
        <v/>
      </c>
      <c r="AR14" s="316" t="str">
        <f t="shared" si="12"/>
        <v/>
      </c>
      <c r="AS14" s="490" t="str">
        <f t="shared" si="5"/>
        <v/>
      </c>
      <c r="AT14" s="461" t="str">
        <f t="shared" si="13"/>
        <v/>
      </c>
      <c r="AU14" s="463" t="str">
        <f t="shared" si="14"/>
        <v/>
      </c>
      <c r="AV14" s="461" t="str">
        <f>IF(AN14="","",AN5)</f>
        <v/>
      </c>
    </row>
    <row r="15" spans="1:48" x14ac:dyDescent="0.55000000000000004">
      <c r="A15" s="318" t="s">
        <v>41</v>
      </c>
      <c r="B15" s="303"/>
      <c r="C15" s="488"/>
      <c r="D15" s="315" t="str">
        <f>IF(C15="","",D5)</f>
        <v/>
      </c>
      <c r="E15" s="488"/>
      <c r="F15" s="315" t="str">
        <f>IF(E15="","",F5)</f>
        <v/>
      </c>
      <c r="G15" s="311"/>
      <c r="H15" s="489" t="str">
        <f>IF(C15="","",E15*IF(G15="",1,G15)*(1+C3)+IF(K16="",0,K16))</f>
        <v/>
      </c>
      <c r="I15" s="315" t="str">
        <f t="shared" si="0"/>
        <v/>
      </c>
      <c r="J15" s="316" t="str">
        <f t="shared" si="6"/>
        <v/>
      </c>
      <c r="K15" s="490" t="str">
        <f t="shared" si="1"/>
        <v/>
      </c>
      <c r="L15" s="461" t="str">
        <f t="shared" si="7"/>
        <v/>
      </c>
      <c r="M15" s="463" t="str">
        <f t="shared" si="8"/>
        <v/>
      </c>
      <c r="N15" s="461" t="str">
        <f>IF(F15="","",F5)</f>
        <v/>
      </c>
      <c r="O15" s="303"/>
      <c r="P15" s="303"/>
      <c r="Q15" s="303"/>
      <c r="R15" s="318" t="s">
        <v>41</v>
      </c>
      <c r="S15" s="303"/>
      <c r="T15" s="488"/>
      <c r="U15" s="315" t="str">
        <f>IF(T15="","",U5)</f>
        <v/>
      </c>
      <c r="V15" s="488"/>
      <c r="W15" s="315" t="str">
        <f>IF(V15="","",W5)</f>
        <v/>
      </c>
      <c r="X15" s="311"/>
      <c r="Y15" s="489" t="str">
        <f>IF(T15="","",V15*IF(X15="",1,X15)*(1+T3)+IF(AB16="",0,AB16))</f>
        <v/>
      </c>
      <c r="Z15" s="315" t="str">
        <f t="shared" si="2"/>
        <v/>
      </c>
      <c r="AA15" s="316" t="str">
        <f t="shared" si="9"/>
        <v/>
      </c>
      <c r="AB15" s="490" t="str">
        <f t="shared" si="3"/>
        <v/>
      </c>
      <c r="AC15" s="461" t="str">
        <f t="shared" si="10"/>
        <v/>
      </c>
      <c r="AD15" s="463" t="str">
        <f t="shared" si="11"/>
        <v/>
      </c>
      <c r="AE15" s="461" t="str">
        <f>IF(W15="","",W5)</f>
        <v/>
      </c>
      <c r="AF15" s="303"/>
      <c r="AG15" s="303"/>
      <c r="AH15" s="303"/>
      <c r="AI15" s="318" t="s">
        <v>41</v>
      </c>
      <c r="AJ15" s="303"/>
      <c r="AK15" s="488"/>
      <c r="AL15" s="315" t="str">
        <f>IF(AK15="","",AL5)</f>
        <v/>
      </c>
      <c r="AM15" s="488"/>
      <c r="AN15" s="315" t="str">
        <f>IF(AM15="","",AN5)</f>
        <v/>
      </c>
      <c r="AO15" s="317"/>
      <c r="AP15" s="489" t="str">
        <f>IF(AK15="","",AM15*IF(AO15="",1,AO15)*(1+AK3)+IF(AS16="",0,AS16))</f>
        <v/>
      </c>
      <c r="AQ15" s="315" t="str">
        <f t="shared" si="4"/>
        <v/>
      </c>
      <c r="AR15" s="316" t="str">
        <f t="shared" si="12"/>
        <v/>
      </c>
      <c r="AS15" s="490" t="str">
        <f t="shared" si="5"/>
        <v/>
      </c>
      <c r="AT15" s="461" t="str">
        <f t="shared" si="13"/>
        <v/>
      </c>
      <c r="AU15" s="463" t="str">
        <f t="shared" si="14"/>
        <v/>
      </c>
      <c r="AV15" s="461" t="str">
        <f>IF(AN15="","",AN5)</f>
        <v/>
      </c>
    </row>
    <row r="16" spans="1:48" x14ac:dyDescent="0.55000000000000004">
      <c r="A16" s="318" t="s">
        <v>42</v>
      </c>
      <c r="B16" s="303"/>
      <c r="C16" s="488"/>
      <c r="D16" s="315" t="str">
        <f>IF(C16="","",D5)</f>
        <v/>
      </c>
      <c r="E16" s="488"/>
      <c r="F16" s="315" t="str">
        <f>IF(E16="","",F5)</f>
        <v/>
      </c>
      <c r="G16" s="317"/>
      <c r="H16" s="489" t="str">
        <f>IF(C16="","",E16*IF(G16="",1,G16)*(1+C3)+IF(K17="",0,K17))</f>
        <v/>
      </c>
      <c r="I16" s="315" t="str">
        <f t="shared" si="0"/>
        <v/>
      </c>
      <c r="J16" s="316" t="str">
        <f t="shared" si="6"/>
        <v/>
      </c>
      <c r="K16" s="490" t="str">
        <f t="shared" si="1"/>
        <v/>
      </c>
      <c r="L16" s="461" t="str">
        <f t="shared" si="7"/>
        <v/>
      </c>
      <c r="M16" s="463" t="str">
        <f t="shared" si="8"/>
        <v/>
      </c>
      <c r="N16" s="461" t="str">
        <f>IF(F16="","",F5)</f>
        <v/>
      </c>
      <c r="O16" s="303"/>
      <c r="P16" s="303"/>
      <c r="Q16" s="303"/>
      <c r="R16" s="318" t="s">
        <v>42</v>
      </c>
      <c r="S16" s="303"/>
      <c r="T16" s="488"/>
      <c r="U16" s="315" t="str">
        <f>IF(T16="","",U5)</f>
        <v/>
      </c>
      <c r="V16" s="488"/>
      <c r="W16" s="315" t="str">
        <f>IF(V16="","",W5)</f>
        <v/>
      </c>
      <c r="X16" s="311"/>
      <c r="Y16" s="489" t="str">
        <f>IF(T16="","",V16*IF(X16="",1,X16)*(1+T3)+IF(AB17="",0,AB17))</f>
        <v/>
      </c>
      <c r="Z16" s="315" t="str">
        <f t="shared" si="2"/>
        <v/>
      </c>
      <c r="AA16" s="316" t="str">
        <f t="shared" si="9"/>
        <v/>
      </c>
      <c r="AB16" s="490" t="str">
        <f t="shared" si="3"/>
        <v/>
      </c>
      <c r="AC16" s="461" t="str">
        <f t="shared" si="10"/>
        <v/>
      </c>
      <c r="AD16" s="463" t="str">
        <f t="shared" si="11"/>
        <v/>
      </c>
      <c r="AE16" s="461" t="str">
        <f>IF(W16="","",W5)</f>
        <v/>
      </c>
      <c r="AF16" s="303"/>
      <c r="AG16" s="303"/>
      <c r="AH16" s="303"/>
      <c r="AI16" s="318" t="s">
        <v>42</v>
      </c>
      <c r="AJ16" s="303"/>
      <c r="AK16" s="488"/>
      <c r="AL16" s="315" t="str">
        <f>IF(AK16="","",AL5)</f>
        <v/>
      </c>
      <c r="AM16" s="488"/>
      <c r="AN16" s="315" t="str">
        <f>IF(AM16="","",AN5)</f>
        <v/>
      </c>
      <c r="AO16" s="317"/>
      <c r="AP16" s="489" t="str">
        <f>IF(AK16="","",AM16*IF(AO16="",1,AO16)*(1+AK3)+IF(AS17="",0,AS17))</f>
        <v/>
      </c>
      <c r="AQ16" s="315" t="str">
        <f t="shared" si="4"/>
        <v/>
      </c>
      <c r="AR16" s="316" t="str">
        <f t="shared" si="12"/>
        <v/>
      </c>
      <c r="AS16" s="490" t="str">
        <f t="shared" si="5"/>
        <v/>
      </c>
      <c r="AT16" s="461" t="str">
        <f t="shared" si="13"/>
        <v/>
      </c>
      <c r="AU16" s="463" t="str">
        <f t="shared" si="14"/>
        <v/>
      </c>
      <c r="AV16" s="461" t="str">
        <f>IF(AN16="","",AN5)</f>
        <v/>
      </c>
    </row>
    <row r="17" spans="1:48" x14ac:dyDescent="0.55000000000000004">
      <c r="A17" s="318" t="s">
        <v>43</v>
      </c>
      <c r="B17" s="303"/>
      <c r="C17" s="488"/>
      <c r="D17" s="315" t="str">
        <f>IF(C17="","",D5)</f>
        <v/>
      </c>
      <c r="E17" s="488"/>
      <c r="F17" s="315" t="str">
        <f>IF(E17="","",F5)</f>
        <v/>
      </c>
      <c r="G17" s="317"/>
      <c r="H17" s="489" t="str">
        <f>IF(C17="","",E17*IF(G17="",1,G17)*(1+C3)+IF(K18="",0,K18))</f>
        <v/>
      </c>
      <c r="I17" s="315" t="str">
        <f t="shared" si="0"/>
        <v/>
      </c>
      <c r="J17" s="316" t="str">
        <f t="shared" si="6"/>
        <v/>
      </c>
      <c r="K17" s="490" t="str">
        <f t="shared" si="1"/>
        <v/>
      </c>
      <c r="L17" s="461" t="str">
        <f t="shared" si="7"/>
        <v/>
      </c>
      <c r="M17" s="463" t="str">
        <f t="shared" si="8"/>
        <v/>
      </c>
      <c r="N17" s="461" t="str">
        <f>IF(F17="","",F5)</f>
        <v/>
      </c>
      <c r="O17" s="303"/>
      <c r="P17" s="303"/>
      <c r="Q17" s="303"/>
      <c r="R17" s="318" t="s">
        <v>43</v>
      </c>
      <c r="S17" s="303"/>
      <c r="T17" s="488"/>
      <c r="U17" s="315" t="str">
        <f>IF(T17="","",U5)</f>
        <v/>
      </c>
      <c r="V17" s="488"/>
      <c r="W17" s="315" t="str">
        <f>IF(V17="","",W5)</f>
        <v/>
      </c>
      <c r="X17" s="311"/>
      <c r="Y17" s="489" t="str">
        <f>IF(T17="","",V17*IF(X17="",1,X17)*(1+T3)+IF(AB18="",0,AB18))</f>
        <v/>
      </c>
      <c r="Z17" s="315" t="str">
        <f t="shared" si="2"/>
        <v/>
      </c>
      <c r="AA17" s="316" t="str">
        <f t="shared" si="9"/>
        <v/>
      </c>
      <c r="AB17" s="490" t="str">
        <f t="shared" si="3"/>
        <v/>
      </c>
      <c r="AC17" s="461" t="str">
        <f t="shared" si="10"/>
        <v/>
      </c>
      <c r="AD17" s="463" t="str">
        <f t="shared" si="11"/>
        <v/>
      </c>
      <c r="AE17" s="461" t="str">
        <f>IF(W17="","",W5)</f>
        <v/>
      </c>
      <c r="AF17" s="303"/>
      <c r="AG17" s="303"/>
      <c r="AH17" s="303"/>
      <c r="AI17" s="318" t="s">
        <v>43</v>
      </c>
      <c r="AJ17" s="303"/>
      <c r="AK17" s="488"/>
      <c r="AL17" s="315" t="str">
        <f>IF(AK17="","",AL5)</f>
        <v/>
      </c>
      <c r="AM17" s="488"/>
      <c r="AN17" s="315" t="str">
        <f>IF(AM17="","",AN5)</f>
        <v/>
      </c>
      <c r="AO17" s="317"/>
      <c r="AP17" s="489" t="str">
        <f>IF(AK17="","",AM17*IF(AO17="",1,AO17)*(1+AK3)+IF(AS18="",0,AS18))</f>
        <v/>
      </c>
      <c r="AQ17" s="315" t="str">
        <f t="shared" si="4"/>
        <v/>
      </c>
      <c r="AR17" s="316" t="str">
        <f t="shared" si="12"/>
        <v/>
      </c>
      <c r="AS17" s="490" t="str">
        <f t="shared" si="5"/>
        <v/>
      </c>
      <c r="AT17" s="461" t="str">
        <f t="shared" si="13"/>
        <v/>
      </c>
      <c r="AU17" s="463" t="str">
        <f t="shared" si="14"/>
        <v/>
      </c>
      <c r="AV17" s="461" t="str">
        <f>IF(AN17="","",AN5)</f>
        <v/>
      </c>
    </row>
    <row r="18" spans="1:48" x14ac:dyDescent="0.55000000000000004">
      <c r="A18" s="318" t="s">
        <v>44</v>
      </c>
      <c r="B18" s="303"/>
      <c r="C18" s="488"/>
      <c r="D18" s="315" t="str">
        <f>IF(C18="","",D5)</f>
        <v/>
      </c>
      <c r="E18" s="488"/>
      <c r="F18" s="315" t="str">
        <f>IF(E18="","",F5)</f>
        <v/>
      </c>
      <c r="G18" s="317"/>
      <c r="H18" s="489" t="str">
        <f>IF(C18="","",E18*IF(G18="",1,G18)*(1+C3)+IF(K19="",0,K19))</f>
        <v/>
      </c>
      <c r="I18" s="315" t="str">
        <f t="shared" si="0"/>
        <v/>
      </c>
      <c r="J18" s="316" t="str">
        <f t="shared" si="6"/>
        <v/>
      </c>
      <c r="K18" s="490" t="str">
        <f t="shared" si="1"/>
        <v/>
      </c>
      <c r="L18" s="461" t="str">
        <f t="shared" si="7"/>
        <v/>
      </c>
      <c r="M18" s="463" t="str">
        <f t="shared" si="8"/>
        <v/>
      </c>
      <c r="N18" s="461" t="str">
        <f>IF(F18="","",F5)</f>
        <v/>
      </c>
      <c r="O18" s="303"/>
      <c r="P18" s="303"/>
      <c r="Q18" s="303"/>
      <c r="R18" s="318" t="s">
        <v>44</v>
      </c>
      <c r="S18" s="303"/>
      <c r="T18" s="488"/>
      <c r="U18" s="315" t="str">
        <f>IF(T18="","",U5)</f>
        <v/>
      </c>
      <c r="V18" s="488"/>
      <c r="W18" s="315" t="str">
        <f>IF(V18="","",W5)</f>
        <v/>
      </c>
      <c r="X18" s="317"/>
      <c r="Y18" s="489" t="str">
        <f>IF(T18="","",V18*IF(X18="",1,X18)*(1+T3)+IF(AB19="",0,AB19))</f>
        <v/>
      </c>
      <c r="Z18" s="315" t="str">
        <f t="shared" si="2"/>
        <v/>
      </c>
      <c r="AA18" s="316" t="str">
        <f t="shared" si="9"/>
        <v/>
      </c>
      <c r="AB18" s="490" t="str">
        <f t="shared" si="3"/>
        <v/>
      </c>
      <c r="AC18" s="461" t="str">
        <f t="shared" si="10"/>
        <v/>
      </c>
      <c r="AD18" s="463" t="str">
        <f t="shared" si="11"/>
        <v/>
      </c>
      <c r="AE18" s="461" t="str">
        <f>IF(W18="","",W5)</f>
        <v/>
      </c>
      <c r="AF18" s="303"/>
      <c r="AG18" s="303"/>
      <c r="AH18" s="303"/>
      <c r="AI18" s="318" t="s">
        <v>44</v>
      </c>
      <c r="AJ18" s="303"/>
      <c r="AK18" s="488"/>
      <c r="AL18" s="315" t="str">
        <f>IF(AK18="","",AL5)</f>
        <v/>
      </c>
      <c r="AM18" s="488"/>
      <c r="AN18" s="315" t="str">
        <f>IF(AM18="","",AN5)</f>
        <v/>
      </c>
      <c r="AO18" s="317"/>
      <c r="AP18" s="489" t="str">
        <f>IF(AK18="","",AM18*IF(AO18="",1,AO18)*(1+AK3)+IF(AS19="",0,AS19))</f>
        <v/>
      </c>
      <c r="AQ18" s="315" t="str">
        <f t="shared" si="4"/>
        <v/>
      </c>
      <c r="AR18" s="316" t="str">
        <f t="shared" si="12"/>
        <v/>
      </c>
      <c r="AS18" s="490" t="str">
        <f t="shared" si="5"/>
        <v/>
      </c>
      <c r="AT18" s="461" t="str">
        <f t="shared" si="13"/>
        <v/>
      </c>
      <c r="AU18" s="463" t="str">
        <f t="shared" si="14"/>
        <v/>
      </c>
      <c r="AV18" s="461" t="str">
        <f>IF(AN18="","",AN5)</f>
        <v/>
      </c>
    </row>
    <row r="19" spans="1:48" x14ac:dyDescent="0.55000000000000004">
      <c r="A19" s="318" t="s">
        <v>45</v>
      </c>
      <c r="B19" s="303"/>
      <c r="C19" s="488"/>
      <c r="D19" s="315" t="str">
        <f>IF(C19="","",D5)</f>
        <v/>
      </c>
      <c r="E19" s="488"/>
      <c r="F19" s="315" t="str">
        <f>IF(E19="","",F5)</f>
        <v/>
      </c>
      <c r="G19" s="317"/>
      <c r="H19" s="489" t="str">
        <f>IF(C19="","",E19*IF(G19="",1,G19)*(1+C3)+IF(K20="",0,K20))</f>
        <v/>
      </c>
      <c r="I19" s="315" t="str">
        <f t="shared" si="0"/>
        <v/>
      </c>
      <c r="J19" s="316" t="str">
        <f t="shared" si="6"/>
        <v/>
      </c>
      <c r="K19" s="490" t="str">
        <f t="shared" si="1"/>
        <v/>
      </c>
      <c r="L19" s="461" t="str">
        <f t="shared" si="7"/>
        <v/>
      </c>
      <c r="M19" s="463" t="str">
        <f t="shared" si="8"/>
        <v/>
      </c>
      <c r="N19" s="461" t="str">
        <f>IF(F19="","",F5)</f>
        <v/>
      </c>
      <c r="O19" s="303"/>
      <c r="P19" s="303"/>
      <c r="Q19" s="303"/>
      <c r="R19" s="318" t="s">
        <v>45</v>
      </c>
      <c r="S19" s="303"/>
      <c r="T19" s="488"/>
      <c r="U19" s="315" t="str">
        <f>IF(T19="","",U5)</f>
        <v/>
      </c>
      <c r="V19" s="488"/>
      <c r="W19" s="315" t="str">
        <f>IF(V19="","",W5)</f>
        <v/>
      </c>
      <c r="X19" s="317"/>
      <c r="Y19" s="489" t="str">
        <f>IF(T19="","",V19*IF(X19="",1,X19)*(1+T3)+IF(AB20="",0,AB20))</f>
        <v/>
      </c>
      <c r="Z19" s="315" t="str">
        <f t="shared" si="2"/>
        <v/>
      </c>
      <c r="AA19" s="316" t="str">
        <f t="shared" si="9"/>
        <v/>
      </c>
      <c r="AB19" s="490" t="str">
        <f t="shared" si="3"/>
        <v/>
      </c>
      <c r="AC19" s="461" t="str">
        <f t="shared" si="10"/>
        <v/>
      </c>
      <c r="AD19" s="463" t="str">
        <f t="shared" si="11"/>
        <v/>
      </c>
      <c r="AE19" s="461" t="str">
        <f>IF(W19="","",W5)</f>
        <v/>
      </c>
      <c r="AF19" s="303"/>
      <c r="AG19" s="303"/>
      <c r="AH19" s="303"/>
      <c r="AI19" s="318" t="s">
        <v>45</v>
      </c>
      <c r="AJ19" s="303"/>
      <c r="AK19" s="488"/>
      <c r="AL19" s="315" t="str">
        <f>IF(AK19="","",AL5)</f>
        <v/>
      </c>
      <c r="AM19" s="488"/>
      <c r="AN19" s="315" t="str">
        <f>IF(AM19="","",AN5)</f>
        <v/>
      </c>
      <c r="AO19" s="317"/>
      <c r="AP19" s="489" t="str">
        <f>IF(AK19="","",AM19*IF(AO19="",1,AO19)*(1+AK3)+IF(AS20="",0,AS20))</f>
        <v/>
      </c>
      <c r="AQ19" s="315" t="str">
        <f t="shared" si="4"/>
        <v/>
      </c>
      <c r="AR19" s="316" t="str">
        <f t="shared" si="12"/>
        <v/>
      </c>
      <c r="AS19" s="490" t="str">
        <f t="shared" si="5"/>
        <v/>
      </c>
      <c r="AT19" s="461" t="str">
        <f t="shared" si="13"/>
        <v/>
      </c>
      <c r="AU19" s="463" t="str">
        <f t="shared" si="14"/>
        <v/>
      </c>
      <c r="AV19" s="461" t="str">
        <f>IF(AN19="","",AN5)</f>
        <v/>
      </c>
    </row>
    <row r="20" spans="1:48" x14ac:dyDescent="0.55000000000000004">
      <c r="A20" s="303"/>
      <c r="B20" s="303"/>
      <c r="C20" s="303"/>
      <c r="D20" s="303"/>
      <c r="E20" s="303"/>
      <c r="F20" s="303"/>
      <c r="G20" s="303"/>
      <c r="H20" s="303"/>
      <c r="I20" s="303"/>
      <c r="J20" s="303"/>
      <c r="K20" s="303"/>
      <c r="L20" s="319" t="s">
        <v>263</v>
      </c>
      <c r="M20" s="464">
        <f>SUM(M5:M19)</f>
        <v>0</v>
      </c>
      <c r="N20" s="462" t="str">
        <f>F5</f>
        <v>µL</v>
      </c>
      <c r="O20" s="303"/>
      <c r="P20" s="303"/>
      <c r="Q20" s="303"/>
      <c r="R20" s="303"/>
      <c r="S20" s="303"/>
      <c r="T20" s="303"/>
      <c r="U20" s="303"/>
      <c r="V20" s="303"/>
      <c r="W20" s="303"/>
      <c r="X20" s="303"/>
      <c r="Y20" s="303"/>
      <c r="Z20" s="303"/>
      <c r="AA20" s="303"/>
      <c r="AB20" s="303"/>
      <c r="AC20" s="306" t="s">
        <v>178</v>
      </c>
      <c r="AD20" s="492">
        <f>SUM(AD5:AD19)</f>
        <v>0</v>
      </c>
      <c r="AE20" s="491" t="str">
        <f>W5</f>
        <v>mL</v>
      </c>
      <c r="AF20" s="303"/>
      <c r="AG20" s="303"/>
      <c r="AH20" s="303"/>
      <c r="AI20" s="303"/>
      <c r="AJ20" s="303"/>
      <c r="AK20" s="303"/>
      <c r="AL20" s="303"/>
      <c r="AM20" s="303"/>
      <c r="AN20" s="303"/>
      <c r="AO20" s="303"/>
      <c r="AP20" s="303"/>
      <c r="AQ20" s="303"/>
      <c r="AR20" s="303"/>
      <c r="AS20" s="303"/>
      <c r="AT20" s="319" t="s">
        <v>178</v>
      </c>
      <c r="AU20" s="464">
        <f>SUM(AU5:AU19)</f>
        <v>0</v>
      </c>
      <c r="AV20" s="462" t="str">
        <f>AN5</f>
        <v>µL</v>
      </c>
    </row>
    <row r="21" spans="1:48" x14ac:dyDescent="0.55000000000000004">
      <c r="A21" s="303"/>
      <c r="B21" s="303"/>
      <c r="C21" s="303"/>
      <c r="D21" s="303"/>
      <c r="E21" s="303"/>
      <c r="F21" s="303"/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  <c r="W21" s="303"/>
      <c r="X21" s="303"/>
      <c r="Y21" s="303"/>
      <c r="Z21" s="303"/>
      <c r="AA21" s="303"/>
      <c r="AB21" s="303"/>
      <c r="AC21" s="303"/>
      <c r="AD21" s="303"/>
      <c r="AE21" s="303"/>
      <c r="AF21" s="303"/>
      <c r="AG21" s="303"/>
      <c r="AH21" s="303"/>
      <c r="AI21" s="303"/>
      <c r="AJ21" s="303"/>
      <c r="AK21" s="303"/>
      <c r="AL21" s="303"/>
      <c r="AM21" s="303"/>
      <c r="AN21" s="303"/>
      <c r="AO21" s="303"/>
      <c r="AP21" s="303"/>
      <c r="AQ21" s="303"/>
      <c r="AR21" s="303"/>
      <c r="AS21" s="303"/>
      <c r="AT21" s="303"/>
      <c r="AU21" s="303"/>
      <c r="AV21" s="303"/>
    </row>
    <row r="22" spans="1:48" x14ac:dyDescent="0.55000000000000004">
      <c r="A22" s="303"/>
      <c r="B22" s="303"/>
      <c r="C22" s="303"/>
      <c r="D22" s="303"/>
      <c r="E22" s="303"/>
      <c r="F22" s="303"/>
      <c r="G22" s="303"/>
      <c r="H22" s="303"/>
      <c r="I22" s="303"/>
      <c r="J22" s="303"/>
      <c r="K22" s="303"/>
      <c r="L22" s="303"/>
      <c r="M22" s="303"/>
      <c r="N22" s="303"/>
      <c r="O22" s="303"/>
      <c r="P22" s="303"/>
      <c r="Q22" s="303"/>
      <c r="R22" s="303"/>
      <c r="S22" s="303"/>
      <c r="T22" s="303"/>
      <c r="U22" s="303"/>
      <c r="V22" s="303"/>
      <c r="W22" s="303"/>
      <c r="X22" s="303"/>
      <c r="Y22" s="303"/>
      <c r="Z22" s="303"/>
      <c r="AA22" s="303"/>
      <c r="AB22" s="303"/>
      <c r="AC22" s="303"/>
      <c r="AD22" s="303"/>
      <c r="AE22" s="303"/>
      <c r="AF22" s="303"/>
      <c r="AG22" s="303"/>
      <c r="AH22" s="303"/>
      <c r="AI22" s="303"/>
      <c r="AJ22" s="303"/>
      <c r="AK22" s="303"/>
      <c r="AL22" s="303"/>
      <c r="AM22" s="303"/>
      <c r="AN22" s="303"/>
      <c r="AO22" s="303"/>
      <c r="AP22" s="303"/>
      <c r="AQ22" s="303"/>
      <c r="AR22" s="303"/>
      <c r="AS22" s="303"/>
      <c r="AT22" s="303"/>
      <c r="AU22" s="303"/>
      <c r="AV22" s="303"/>
    </row>
    <row r="23" spans="1:48" x14ac:dyDescent="0.55000000000000004">
      <c r="A23" s="303"/>
      <c r="B23" s="303"/>
      <c r="C23" s="303"/>
      <c r="D23" s="303"/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  <c r="T23" s="303"/>
      <c r="U23" s="303"/>
      <c r="V23" s="303"/>
      <c r="W23" s="303"/>
      <c r="X23" s="303"/>
      <c r="Y23" s="303"/>
      <c r="Z23" s="303"/>
      <c r="AA23" s="303"/>
      <c r="AB23" s="303"/>
      <c r="AC23" s="303"/>
      <c r="AD23" s="303"/>
      <c r="AE23" s="303"/>
      <c r="AF23" s="303"/>
      <c r="AG23" s="303"/>
      <c r="AH23" s="303"/>
      <c r="AI23" s="303"/>
      <c r="AJ23" s="303"/>
      <c r="AK23" s="303"/>
      <c r="AL23" s="303"/>
      <c r="AM23" s="303"/>
      <c r="AN23" s="303"/>
      <c r="AO23" s="303"/>
      <c r="AP23" s="303"/>
      <c r="AQ23" s="303"/>
      <c r="AR23" s="303"/>
      <c r="AS23" s="303"/>
      <c r="AT23" s="303"/>
      <c r="AU23" s="303"/>
      <c r="AV23" s="303"/>
    </row>
    <row r="24" spans="1:48" x14ac:dyDescent="0.55000000000000004">
      <c r="A24" s="303"/>
      <c r="B24" s="303"/>
      <c r="C24" s="303"/>
      <c r="D24" s="303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  <c r="W24" s="303"/>
      <c r="X24" s="303"/>
      <c r="Y24" s="303"/>
      <c r="Z24" s="303"/>
      <c r="AA24" s="303"/>
      <c r="AB24" s="303"/>
      <c r="AC24" s="303"/>
      <c r="AD24" s="303"/>
      <c r="AE24" s="303"/>
      <c r="AF24" s="303"/>
      <c r="AG24" s="303"/>
      <c r="AH24" s="303"/>
      <c r="AI24" s="303"/>
      <c r="AJ24" s="303"/>
      <c r="AK24" s="303"/>
      <c r="AL24" s="303"/>
      <c r="AM24" s="303"/>
      <c r="AN24" s="303"/>
      <c r="AO24" s="303"/>
      <c r="AP24" s="303"/>
      <c r="AQ24" s="303"/>
      <c r="AR24" s="303"/>
      <c r="AS24" s="303"/>
      <c r="AT24" s="303"/>
      <c r="AU24" s="303"/>
      <c r="AV24" s="303"/>
    </row>
    <row r="25" spans="1:48" x14ac:dyDescent="0.55000000000000004">
      <c r="A25" s="303"/>
      <c r="B25" s="303"/>
      <c r="C25" s="303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303"/>
      <c r="Y25" s="303"/>
      <c r="Z25" s="303"/>
      <c r="AA25" s="303"/>
      <c r="AB25" s="303"/>
      <c r="AC25" s="303"/>
      <c r="AD25" s="303"/>
      <c r="AE25" s="303"/>
      <c r="AF25" s="303"/>
      <c r="AG25" s="303"/>
      <c r="AH25" s="303"/>
      <c r="AI25" s="303"/>
      <c r="AJ25" s="303"/>
      <c r="AK25" s="303"/>
      <c r="AL25" s="303"/>
      <c r="AM25" s="303"/>
      <c r="AN25" s="303"/>
      <c r="AO25" s="303"/>
      <c r="AP25" s="303"/>
      <c r="AQ25" s="303"/>
      <c r="AR25" s="303"/>
      <c r="AS25" s="303"/>
      <c r="AT25" s="303"/>
      <c r="AU25" s="303"/>
      <c r="AV25" s="303"/>
    </row>
    <row r="26" spans="1:48" ht="70.2" customHeight="1" x14ac:dyDescent="0.55000000000000004">
      <c r="A26" s="579" t="s">
        <v>278</v>
      </c>
      <c r="B26" s="579"/>
      <c r="C26" s="579"/>
      <c r="D26" s="579"/>
      <c r="E26" s="579"/>
      <c r="F26" s="579"/>
      <c r="G26" s="579"/>
      <c r="H26" s="579"/>
      <c r="I26" s="579"/>
      <c r="J26" s="579"/>
      <c r="K26" s="579"/>
      <c r="L26" s="579"/>
      <c r="M26" s="579"/>
      <c r="N26" s="579"/>
    </row>
    <row r="27" spans="1:48" x14ac:dyDescent="0.55000000000000004">
      <c r="A27" s="107"/>
      <c r="B27" s="351" t="s">
        <v>121</v>
      </c>
      <c r="C27" s="350">
        <v>0.05</v>
      </c>
      <c r="D27" s="129"/>
      <c r="E27" s="107"/>
      <c r="F27" s="107"/>
      <c r="G27" s="107"/>
      <c r="H27" s="107"/>
      <c r="I27" s="107"/>
      <c r="J27" s="107"/>
      <c r="K27" s="107"/>
      <c r="L27" s="107"/>
      <c r="M27" s="107"/>
      <c r="N27" s="107"/>
    </row>
    <row r="28" spans="1:48" ht="36.6" x14ac:dyDescent="0.55000000000000004">
      <c r="B28" s="128" t="s">
        <v>125</v>
      </c>
      <c r="C28" s="300" t="s">
        <v>262</v>
      </c>
      <c r="D28" s="300" t="s">
        <v>257</v>
      </c>
      <c r="E28" s="299" t="s">
        <v>122</v>
      </c>
      <c r="F28" s="299" t="s">
        <v>256</v>
      </c>
      <c r="G28" s="301" t="s">
        <v>75</v>
      </c>
      <c r="H28" s="128" t="s">
        <v>264</v>
      </c>
      <c r="I28" s="128"/>
      <c r="J28" s="128" t="s">
        <v>123</v>
      </c>
      <c r="K28" s="576" t="s">
        <v>124</v>
      </c>
      <c r="L28" s="576"/>
      <c r="M28" s="322" t="s">
        <v>276</v>
      </c>
      <c r="N28" s="127"/>
    </row>
    <row r="29" spans="1:48" x14ac:dyDescent="0.55000000000000004">
      <c r="A29" s="9" t="s">
        <v>28</v>
      </c>
      <c r="C29" s="486">
        <v>2</v>
      </c>
      <c r="D29" s="485" t="s">
        <v>17</v>
      </c>
      <c r="E29" s="483">
        <v>150</v>
      </c>
      <c r="F29" s="482" t="s">
        <v>10</v>
      </c>
      <c r="G29" s="302">
        <v>2</v>
      </c>
      <c r="H29" s="479">
        <f>IF(C29="","",E29*G29*(1+$C$27)+IF(K30="",0,K30))</f>
        <v>623.70000000000005</v>
      </c>
      <c r="I29" s="325" t="str">
        <f>IF(C29="","",F29)</f>
        <v>µL</v>
      </c>
      <c r="J29" s="321">
        <v>1</v>
      </c>
      <c r="K29" s="475">
        <v>0</v>
      </c>
      <c r="M29" s="470">
        <f>IF(C29="","",H29-K29)</f>
        <v>623.70000000000005</v>
      </c>
      <c r="N29" s="466" t="str">
        <f>IF(F29="","",F5)</f>
        <v>µL</v>
      </c>
      <c r="O29" s="286"/>
    </row>
    <row r="30" spans="1:48" x14ac:dyDescent="0.55000000000000004">
      <c r="A30" s="9" t="s">
        <v>29</v>
      </c>
      <c r="C30" s="486">
        <v>1</v>
      </c>
      <c r="D30" s="323" t="str">
        <f>IF(C30="","",D29)</f>
        <v>M</v>
      </c>
      <c r="E30" s="483">
        <v>150</v>
      </c>
      <c r="F30" s="298" t="str">
        <f>IF(E30="","",F29)</f>
        <v>µL</v>
      </c>
      <c r="G30" s="302">
        <v>2</v>
      </c>
      <c r="H30" s="480">
        <f t="shared" ref="H30:H43" si="15">IF(C30="","",E30*G30*(1+$C$27)+IF(K31="",0,K31))</f>
        <v>617.4</v>
      </c>
      <c r="I30" s="478" t="str">
        <f t="shared" ref="I30:I43" si="16">IF(C30="","",F30)</f>
        <v>µL</v>
      </c>
      <c r="J30" s="324">
        <f>IF(C30="","",C30/C29)</f>
        <v>0.5</v>
      </c>
      <c r="K30" s="476">
        <f t="shared" ref="K30:K43" si="17">IF(C30="","",H30*J30)</f>
        <v>308.7</v>
      </c>
      <c r="L30" s="474" t="str">
        <f>IF(C30="","",CONCATENATE(F29," ",C29," ",D29," in"))</f>
        <v>µL 2 M in</v>
      </c>
      <c r="M30" s="471">
        <f>IF(C30="","",H30-K30)</f>
        <v>308.7</v>
      </c>
      <c r="N30" s="467" t="str">
        <f>IF(F30="","",F5)</f>
        <v>µL</v>
      </c>
      <c r="O30" s="286"/>
    </row>
    <row r="31" spans="1:48" x14ac:dyDescent="0.55000000000000004">
      <c r="A31" s="9" t="s">
        <v>30</v>
      </c>
      <c r="C31" s="486">
        <v>0.5</v>
      </c>
      <c r="D31" s="323" t="str">
        <f t="shared" ref="D31:D43" si="18">IF(C31="","",D30)</f>
        <v>M</v>
      </c>
      <c r="E31" s="483">
        <v>150</v>
      </c>
      <c r="F31" s="298" t="str">
        <f t="shared" ref="F31:F43" si="19">IF(E31="","",F30)</f>
        <v>µL</v>
      </c>
      <c r="G31" s="302">
        <v>3</v>
      </c>
      <c r="H31" s="481">
        <f t="shared" si="15"/>
        <v>604.79999999999995</v>
      </c>
      <c r="I31" s="369" t="str">
        <f t="shared" si="16"/>
        <v>µL</v>
      </c>
      <c r="J31" s="126">
        <f t="shared" ref="J31:J43" si="20">IF(C31="","",C31/C30)</f>
        <v>0.5</v>
      </c>
      <c r="K31" s="477">
        <f t="shared" si="17"/>
        <v>302.39999999999998</v>
      </c>
      <c r="L31" s="466" t="str">
        <f t="shared" ref="L31:L43" si="21">IF(C31="","",CONCATENATE(F30," ",C30," ",D30," in"))</f>
        <v>µL 1 M in</v>
      </c>
      <c r="M31" s="472">
        <f t="shared" ref="M31:M43" si="22">IF(C31="","",H31-K31)</f>
        <v>302.39999999999998</v>
      </c>
      <c r="N31" s="468" t="str">
        <f>IF(F31="","",F5)</f>
        <v>µL</v>
      </c>
      <c r="O31" s="286"/>
    </row>
    <row r="32" spans="1:48" x14ac:dyDescent="0.55000000000000004">
      <c r="A32" s="9" t="s">
        <v>31</v>
      </c>
      <c r="C32" s="486">
        <v>0.1</v>
      </c>
      <c r="D32" s="323" t="str">
        <f t="shared" si="18"/>
        <v>M</v>
      </c>
      <c r="E32" s="483">
        <v>150</v>
      </c>
      <c r="F32" s="298" t="str">
        <f t="shared" si="19"/>
        <v>µL</v>
      </c>
      <c r="G32" s="302">
        <v>3</v>
      </c>
      <c r="H32" s="481">
        <f t="shared" si="15"/>
        <v>661.5</v>
      </c>
      <c r="I32" s="369" t="str">
        <f t="shared" si="16"/>
        <v>µL</v>
      </c>
      <c r="J32" s="126">
        <f t="shared" si="20"/>
        <v>0.2</v>
      </c>
      <c r="K32" s="477">
        <f t="shared" si="17"/>
        <v>132.30000000000001</v>
      </c>
      <c r="L32" s="466" t="str">
        <f t="shared" si="21"/>
        <v>µL 0.5 M in</v>
      </c>
      <c r="M32" s="472">
        <f t="shared" si="22"/>
        <v>529.20000000000005</v>
      </c>
      <c r="N32" s="468" t="str">
        <f>IF(F32="","",F5)</f>
        <v>µL</v>
      </c>
      <c r="O32" s="2"/>
      <c r="P32" s="2"/>
      <c r="Q32" s="2"/>
      <c r="R32" s="2"/>
      <c r="S32" s="2"/>
      <c r="T32" s="2"/>
    </row>
    <row r="33" spans="1:15" x14ac:dyDescent="0.55000000000000004">
      <c r="A33" s="9" t="s">
        <v>32</v>
      </c>
      <c r="C33" s="486">
        <v>0.05</v>
      </c>
      <c r="D33" s="323" t="str">
        <f t="shared" si="18"/>
        <v>M</v>
      </c>
      <c r="E33" s="483">
        <v>150</v>
      </c>
      <c r="F33" s="298" t="str">
        <f t="shared" si="19"/>
        <v>µL</v>
      </c>
      <c r="G33" s="302">
        <v>2</v>
      </c>
      <c r="H33" s="481">
        <f t="shared" si="15"/>
        <v>378</v>
      </c>
      <c r="I33" s="369" t="str">
        <f t="shared" si="16"/>
        <v>µL</v>
      </c>
      <c r="J33" s="126">
        <f t="shared" si="20"/>
        <v>0.5</v>
      </c>
      <c r="K33" s="477">
        <f>IF(C33="","",H33*J33)</f>
        <v>189</v>
      </c>
      <c r="L33" s="466" t="str">
        <f t="shared" si="21"/>
        <v>µL 0.1 M in</v>
      </c>
      <c r="M33" s="472">
        <f t="shared" si="22"/>
        <v>189</v>
      </c>
      <c r="N33" s="468" t="str">
        <f>IF(F33="","",F5)</f>
        <v>µL</v>
      </c>
      <c r="O33" s="286"/>
    </row>
    <row r="34" spans="1:15" x14ac:dyDescent="0.55000000000000004">
      <c r="A34" s="9" t="s">
        <v>33</v>
      </c>
      <c r="C34" s="486">
        <v>0.01</v>
      </c>
      <c r="D34" s="323" t="str">
        <f t="shared" si="18"/>
        <v>M</v>
      </c>
      <c r="E34" s="483">
        <v>150</v>
      </c>
      <c r="F34" s="298" t="str">
        <f t="shared" si="19"/>
        <v>µL</v>
      </c>
      <c r="G34" s="302">
        <v>2</v>
      </c>
      <c r="H34" s="481">
        <f t="shared" si="15"/>
        <v>315</v>
      </c>
      <c r="I34" s="369" t="str">
        <f t="shared" si="16"/>
        <v>µL</v>
      </c>
      <c r="J34" s="126">
        <f t="shared" si="20"/>
        <v>0.19999999999999998</v>
      </c>
      <c r="K34" s="477">
        <f t="shared" si="17"/>
        <v>62.999999999999993</v>
      </c>
      <c r="L34" s="466" t="str">
        <f t="shared" si="21"/>
        <v>µL 0.05 M in</v>
      </c>
      <c r="M34" s="472">
        <f t="shared" si="22"/>
        <v>252</v>
      </c>
      <c r="N34" s="468" t="str">
        <f>IF(F34="","",F5)</f>
        <v>µL</v>
      </c>
      <c r="O34" s="286"/>
    </row>
    <row r="35" spans="1:15" x14ac:dyDescent="0.55000000000000004">
      <c r="A35" s="9" t="s">
        <v>34</v>
      </c>
      <c r="C35" s="486">
        <v>0</v>
      </c>
      <c r="D35" s="323" t="str">
        <f t="shared" si="18"/>
        <v>M</v>
      </c>
      <c r="E35" s="483">
        <v>150</v>
      </c>
      <c r="F35" s="298" t="str">
        <f t="shared" si="19"/>
        <v>µL</v>
      </c>
      <c r="G35" s="302">
        <v>2</v>
      </c>
      <c r="H35" s="481">
        <f t="shared" si="15"/>
        <v>315</v>
      </c>
      <c r="I35" s="369" t="str">
        <f t="shared" si="16"/>
        <v>µL</v>
      </c>
      <c r="J35" s="126">
        <f t="shared" si="20"/>
        <v>0</v>
      </c>
      <c r="K35" s="477">
        <f t="shared" si="17"/>
        <v>0</v>
      </c>
      <c r="L35" s="466" t="str">
        <f t="shared" si="21"/>
        <v>µL 0.01 M in</v>
      </c>
      <c r="M35" s="472">
        <f t="shared" si="22"/>
        <v>315</v>
      </c>
      <c r="N35" s="468" t="str">
        <f>IF(F35="","",F5)</f>
        <v>µL</v>
      </c>
      <c r="O35" s="286"/>
    </row>
    <row r="36" spans="1:15" x14ac:dyDescent="0.55000000000000004">
      <c r="A36" s="9" t="s">
        <v>35</v>
      </c>
      <c r="C36" s="486"/>
      <c r="D36" s="323" t="str">
        <f t="shared" si="18"/>
        <v/>
      </c>
      <c r="E36" s="484"/>
      <c r="F36" t="str">
        <f t="shared" si="19"/>
        <v/>
      </c>
      <c r="G36" s="209"/>
      <c r="H36" s="481" t="str">
        <f t="shared" si="15"/>
        <v/>
      </c>
      <c r="I36" s="369" t="str">
        <f t="shared" si="16"/>
        <v/>
      </c>
      <c r="J36" s="126" t="str">
        <f t="shared" si="20"/>
        <v/>
      </c>
      <c r="K36" s="477" t="str">
        <f t="shared" si="17"/>
        <v/>
      </c>
      <c r="L36" s="466" t="str">
        <f t="shared" si="21"/>
        <v/>
      </c>
      <c r="M36" s="472" t="str">
        <f t="shared" si="22"/>
        <v/>
      </c>
      <c r="N36" s="468" t="str">
        <f>IF(F36="","",F5)</f>
        <v/>
      </c>
      <c r="O36" s="286"/>
    </row>
    <row r="37" spans="1:15" x14ac:dyDescent="0.55000000000000004">
      <c r="A37" s="9" t="s">
        <v>36</v>
      </c>
      <c r="C37" s="486"/>
      <c r="D37" s="323" t="str">
        <f t="shared" si="18"/>
        <v/>
      </c>
      <c r="E37" s="484"/>
      <c r="F37" t="str">
        <f t="shared" si="19"/>
        <v/>
      </c>
      <c r="G37" s="209"/>
      <c r="H37" s="481" t="str">
        <f t="shared" si="15"/>
        <v/>
      </c>
      <c r="I37" s="369" t="str">
        <f t="shared" si="16"/>
        <v/>
      </c>
      <c r="J37" s="126" t="str">
        <f t="shared" si="20"/>
        <v/>
      </c>
      <c r="K37" s="477" t="str">
        <f t="shared" si="17"/>
        <v/>
      </c>
      <c r="L37" s="466" t="str">
        <f t="shared" si="21"/>
        <v/>
      </c>
      <c r="M37" s="472" t="str">
        <f t="shared" si="22"/>
        <v/>
      </c>
      <c r="N37" s="468" t="str">
        <f>IF(F37="","",F5)</f>
        <v/>
      </c>
      <c r="O37" s="286"/>
    </row>
    <row r="38" spans="1:15" x14ac:dyDescent="0.55000000000000004">
      <c r="A38" s="9" t="s">
        <v>37</v>
      </c>
      <c r="C38" s="486"/>
      <c r="D38" s="323" t="str">
        <f t="shared" si="18"/>
        <v/>
      </c>
      <c r="E38" s="484"/>
      <c r="F38" t="str">
        <f t="shared" si="19"/>
        <v/>
      </c>
      <c r="G38" s="209"/>
      <c r="H38" s="481" t="str">
        <f t="shared" si="15"/>
        <v/>
      </c>
      <c r="I38" s="369" t="str">
        <f t="shared" si="16"/>
        <v/>
      </c>
      <c r="J38" s="126" t="str">
        <f t="shared" si="20"/>
        <v/>
      </c>
      <c r="K38" s="477" t="str">
        <f t="shared" si="17"/>
        <v/>
      </c>
      <c r="L38" s="466" t="str">
        <f t="shared" si="21"/>
        <v/>
      </c>
      <c r="M38" s="472" t="str">
        <f t="shared" si="22"/>
        <v/>
      </c>
      <c r="N38" s="468" t="str">
        <f>IF(F38="","",F5)</f>
        <v/>
      </c>
      <c r="O38" s="286"/>
    </row>
    <row r="39" spans="1:15" x14ac:dyDescent="0.55000000000000004">
      <c r="A39" s="9" t="s">
        <v>41</v>
      </c>
      <c r="C39" s="486"/>
      <c r="D39" s="323" t="str">
        <f t="shared" si="18"/>
        <v/>
      </c>
      <c r="E39" s="484"/>
      <c r="F39" t="str">
        <f t="shared" si="19"/>
        <v/>
      </c>
      <c r="G39" s="209"/>
      <c r="H39" s="481" t="str">
        <f t="shared" si="15"/>
        <v/>
      </c>
      <c r="I39" s="369" t="str">
        <f t="shared" si="16"/>
        <v/>
      </c>
      <c r="J39" s="126" t="str">
        <f t="shared" si="20"/>
        <v/>
      </c>
      <c r="K39" s="477" t="str">
        <f t="shared" si="17"/>
        <v/>
      </c>
      <c r="L39" s="466" t="str">
        <f t="shared" si="21"/>
        <v/>
      </c>
      <c r="M39" s="472" t="str">
        <f t="shared" si="22"/>
        <v/>
      </c>
      <c r="N39" s="468" t="str">
        <f>IF(F39="","",F5)</f>
        <v/>
      </c>
      <c r="O39" s="286"/>
    </row>
    <row r="40" spans="1:15" x14ac:dyDescent="0.55000000000000004">
      <c r="A40" s="9" t="s">
        <v>42</v>
      </c>
      <c r="C40" s="486"/>
      <c r="D40" s="323" t="str">
        <f t="shared" si="18"/>
        <v/>
      </c>
      <c r="E40" s="484"/>
      <c r="F40" t="str">
        <f t="shared" si="19"/>
        <v/>
      </c>
      <c r="G40" s="209"/>
      <c r="H40" s="481" t="str">
        <f t="shared" si="15"/>
        <v/>
      </c>
      <c r="I40" s="369" t="str">
        <f t="shared" si="16"/>
        <v/>
      </c>
      <c r="J40" s="126" t="str">
        <f t="shared" si="20"/>
        <v/>
      </c>
      <c r="K40" s="477" t="str">
        <f t="shared" si="17"/>
        <v/>
      </c>
      <c r="L40" s="466" t="str">
        <f t="shared" si="21"/>
        <v/>
      </c>
      <c r="M40" s="472" t="str">
        <f t="shared" si="22"/>
        <v/>
      </c>
      <c r="N40" s="468" t="str">
        <f>IF(F40="","",F5)</f>
        <v/>
      </c>
      <c r="O40" s="286"/>
    </row>
    <row r="41" spans="1:15" x14ac:dyDescent="0.55000000000000004">
      <c r="A41" s="9" t="s">
        <v>43</v>
      </c>
      <c r="C41" s="486"/>
      <c r="D41" s="323" t="str">
        <f t="shared" si="18"/>
        <v/>
      </c>
      <c r="E41" s="484"/>
      <c r="F41" t="str">
        <f t="shared" si="19"/>
        <v/>
      </c>
      <c r="G41" s="209"/>
      <c r="H41" s="481" t="str">
        <f t="shared" si="15"/>
        <v/>
      </c>
      <c r="I41" s="369" t="str">
        <f t="shared" si="16"/>
        <v/>
      </c>
      <c r="J41" s="126" t="str">
        <f t="shared" si="20"/>
        <v/>
      </c>
      <c r="K41" s="477" t="str">
        <f t="shared" si="17"/>
        <v/>
      </c>
      <c r="L41" s="466" t="str">
        <f t="shared" si="21"/>
        <v/>
      </c>
      <c r="M41" s="472" t="str">
        <f t="shared" si="22"/>
        <v/>
      </c>
      <c r="N41" s="468" t="str">
        <f>IF(F41="","",F5)</f>
        <v/>
      </c>
      <c r="O41" s="286"/>
    </row>
    <row r="42" spans="1:15" x14ac:dyDescent="0.55000000000000004">
      <c r="A42" s="9" t="s">
        <v>44</v>
      </c>
      <c r="C42" s="486"/>
      <c r="D42" s="323" t="str">
        <f t="shared" si="18"/>
        <v/>
      </c>
      <c r="E42" s="484"/>
      <c r="F42" t="str">
        <f t="shared" si="19"/>
        <v/>
      </c>
      <c r="G42" s="209"/>
      <c r="H42" s="481" t="str">
        <f t="shared" si="15"/>
        <v/>
      </c>
      <c r="I42" s="369" t="str">
        <f t="shared" si="16"/>
        <v/>
      </c>
      <c r="J42" s="126" t="str">
        <f t="shared" si="20"/>
        <v/>
      </c>
      <c r="K42" s="477" t="str">
        <f t="shared" si="17"/>
        <v/>
      </c>
      <c r="L42" s="466" t="str">
        <f t="shared" si="21"/>
        <v/>
      </c>
      <c r="M42" s="472" t="str">
        <f t="shared" si="22"/>
        <v/>
      </c>
      <c r="N42" s="468" t="str">
        <f>IF(F42="","",F5)</f>
        <v/>
      </c>
      <c r="O42" s="286"/>
    </row>
    <row r="43" spans="1:15" x14ac:dyDescent="0.55000000000000004">
      <c r="A43" s="9" t="s">
        <v>45</v>
      </c>
      <c r="C43" s="486"/>
      <c r="D43" s="323" t="str">
        <f t="shared" si="18"/>
        <v/>
      </c>
      <c r="E43" s="484"/>
      <c r="F43" t="str">
        <f t="shared" si="19"/>
        <v/>
      </c>
      <c r="G43" s="209"/>
      <c r="H43" s="481" t="str">
        <f t="shared" si="15"/>
        <v/>
      </c>
      <c r="I43" s="369" t="str">
        <f t="shared" si="16"/>
        <v/>
      </c>
      <c r="J43" s="126" t="str">
        <f t="shared" si="20"/>
        <v/>
      </c>
      <c r="K43" s="477" t="str">
        <f t="shared" si="17"/>
        <v/>
      </c>
      <c r="L43" s="466" t="str">
        <f t="shared" si="21"/>
        <v/>
      </c>
      <c r="M43" s="472" t="str">
        <f t="shared" si="22"/>
        <v/>
      </c>
      <c r="N43" s="468" t="str">
        <f>IF(F43="","",F5)</f>
        <v/>
      </c>
      <c r="O43" s="286"/>
    </row>
    <row r="44" spans="1:15" x14ac:dyDescent="0.55000000000000004">
      <c r="L44" s="320" t="s">
        <v>178</v>
      </c>
      <c r="M44" s="473">
        <f>SUM(M29:M43)</f>
        <v>2520</v>
      </c>
      <c r="N44" s="469" t="str">
        <f>F29</f>
        <v>µL</v>
      </c>
    </row>
    <row r="46" spans="1:15" x14ac:dyDescent="0.55000000000000004">
      <c r="A46" s="162"/>
      <c r="B46" s="286"/>
      <c r="C46" s="161" t="s">
        <v>179</v>
      </c>
      <c r="D46" s="286"/>
      <c r="E46" s="286"/>
    </row>
    <row r="47" spans="1:15" x14ac:dyDescent="0.55000000000000004">
      <c r="B47" s="286"/>
      <c r="C47" s="161" t="s">
        <v>255</v>
      </c>
      <c r="D47" s="286"/>
      <c r="E47" s="286"/>
    </row>
    <row r="48" spans="1:15" x14ac:dyDescent="0.55000000000000004">
      <c r="B48" s="286"/>
      <c r="C48" s="297" t="s">
        <v>254</v>
      </c>
      <c r="D48" s="286"/>
      <c r="E48" s="286"/>
    </row>
  </sheetData>
  <mergeCells count="10">
    <mergeCell ref="U3:AE3"/>
    <mergeCell ref="AL3:AV3"/>
    <mergeCell ref="K28:L28"/>
    <mergeCell ref="D1:N1"/>
    <mergeCell ref="A1:C1"/>
    <mergeCell ref="A26:N26"/>
    <mergeCell ref="D3:N3"/>
    <mergeCell ref="K4:L4"/>
    <mergeCell ref="AB4:AC4"/>
    <mergeCell ref="AS4:AT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24"/>
  <sheetViews>
    <sheetView workbookViewId="0">
      <selection activeCell="A25" sqref="A25"/>
    </sheetView>
  </sheetViews>
  <sheetFormatPr defaultRowHeight="14.4" x14ac:dyDescent="0.55000000000000004"/>
  <sheetData>
    <row r="1" spans="1:1" s="358" customFormat="1" x14ac:dyDescent="0.55000000000000004">
      <c r="A1" s="358" t="s">
        <v>333</v>
      </c>
    </row>
    <row r="2" spans="1:1" x14ac:dyDescent="0.55000000000000004">
      <c r="A2" s="420" t="s">
        <v>287</v>
      </c>
    </row>
    <row r="3" spans="1:1" x14ac:dyDescent="0.55000000000000004">
      <c r="A3" t="s">
        <v>279</v>
      </c>
    </row>
    <row r="4" spans="1:1" s="358" customFormat="1" x14ac:dyDescent="0.55000000000000004">
      <c r="A4" s="420" t="s">
        <v>326</v>
      </c>
    </row>
    <row r="5" spans="1:1" s="358" customFormat="1" x14ac:dyDescent="0.55000000000000004">
      <c r="A5" s="420" t="s">
        <v>327</v>
      </c>
    </row>
    <row r="6" spans="1:1" x14ac:dyDescent="0.55000000000000004">
      <c r="A6" t="s">
        <v>295</v>
      </c>
    </row>
    <row r="7" spans="1:1" x14ac:dyDescent="0.55000000000000004">
      <c r="A7" t="s">
        <v>296</v>
      </c>
    </row>
    <row r="8" spans="1:1" x14ac:dyDescent="0.55000000000000004">
      <c r="A8" t="s">
        <v>303</v>
      </c>
    </row>
    <row r="9" spans="1:1" x14ac:dyDescent="0.55000000000000004">
      <c r="A9" s="420" t="s">
        <v>305</v>
      </c>
    </row>
    <row r="10" spans="1:1" x14ac:dyDescent="0.55000000000000004">
      <c r="A10" s="420" t="s">
        <v>306</v>
      </c>
    </row>
    <row r="12" spans="1:1" x14ac:dyDescent="0.55000000000000004">
      <c r="A12" t="s">
        <v>329</v>
      </c>
    </row>
    <row r="13" spans="1:1" x14ac:dyDescent="0.55000000000000004">
      <c r="A13" t="s">
        <v>332</v>
      </c>
    </row>
    <row r="15" spans="1:1" x14ac:dyDescent="0.55000000000000004">
      <c r="A15" t="s">
        <v>330</v>
      </c>
    </row>
    <row r="16" spans="1:1" x14ac:dyDescent="0.55000000000000004">
      <c r="A16" t="s">
        <v>331</v>
      </c>
    </row>
    <row r="18" spans="1:1" x14ac:dyDescent="0.55000000000000004">
      <c r="A18" t="s">
        <v>339</v>
      </c>
    </row>
    <row r="19" spans="1:1" x14ac:dyDescent="0.55000000000000004">
      <c r="A19" t="s">
        <v>340</v>
      </c>
    </row>
    <row r="20" spans="1:1" x14ac:dyDescent="0.55000000000000004">
      <c r="A20" t="s">
        <v>344</v>
      </c>
    </row>
    <row r="21" spans="1:1" x14ac:dyDescent="0.55000000000000004">
      <c r="A21" t="s">
        <v>342</v>
      </c>
    </row>
    <row r="22" spans="1:1" x14ac:dyDescent="0.55000000000000004">
      <c r="A22" t="s">
        <v>343</v>
      </c>
    </row>
    <row r="24" spans="1:1" x14ac:dyDescent="0.55000000000000004">
      <c r="A24" t="s">
        <v>345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PCR</vt:lpstr>
      <vt:lpstr>Golden Gate</vt:lpstr>
      <vt:lpstr>DNA Digest, PO₄</vt:lpstr>
      <vt:lpstr>Transformations</vt:lpstr>
      <vt:lpstr>Sequencing</vt:lpstr>
      <vt:lpstr>DNA Conc</vt:lpstr>
      <vt:lpstr>Reagent Prep</vt:lpstr>
      <vt:lpstr>Dilution Series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Wetlab Calculator 1-6</dc:title>
  <dc:creator>Shyam Bhakta</dc:creator>
  <cp:lastModifiedBy>Shyam Bhakta</cp:lastModifiedBy>
  <dcterms:created xsi:type="dcterms:W3CDTF">2014-08-14T17:53:26Z</dcterms:created>
  <dcterms:modified xsi:type="dcterms:W3CDTF">2018-08-11T06:59:43Z</dcterms:modified>
  <cp:contentStatus/>
</cp:coreProperties>
</file>