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Space\java\mine\note\xczyNote\报告计算资料\水尺模板\版本1\"/>
    </mc:Choice>
  </mc:AlternateContent>
  <bookViews>
    <workbookView xWindow="0" yWindow="0" windowWidth="19095" windowHeight="11760" activeTab="3"/>
  </bookViews>
  <sheets>
    <sheet name="Draft Report" sheetId="1" r:id="rId1"/>
    <sheet name="calculate" sheetId="15" r:id="rId2"/>
    <sheet name="calculate1" sheetId="17" r:id="rId3"/>
    <sheet name="BW" sheetId="5" r:id="rId4"/>
    <sheet name="BW1" sheetId="19" r:id="rId5"/>
    <sheet name="Input" sheetId="16" r:id="rId6"/>
    <sheet name="Input1" sheetId="18" r:id="rId7"/>
  </sheets>
  <definedNames>
    <definedName name="_xlnm._FilterDatabase" localSheetId="6" hidden="1">Input1!$G$20:$I$22</definedName>
    <definedName name="_xlnm.Print_Area" localSheetId="3">BW!$A$1:$F$20</definedName>
    <definedName name="_xlnm.Print_Area" localSheetId="4">'BW1'!$A$1:$F$20</definedName>
    <definedName name="_xlnm.Print_Area" localSheetId="1">calculate!$A$1:$I$51</definedName>
    <definedName name="_xlnm.Print_Area" localSheetId="2">calculate1!$A$1:$I$51</definedName>
    <definedName name="_xlnm.Print_Area" localSheetId="0">'Draft Report'!$A$1:$T$53</definedName>
  </definedNames>
  <calcPr calcId="162913"/>
</workbook>
</file>

<file path=xl/calcChain.xml><?xml version="1.0" encoding="utf-8"?>
<calcChain xmlns="http://schemas.openxmlformats.org/spreadsheetml/2006/main">
  <c r="F34" i="18" l="1"/>
  <c r="F33" i="18"/>
  <c r="H22" i="18"/>
  <c r="G22" i="18"/>
  <c r="H20" i="18"/>
  <c r="G20" i="18"/>
  <c r="H18" i="18"/>
  <c r="G18" i="18"/>
  <c r="F40" i="18"/>
  <c r="B33" i="17"/>
  <c r="F42" i="18"/>
  <c r="I40" i="18"/>
  <c r="G27" i="17"/>
  <c r="D4" i="19"/>
  <c r="H26" i="18"/>
  <c r="B4" i="19"/>
  <c r="F42" i="16"/>
  <c r="F40" i="16"/>
  <c r="F41" i="16" s="1"/>
  <c r="H28" i="16"/>
  <c r="H26" i="16"/>
  <c r="H22" i="16"/>
  <c r="G22" i="16"/>
  <c r="H20" i="16"/>
  <c r="G20" i="16"/>
  <c r="H18" i="16"/>
  <c r="G18" i="16"/>
  <c r="F17" i="19"/>
  <c r="F16" i="19"/>
  <c r="F15" i="19"/>
  <c r="E13" i="19"/>
  <c r="B44" i="17"/>
  <c r="S38" i="1" s="1"/>
  <c r="H43" i="17"/>
  <c r="B42" i="17"/>
  <c r="S36" i="1" s="1"/>
  <c r="B40" i="17"/>
  <c r="B38" i="17"/>
  <c r="B36" i="17"/>
  <c r="H35" i="17"/>
  <c r="B34" i="17"/>
  <c r="B31" i="17"/>
  <c r="B29" i="17"/>
  <c r="H17" i="17"/>
  <c r="B16" i="17"/>
  <c r="H15" i="17"/>
  <c r="B14" i="17"/>
  <c r="B12" i="17"/>
  <c r="B10" i="17"/>
  <c r="B8" i="17"/>
  <c r="B6" i="17"/>
  <c r="I4" i="17"/>
  <c r="F3" i="19" s="1"/>
  <c r="C4" i="17"/>
  <c r="F17" i="5"/>
  <c r="F16" i="5"/>
  <c r="F15" i="5"/>
  <c r="E13" i="5"/>
  <c r="E9" i="5"/>
  <c r="D4" i="5"/>
  <c r="B4" i="5"/>
  <c r="B44" i="15"/>
  <c r="Q38" i="1" s="1"/>
  <c r="H43" i="15"/>
  <c r="B42" i="15"/>
  <c r="Q36" i="1" s="1"/>
  <c r="B40" i="15"/>
  <c r="Q34" i="1" s="1"/>
  <c r="B38" i="15"/>
  <c r="B36" i="15"/>
  <c r="H35" i="15"/>
  <c r="B34" i="15"/>
  <c r="B33" i="15"/>
  <c r="G32" i="15"/>
  <c r="G32" i="17" s="1"/>
  <c r="B31" i="15"/>
  <c r="B29" i="15"/>
  <c r="G27" i="15"/>
  <c r="B27" i="15"/>
  <c r="B25" i="15"/>
  <c r="B23" i="15"/>
  <c r="B21" i="15"/>
  <c r="H17" i="15"/>
  <c r="B16" i="15"/>
  <c r="H15" i="15"/>
  <c r="B14" i="15"/>
  <c r="B12" i="15"/>
  <c r="B10" i="15"/>
  <c r="B8" i="15"/>
  <c r="B6" i="15"/>
  <c r="I4" i="15"/>
  <c r="F3" i="5" s="1"/>
  <c r="C4" i="15"/>
  <c r="I53" i="1"/>
  <c r="Q45" i="1"/>
  <c r="Q43" i="1"/>
  <c r="Q14" i="1"/>
  <c r="I10" i="1"/>
  <c r="Q8" i="1"/>
  <c r="I8" i="1"/>
  <c r="Q6" i="1"/>
  <c r="H6" i="1"/>
  <c r="P4" i="1"/>
  <c r="B4" i="1"/>
  <c r="D11" i="15" l="1"/>
  <c r="D7" i="15"/>
  <c r="S14" i="1"/>
  <c r="B25" i="17"/>
  <c r="B27" i="17"/>
  <c r="E37" i="17"/>
  <c r="S32" i="1" s="1"/>
  <c r="D11" i="17"/>
  <c r="D15" i="17"/>
  <c r="F41" i="18"/>
  <c r="F43" i="18" s="1"/>
  <c r="F44" i="18" s="1"/>
  <c r="B46" i="17"/>
  <c r="S40" i="1" s="1"/>
  <c r="E9" i="19"/>
  <c r="S34" i="1"/>
  <c r="E18" i="19"/>
  <c r="E37" i="15"/>
  <c r="Q32" i="1" s="1"/>
  <c r="E18" i="5"/>
  <c r="D15" i="15"/>
  <c r="F43" i="16"/>
  <c r="F44" i="16" s="1"/>
  <c r="D7" i="17"/>
  <c r="B46" i="15"/>
  <c r="B21" i="17"/>
  <c r="B23" i="17"/>
  <c r="H28" i="18"/>
  <c r="I6" i="15" l="1"/>
  <c r="G30" i="17"/>
  <c r="I6" i="17"/>
  <c r="G30" i="15"/>
  <c r="Q40" i="1"/>
  <c r="B24" i="15"/>
  <c r="B22" i="15"/>
  <c r="E11" i="15"/>
  <c r="E7" i="15"/>
  <c r="E15" i="15"/>
  <c r="B20" i="15"/>
  <c r="E7" i="17" l="1"/>
  <c r="E11" i="17"/>
  <c r="B22" i="17"/>
  <c r="B20" i="17"/>
  <c r="E15" i="17"/>
  <c r="B24" i="17"/>
  <c r="Q21" i="1"/>
  <c r="E22" i="15"/>
  <c r="Q23" i="1"/>
  <c r="F15" i="15"/>
  <c r="E24" i="15"/>
  <c r="F11" i="15"/>
  <c r="E20" i="15"/>
  <c r="F7" i="15"/>
  <c r="Q17" i="1" s="1"/>
  <c r="F15" i="17" l="1"/>
  <c r="S23" i="1"/>
  <c r="S21" i="1"/>
  <c r="E22" i="17"/>
  <c r="E24" i="17"/>
  <c r="F11" i="17"/>
  <c r="E20" i="17"/>
  <c r="F7" i="17"/>
  <c r="S17" i="1" s="1"/>
  <c r="I7" i="15"/>
  <c r="Q19" i="1"/>
  <c r="G24" i="18"/>
  <c r="G24" i="16"/>
  <c r="H10" i="15"/>
  <c r="H12" i="15" s="1"/>
  <c r="H24" i="18"/>
  <c r="G30" i="18" s="1"/>
  <c r="H24" i="16"/>
  <c r="G30" i="16" s="1"/>
  <c r="I7" i="17" l="1"/>
  <c r="S19" i="1"/>
  <c r="H10" i="17"/>
  <c r="H12" i="17" s="1"/>
  <c r="B26" i="15"/>
  <c r="F4" i="5"/>
  <c r="B28" i="15"/>
  <c r="E26" i="15"/>
  <c r="G23" i="15"/>
  <c r="E28" i="15"/>
  <c r="Q25" i="1"/>
  <c r="G20" i="15"/>
  <c r="C30" i="16"/>
  <c r="G21" i="15"/>
  <c r="C30" i="18" l="1"/>
  <c r="S25" i="1"/>
  <c r="G21" i="17"/>
  <c r="S27" i="1" s="1"/>
  <c r="G20" i="17"/>
  <c r="E26" i="17"/>
  <c r="F4" i="19"/>
  <c r="E28" i="17"/>
  <c r="G23" i="17"/>
  <c r="B26" i="17"/>
  <c r="B28" i="17"/>
  <c r="Q27" i="1"/>
  <c r="G24" i="15"/>
  <c r="G24" i="17" l="1"/>
  <c r="B30" i="17" s="1"/>
  <c r="B30" i="15"/>
  <c r="E30" i="15"/>
  <c r="G26" i="15"/>
  <c r="G26" i="17" l="1"/>
  <c r="E30" i="17"/>
  <c r="S29" i="1"/>
  <c r="G29" i="17"/>
  <c r="G33" i="17" s="1"/>
  <c r="I41" i="18"/>
  <c r="I43" i="18" s="1"/>
  <c r="I44" i="18" s="1"/>
  <c r="G29" i="15"/>
  <c r="G33" i="15" s="1"/>
  <c r="Q29" i="1"/>
  <c r="Q48" i="1" s="1"/>
  <c r="H37" i="17"/>
  <c r="H38" i="17" s="1"/>
</calcChain>
</file>

<file path=xl/sharedStrings.xml><?xml version="1.0" encoding="utf-8"?>
<sst xmlns="http://schemas.openxmlformats.org/spreadsheetml/2006/main" count="538" uniqueCount="305">
  <si>
    <r>
      <rPr>
        <b/>
        <sz val="10"/>
        <rFont val="宋体"/>
        <family val="3"/>
        <charset val="134"/>
      </rPr>
      <t xml:space="preserve">       </t>
    </r>
    <r>
      <rPr>
        <b/>
        <sz val="14"/>
        <rFont val="宋体"/>
        <family val="3"/>
        <charset val="134"/>
      </rPr>
      <t>中国检验认证集团河北有限公司</t>
    </r>
  </si>
  <si>
    <t>CCIC-HEB-TRD(020)-01-01-2019</t>
  </si>
  <si>
    <r>
      <rPr>
        <b/>
        <sz val="14"/>
        <rFont val="Arial"/>
        <family val="2"/>
      </rPr>
      <t xml:space="preserve"> </t>
    </r>
    <r>
      <rPr>
        <b/>
        <sz val="14"/>
        <rFont val="宋体"/>
        <family val="3"/>
        <charset val="134"/>
      </rPr>
      <t>水尺计重记录单</t>
    </r>
    <r>
      <rPr>
        <b/>
        <sz val="14"/>
        <rFont val="Arial"/>
        <family val="2"/>
      </rPr>
      <t xml:space="preserve">                                                                                                                             </t>
    </r>
    <r>
      <rPr>
        <b/>
        <sz val="14"/>
        <rFont val="Times New Roman"/>
        <family val="1"/>
      </rPr>
      <t>DRAFT  SURVEY REPORT</t>
    </r>
  </si>
  <si>
    <t>船名</t>
  </si>
  <si>
    <t>货名</t>
  </si>
  <si>
    <t>M.V.</t>
  </si>
  <si>
    <t>Cargo</t>
  </si>
  <si>
    <t>检验日期</t>
  </si>
  <si>
    <t xml:space="preserve">  鉴定地点</t>
  </si>
  <si>
    <t>Date Of Inspection</t>
  </si>
  <si>
    <t>Place Of Inspection</t>
  </si>
  <si>
    <t>装货港</t>
  </si>
  <si>
    <t xml:space="preserve">  目的港</t>
  </si>
  <si>
    <t>Port Of Loading</t>
  </si>
  <si>
    <t>Port Of Destination</t>
  </si>
  <si>
    <t>客户</t>
  </si>
  <si>
    <t>Applicant</t>
  </si>
  <si>
    <r>
      <rPr>
        <b/>
        <sz val="11"/>
        <rFont val="楷体_GB2312"/>
        <charset val="134"/>
      </rPr>
      <t>停泊处港水密度(g/cm</t>
    </r>
    <r>
      <rPr>
        <b/>
        <vertAlign val="superscript"/>
        <sz val="11"/>
        <rFont val="楷体_GB2312"/>
        <charset val="134"/>
      </rPr>
      <t>3</t>
    </r>
    <r>
      <rPr>
        <b/>
        <sz val="11"/>
        <rFont val="楷体_GB2312"/>
        <charset val="134"/>
      </rPr>
      <t>)</t>
    </r>
  </si>
  <si>
    <t>Initial</t>
  </si>
  <si>
    <t>Final</t>
  </si>
  <si>
    <t>Density of Harbour Water at the Berth</t>
  </si>
  <si>
    <t>．．．</t>
  </si>
  <si>
    <t>．．．．．．．．．．．．．</t>
  </si>
  <si>
    <t>船舶吃水(M)</t>
  </si>
  <si>
    <t>Ship's Draft</t>
  </si>
  <si>
    <r>
      <rPr>
        <sz val="11"/>
        <rFont val="楷体_GB2312"/>
        <charset val="134"/>
      </rPr>
      <t>船艏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已校正</t>
    </r>
  </si>
  <si>
    <t>Fore, Corrected</t>
  </si>
  <si>
    <t>．．．．．．．．．．．．．．．．．．．．．．．</t>
  </si>
  <si>
    <t>．．．．．．．．．．．．．．．．．．．</t>
  </si>
  <si>
    <r>
      <rPr>
        <sz val="11"/>
        <rFont val="楷体_GB2312"/>
        <charset val="134"/>
      </rPr>
      <t>船艉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已校正</t>
    </r>
  </si>
  <si>
    <t>Aft, Corrected</t>
  </si>
  <si>
    <t>．．．．．．．．．．．．．．．．．．．．．．</t>
  </si>
  <si>
    <r>
      <rPr>
        <sz val="11"/>
        <rFont val="楷体_GB2312"/>
        <charset val="134"/>
      </rPr>
      <t>船舯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左舷</t>
    </r>
  </si>
  <si>
    <t>(Corr.)</t>
  </si>
  <si>
    <t>Midship, Port</t>
  </si>
  <si>
    <r>
      <rPr>
        <sz val="11"/>
        <rFont val="楷体_GB2312"/>
        <charset val="134"/>
      </rPr>
      <t>船舯</t>
    </r>
    <r>
      <rPr>
        <sz val="11"/>
        <rFont val="Arial"/>
        <family val="2"/>
      </rPr>
      <t>,</t>
    </r>
    <r>
      <rPr>
        <sz val="11"/>
        <rFont val="楷体_GB2312"/>
        <charset val="134"/>
      </rPr>
      <t>右舷</t>
    </r>
  </si>
  <si>
    <t>Midship, Starboard</t>
  </si>
  <si>
    <t>．．．．．．．．．．．．．．．．．．．．．</t>
  </si>
  <si>
    <t>拱陷校正后水尺</t>
  </si>
  <si>
    <t>Draft after Correction for Deflection</t>
  </si>
  <si>
    <t>．．．．．．．．．．．．．．</t>
  </si>
  <si>
    <r>
      <rPr>
        <sz val="11"/>
        <rFont val="楷体_GB2312"/>
        <charset val="134"/>
      </rPr>
      <t>相应排水量</t>
    </r>
    <r>
      <rPr>
        <sz val="11"/>
        <rFont val="Arial"/>
        <family val="2"/>
      </rPr>
      <t xml:space="preserve"> / </t>
    </r>
    <r>
      <rPr>
        <sz val="11"/>
        <rFont val="楷体_GB2312"/>
        <charset val="134"/>
      </rPr>
      <t>载重量</t>
    </r>
    <r>
      <rPr>
        <sz val="11"/>
        <rFont val="Arial"/>
        <family val="2"/>
      </rPr>
      <t>(MT)</t>
    </r>
  </si>
  <si>
    <t>Corresponding Disp./ Deadweight</t>
  </si>
  <si>
    <t>(MT)</t>
  </si>
  <si>
    <r>
      <rPr>
        <b/>
        <sz val="11"/>
        <rFont val="楷体_GB2312"/>
        <charset val="134"/>
      </rPr>
      <t>纵倾校正</t>
    </r>
    <r>
      <rPr>
        <b/>
        <sz val="11"/>
        <rFont val="Arial"/>
        <family val="2"/>
      </rPr>
      <t>,</t>
    </r>
    <r>
      <rPr>
        <b/>
        <sz val="11"/>
        <rFont val="楷体_GB2312"/>
        <charset val="134"/>
      </rPr>
      <t>港水密度校正后排水量</t>
    </r>
    <r>
      <rPr>
        <b/>
        <sz val="11"/>
        <rFont val="Arial"/>
        <family val="2"/>
      </rPr>
      <t>(MT)</t>
    </r>
  </si>
  <si>
    <t>Corrected for Trim &amp; Harbour Water Density</t>
  </si>
  <si>
    <t>．．．．．．．．．．</t>
  </si>
  <si>
    <t>燃油(MT)</t>
  </si>
  <si>
    <t>Oil</t>
  </si>
  <si>
    <t>．．．．．．．．．．．．．．．．．．．．．．．．．</t>
  </si>
  <si>
    <t>淡水(MT)</t>
  </si>
  <si>
    <t>Fresh Water</t>
  </si>
  <si>
    <t>压舱水(MT)</t>
  </si>
  <si>
    <t>Ballast Water</t>
  </si>
  <si>
    <t>其它货物</t>
  </si>
  <si>
    <t>Other Cargo</t>
  </si>
  <si>
    <t>合计重量(MT)</t>
  </si>
  <si>
    <t>Total Weight</t>
  </si>
  <si>
    <t>空船重量(MT)</t>
  </si>
  <si>
    <t>Light Ship</t>
  </si>
  <si>
    <t>．．．．</t>
  </si>
  <si>
    <t>船舶常数(MT)</t>
  </si>
  <si>
    <t>Ship's Constant</t>
  </si>
  <si>
    <t>货物重量</t>
  </si>
  <si>
    <t>Cargo Weight</t>
  </si>
  <si>
    <t>船方大副</t>
  </si>
  <si>
    <t>鉴定人</t>
  </si>
  <si>
    <t>C/O</t>
  </si>
  <si>
    <t>Surveyor</t>
  </si>
  <si>
    <t>备注：</t>
  </si>
  <si>
    <t>计算图表编号-</t>
  </si>
  <si>
    <t>中国检验认证集团河北有限公司</t>
  </si>
  <si>
    <t>CCIC-HEB-TRD(020)-02-01-2019</t>
  </si>
  <si>
    <t>CHINA CERTIFICATION&amp;INSPECTION GROUP HEBEI Co.,LTD.</t>
  </si>
  <si>
    <t>船名：</t>
  </si>
  <si>
    <t>Date：</t>
  </si>
  <si>
    <t>P</t>
  </si>
  <si>
    <t>船艏垂线修正值</t>
  </si>
  <si>
    <t>修正后艏吃水</t>
  </si>
  <si>
    <t>Trim1=</t>
  </si>
  <si>
    <t>F</t>
  </si>
  <si>
    <t>Trim2=</t>
  </si>
  <si>
    <t>S</t>
  </si>
  <si>
    <t>船艉垂线修正值</t>
  </si>
  <si>
    <t>修正后艉吃水</t>
  </si>
  <si>
    <t>Q/M=</t>
  </si>
  <si>
    <t>A</t>
  </si>
  <si>
    <t>Q/M≈</t>
  </si>
  <si>
    <t>船舯垂线修正值</t>
  </si>
  <si>
    <t>修正后舯吃水</t>
  </si>
  <si>
    <t>M</t>
  </si>
  <si>
    <t>查表：</t>
  </si>
  <si>
    <t>Fc=</t>
  </si>
  <si>
    <t>T.P.C</t>
  </si>
  <si>
    <t>DISP</t>
  </si>
  <si>
    <t>Mc=</t>
  </si>
  <si>
    <t>T.C</t>
  </si>
  <si>
    <t>Dc=</t>
  </si>
  <si>
    <t>A.T.C</t>
  </si>
  <si>
    <t>T1=</t>
  </si>
  <si>
    <t>A.D.C</t>
  </si>
  <si>
    <t>L.△.</t>
  </si>
  <si>
    <t>T2=</t>
  </si>
  <si>
    <t>D.W.</t>
  </si>
  <si>
    <t>D.C=</t>
  </si>
  <si>
    <t>O.W.</t>
  </si>
  <si>
    <t>Const.</t>
  </si>
  <si>
    <t>S/G:</t>
  </si>
  <si>
    <t>F.O.:</t>
  </si>
  <si>
    <t>B/L:</t>
  </si>
  <si>
    <t>D.O.:</t>
  </si>
  <si>
    <t>L.O.:</t>
  </si>
  <si>
    <t>F.W.:</t>
  </si>
  <si>
    <t>B.W.:</t>
  </si>
  <si>
    <t>水尺时间：</t>
  </si>
  <si>
    <t>O.C.:</t>
  </si>
  <si>
    <t>计    算：</t>
  </si>
  <si>
    <t>TOTAL:</t>
  </si>
  <si>
    <t>复    核：</t>
  </si>
  <si>
    <r>
      <rPr>
        <b/>
        <sz val="10"/>
        <color theme="1"/>
        <rFont val="宋体"/>
        <family val="3"/>
        <charset val="134"/>
      </rPr>
      <t xml:space="preserve">       </t>
    </r>
    <r>
      <rPr>
        <b/>
        <sz val="16"/>
        <color theme="1"/>
        <rFont val="宋体"/>
        <family val="3"/>
        <charset val="134"/>
      </rPr>
      <t>中国检验认证集团河北有限公司</t>
    </r>
  </si>
  <si>
    <t>CCIC-HEB-TRD(020)-03-01-2019</t>
  </si>
  <si>
    <t xml:space="preserve">            水舱测量记录单</t>
  </si>
  <si>
    <r>
      <rPr>
        <sz val="12"/>
        <color theme="1"/>
        <rFont val="宋体"/>
        <family val="3"/>
        <charset val="134"/>
      </rPr>
      <t>船名</t>
    </r>
    <r>
      <rPr>
        <sz val="12"/>
        <color theme="1"/>
        <rFont val="Arial"/>
        <family val="2"/>
      </rPr>
      <t>/M.V.</t>
    </r>
    <r>
      <rPr>
        <sz val="12"/>
        <color theme="1"/>
        <rFont val="宋体"/>
        <family val="3"/>
        <charset val="134"/>
      </rPr>
      <t>：</t>
    </r>
  </si>
  <si>
    <r>
      <rPr>
        <sz val="12"/>
        <color theme="1"/>
        <rFont val="Arial"/>
        <family val="2"/>
      </rPr>
      <t>航次/</t>
    </r>
    <r>
      <rPr>
        <sz val="12"/>
        <color theme="1"/>
        <rFont val="Arial Unicode MS"/>
        <family val="2"/>
        <charset val="134"/>
      </rPr>
      <t>VOY</t>
    </r>
    <r>
      <rPr>
        <sz val="12"/>
        <color theme="1"/>
        <rFont val="宋体"/>
        <family val="3"/>
        <charset val="134"/>
      </rPr>
      <t>：</t>
    </r>
  </si>
  <si>
    <r>
      <rPr>
        <sz val="12"/>
        <color theme="1"/>
        <rFont val="宋体"/>
        <family val="3"/>
        <charset val="134"/>
      </rPr>
      <t>吃水差</t>
    </r>
    <r>
      <rPr>
        <sz val="12"/>
        <color theme="1"/>
        <rFont val="Arial"/>
        <family val="2"/>
      </rPr>
      <t>/TRIM</t>
    </r>
  </si>
  <si>
    <t>Tank</t>
  </si>
  <si>
    <r>
      <rPr>
        <sz val="11"/>
        <color theme="1"/>
        <rFont val="Arial"/>
        <family val="2"/>
      </rPr>
      <t>Sounding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m</t>
    </r>
    <r>
      <rPr>
        <sz val="11"/>
        <color theme="1"/>
        <rFont val="宋体"/>
        <family val="3"/>
        <charset val="134"/>
      </rPr>
      <t>）</t>
    </r>
  </si>
  <si>
    <t>Cor(m³)</t>
  </si>
  <si>
    <t>Volume(m³)</t>
  </si>
  <si>
    <t>Density</t>
  </si>
  <si>
    <r>
      <rPr>
        <sz val="11"/>
        <color theme="1"/>
        <rFont val="Arial"/>
        <family val="2"/>
      </rPr>
      <t>Weight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mt</t>
    </r>
    <r>
      <rPr>
        <sz val="11"/>
        <color theme="1"/>
        <rFont val="宋体"/>
        <family val="3"/>
        <charset val="134"/>
      </rPr>
      <t>）</t>
    </r>
  </si>
  <si>
    <t>/</t>
  </si>
  <si>
    <t>压载水共计:</t>
  </si>
  <si>
    <t>吨</t>
  </si>
  <si>
    <t>淡水水共计:</t>
  </si>
  <si>
    <t>FO</t>
  </si>
  <si>
    <t>D0</t>
  </si>
  <si>
    <t>L0</t>
  </si>
  <si>
    <t>燃油共计：</t>
  </si>
  <si>
    <t>测量人员:</t>
  </si>
  <si>
    <t xml:space="preserve"> 船艏垂线修正值</t>
  </si>
  <si>
    <t>误差吨：</t>
  </si>
  <si>
    <t>误差率：</t>
  </si>
  <si>
    <t>航次/Voyage：</t>
  </si>
  <si>
    <t>船舶信息</t>
  </si>
  <si>
    <t>计算数据</t>
  </si>
  <si>
    <t>船   名</t>
  </si>
  <si>
    <t>垂线间距</t>
  </si>
  <si>
    <t>航   次</t>
  </si>
  <si>
    <t>空船重量</t>
  </si>
  <si>
    <t>MT</t>
  </si>
  <si>
    <t>泊   位</t>
  </si>
  <si>
    <t>艏垂距离</t>
  </si>
  <si>
    <t>拟装货物</t>
  </si>
  <si>
    <t>舯垂距离</t>
  </si>
  <si>
    <t>配载重量</t>
  </si>
  <si>
    <t>艉垂距离</t>
  </si>
  <si>
    <t>满载重量</t>
  </si>
  <si>
    <t>申报常数</t>
  </si>
  <si>
    <t>启运地</t>
  </si>
  <si>
    <t>京唐港</t>
  </si>
  <si>
    <t>龙骨厚度</t>
  </si>
  <si>
    <t>目的港</t>
  </si>
  <si>
    <t>海水密度</t>
  </si>
  <si>
    <r>
      <rPr>
        <sz val="11"/>
        <color theme="1"/>
        <rFont val="宋体"/>
        <family val="3"/>
        <charset val="134"/>
      </rPr>
      <t>g/cm</t>
    </r>
    <r>
      <rPr>
        <vertAlign val="superscript"/>
        <sz val="11"/>
        <color theme="1"/>
        <rFont val="宋体"/>
        <family val="3"/>
        <charset val="134"/>
      </rPr>
      <t>2</t>
    </r>
  </si>
  <si>
    <t>造船厂</t>
  </si>
  <si>
    <t>装载手册</t>
  </si>
  <si>
    <t>SC4589(CS)-050-02JS</t>
  </si>
  <si>
    <t>下水时间</t>
  </si>
  <si>
    <t>舱容表</t>
  </si>
  <si>
    <t>SC4589(CS)-050-11-01</t>
  </si>
  <si>
    <t>船舶六面吃水：</t>
  </si>
  <si>
    <t>船舶拱垂状态：</t>
  </si>
  <si>
    <t>船艏左舷</t>
  </si>
  <si>
    <t>船艏右舷</t>
  </si>
  <si>
    <t>FORE</t>
  </si>
  <si>
    <t>厘米</t>
  </si>
  <si>
    <t>MIDDLE</t>
  </si>
  <si>
    <t>船舯左舷</t>
  </si>
  <si>
    <t>船舯右舷</t>
  </si>
  <si>
    <t>AFT</t>
  </si>
  <si>
    <t>船舶拱垂状态为</t>
  </si>
  <si>
    <t>船舶拱垂极限为</t>
  </si>
  <si>
    <t>±</t>
  </si>
  <si>
    <t>船艉左舷</t>
  </si>
  <si>
    <t>船艉右舷</t>
  </si>
  <si>
    <t>船舶正常拱垂为</t>
  </si>
  <si>
    <t>查表数据：</t>
  </si>
  <si>
    <t>委托信息：</t>
  </si>
  <si>
    <t>查表吃水</t>
  </si>
  <si>
    <t>委托人</t>
  </si>
  <si>
    <t>排水量</t>
  </si>
  <si>
    <t>委托编号</t>
  </si>
  <si>
    <t>CCIC-2018-2-0010</t>
  </si>
  <si>
    <t>检验人</t>
  </si>
  <si>
    <t>Lcf</t>
  </si>
  <si>
    <t>MTC+50</t>
  </si>
  <si>
    <t>水尺开始</t>
  </si>
  <si>
    <t>MTC-50</t>
  </si>
  <si>
    <t>水尺结束</t>
  </si>
  <si>
    <t>F.O.</t>
  </si>
  <si>
    <t>船舶常数评估：</t>
  </si>
  <si>
    <t>D.O.</t>
  </si>
  <si>
    <t>船    龄</t>
  </si>
  <si>
    <t>L.O.</t>
  </si>
  <si>
    <t>推荐常数</t>
  </si>
  <si>
    <t>F.W.</t>
  </si>
  <si>
    <t>B.W.</t>
  </si>
  <si>
    <t>差异吨</t>
  </si>
  <si>
    <t>Other</t>
  </si>
  <si>
    <t>差异率</t>
  </si>
  <si>
    <t>检验鉴定</t>
  </si>
  <si>
    <t>卸货港</t>
  </si>
  <si>
    <t>货量评估</t>
  </si>
  <si>
    <t>计算重量</t>
  </si>
  <si>
    <t>岸上重量</t>
  </si>
  <si>
    <t>朱恩祥 赵晓强</t>
    <phoneticPr fontId="53" type="noConversion"/>
  </si>
  <si>
    <r>
      <t>1</t>
    </r>
    <r>
      <rPr>
        <b/>
        <sz val="11"/>
        <color theme="1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:</t>
    </r>
    <r>
      <rPr>
        <b/>
        <sz val="11"/>
        <color theme="1"/>
        <rFont val="宋体"/>
        <family val="3"/>
        <charset val="134"/>
        <scheme val="minor"/>
      </rPr>
      <t>05</t>
    </r>
    <phoneticPr fontId="53" type="noConversion"/>
  </si>
  <si>
    <r>
      <t>1</t>
    </r>
    <r>
      <rPr>
        <b/>
        <sz val="11"/>
        <color theme="1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:</t>
    </r>
    <r>
      <rPr>
        <b/>
        <sz val="11"/>
        <color theme="1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0</t>
    </r>
    <phoneticPr fontId="53" type="noConversion"/>
  </si>
  <si>
    <r>
      <t>4</t>
    </r>
    <r>
      <rPr>
        <b/>
        <sz val="11"/>
        <color theme="1"/>
        <rFont val="宋体"/>
        <family val="3"/>
        <charset val="134"/>
        <scheme val="minor"/>
      </rPr>
      <t>0#</t>
    </r>
    <phoneticPr fontId="53" type="noConversion"/>
  </si>
  <si>
    <t>张家港</t>
    <phoneticPr fontId="53" type="noConversion"/>
  </si>
  <si>
    <t>神华销售集团有限公司</t>
    <phoneticPr fontId="53" type="noConversion"/>
  </si>
  <si>
    <t>朱恩祥</t>
    <phoneticPr fontId="53" type="noConversion"/>
  </si>
  <si>
    <t>02:40</t>
    <phoneticPr fontId="53" type="noConversion"/>
  </si>
  <si>
    <r>
      <t>0</t>
    </r>
    <r>
      <rPr>
        <b/>
        <sz val="11"/>
        <color theme="1"/>
        <rFont val="宋体"/>
        <family val="3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:10</t>
    </r>
    <phoneticPr fontId="53" type="noConversion"/>
  </si>
  <si>
    <t>中船澄西</t>
    <phoneticPr fontId="53" type="noConversion"/>
  </si>
  <si>
    <t>${FOP.T_DRAFT_REPORT_INFO.mv}</t>
  </si>
  <si>
    <t>${FOP.T_DRAFT_REPORT_INFO.mv}</t>
    <phoneticPr fontId="53" type="noConversion"/>
  </si>
  <si>
    <t>${FOP.T_DRAFT_REPORT_INFO.commodity}</t>
  </si>
  <si>
    <t>${FOP.T_DRAFT_REPORT_INFO.commodity}</t>
    <phoneticPr fontId="53" type="noConversion"/>
  </si>
  <si>
    <t>${FOP.T_DRAFT_REPORT_INFO.lbp}</t>
  </si>
  <si>
    <t>${FOP.T_DRAFT_REPORT_INFO.lbp}</t>
    <phoneticPr fontId="53" type="noConversion"/>
  </si>
  <si>
    <t>${FOP.T_DRAFT_REPORT_INFO.df}</t>
  </si>
  <si>
    <t>${FOP.T_DRAFT_REPORT_INFO.df}</t>
    <phoneticPr fontId="53" type="noConversion"/>
  </si>
  <si>
    <t>${FOP.T_DRAFT_REPORT_INFO.da}</t>
  </si>
  <si>
    <t>${FOP.T_DRAFT_REPORT_INFO.da}</t>
    <phoneticPr fontId="53" type="noConversion"/>
  </si>
  <si>
    <t>${FOP.T_DRAFT_REPORT_INFO.dm}</t>
  </si>
  <si>
    <t>${FOP.T_DRAFT_REPORT_INFO.dm}</t>
    <phoneticPr fontId="53" type="noConversion"/>
  </si>
  <si>
    <t>${FOP.T_DRAFT_REPORT_INFO.shipConstant}</t>
  </si>
  <si>
    <t>${FOP.T_DRAFT_REPORT_INFO.shipConstant}</t>
    <phoneticPr fontId="53" type="noConversion"/>
  </si>
  <si>
    <t>${FOP.T_DRAFT_REPORT_INFO.lightShip}</t>
  </si>
  <si>
    <t>${FOP.T_DRAFT_REPORT_INFO.lightShip}</t>
    <phoneticPr fontId="53" type="noConversion"/>
  </si>
  <si>
    <t>${FOP.T_DRAFT_REPORT_INFO.vesselName}</t>
  </si>
  <si>
    <t>${FOP.T_DRAFT_REPORT_INFO.vesselName}</t>
    <phoneticPr fontId="53" type="noConversion"/>
  </si>
  <si>
    <t>${FOP.T_DRAFT_REPORT_INFO.waterDensity}</t>
  </si>
  <si>
    <t>${FOP.T_DRAFT_REPORT_INFO.waterDensity}</t>
    <phoneticPr fontId="53" type="noConversion"/>
  </si>
  <si>
    <t>${FOP.T_DRAFT_REPORT_DETAIL.fp.I}</t>
    <phoneticPr fontId="53" type="noConversion"/>
  </si>
  <si>
    <t>${FOP.T_DRAFT_REPORT_DETAIL.fs.I}</t>
    <phoneticPr fontId="53" type="noConversion"/>
  </si>
  <si>
    <t>${FOP.T_DRAFT_REPORT_DETAIL.ap.I}</t>
    <phoneticPr fontId="53" type="noConversion"/>
  </si>
  <si>
    <t>${FOP.T_DRAFT_REPORT_DETAIL.as.I}</t>
    <phoneticPr fontId="53" type="noConversion"/>
  </si>
  <si>
    <t>${FOP.T_DRAFT_REPORT_DETAIL.mp.I}</t>
    <phoneticPr fontId="53" type="noConversion"/>
  </si>
  <si>
    <t>${FOP.T_DRAFT_REPORT_DETAIL.ms.I}</t>
    <phoneticPr fontId="53" type="noConversion"/>
  </si>
  <si>
    <t>${FOP.T_DRAFT_REPORT_DETAIL.dispDraft.I}</t>
    <phoneticPr fontId="53" type="noConversion"/>
  </si>
  <si>
    <t>${FOP.T_DRAFT_REPORT_DETAIL.tpc.I}</t>
    <phoneticPr fontId="53" type="noConversion"/>
  </si>
  <si>
    <t>${FOP.T_DRAFT_REPORT_DETAIL.roundDraft.I}</t>
    <phoneticPr fontId="53" type="noConversion"/>
  </si>
  <si>
    <t>${FOP.T_DRAFT_REPORT_DETAIL.lcf.I}</t>
    <phoneticPr fontId="53" type="noConversion"/>
  </si>
  <si>
    <t>${FOP.T_DRAFT_REPORT_DETAIL.mtc1.I}</t>
    <phoneticPr fontId="53" type="noConversion"/>
  </si>
  <si>
    <t>${FOP.T_DRAFT_REPORT_DETAIL.mtc2.I}</t>
    <phoneticPr fontId="53" type="noConversion"/>
  </si>
  <si>
    <t>${FOP.T_DRAFT_EXT_INFO.fo.I}</t>
    <phoneticPr fontId="53" type="noConversion"/>
  </si>
  <si>
    <t>${FOP.T_DRAFT_EXT_INFO.doil.I}</t>
    <phoneticPr fontId="53" type="noConversion"/>
  </si>
  <si>
    <t>${FOP.T_DRAFT_EXT_INFO.other.I}</t>
    <phoneticPr fontId="53" type="noConversion"/>
  </si>
  <si>
    <t>${FOP.T_DRAFT_EXT_INFO.sewage.I}</t>
    <phoneticPr fontId="53" type="noConversion"/>
  </si>
  <si>
    <t>40#</t>
  </si>
  <si>
    <t>张家港</t>
  </si>
  <si>
    <t>中船澄西</t>
  </si>
  <si>
    <t>${FOP.T_DRAFT_REPORT_DETAIL.fp.F}</t>
    <phoneticPr fontId="53" type="noConversion"/>
  </si>
  <si>
    <t>${FOP.T_DRAFT_REPORT_DETAIL.mp.F}</t>
    <phoneticPr fontId="53" type="noConversion"/>
  </si>
  <si>
    <t>${FOP.T_DRAFT_REPORT_DETAIL.ap.F}</t>
    <phoneticPr fontId="53" type="noConversion"/>
  </si>
  <si>
    <t>${FOP.T_DRAFT_REPORT_DETAIL.fs.F}</t>
    <phoneticPr fontId="53" type="noConversion"/>
  </si>
  <si>
    <t>${FOP.T_DRAFT_REPORT_DETAIL.ms.F}</t>
    <phoneticPr fontId="53" type="noConversion"/>
  </si>
  <si>
    <t>${FOP.T_DRAFT_REPORT_DETAIL.as.F}</t>
    <phoneticPr fontId="53" type="noConversion"/>
  </si>
  <si>
    <t>${FOP.T_DRAFT_REPORT_DETAIL.dispDraft.F}</t>
    <phoneticPr fontId="53" type="noConversion"/>
  </si>
  <si>
    <t>${FOP.T_DRAFT_REPORT_DETAIL.roundDraft.F}</t>
    <phoneticPr fontId="53" type="noConversion"/>
  </si>
  <si>
    <t>${FOP.T_DRAFT_REPORT_DETAIL.tpc.F}</t>
    <phoneticPr fontId="53" type="noConversion"/>
  </si>
  <si>
    <t>${FOP.T_DRAFT_REPORT_DETAIL.lcf.F}</t>
    <phoneticPr fontId="53" type="noConversion"/>
  </si>
  <si>
    <t>${FOP.T_DRAFT_REPORT_DETAIL.mtc1.F}</t>
    <phoneticPr fontId="53" type="noConversion"/>
  </si>
  <si>
    <t>${FOP.T_DRAFT_EXT_INFO.fo.F}</t>
    <phoneticPr fontId="53" type="noConversion"/>
  </si>
  <si>
    <t>${FOP.T_DRAFT_EXT_INFO.doil.F}</t>
    <phoneticPr fontId="53" type="noConversion"/>
  </si>
  <si>
    <t>${FOP.T_DRAFT_EXT_INFO.sewage.F}</t>
    <phoneticPr fontId="53" type="noConversion"/>
  </si>
  <si>
    <t>${FOP.T_DRAFT_EXT_INFO.other.F}</t>
    <phoneticPr fontId="53" type="noConversion"/>
  </si>
  <si>
    <t>${FOP.T_DRAFT_REPORT_DETAIL.mtc2.F}</t>
    <phoneticPr fontId="53" type="noConversion"/>
  </si>
  <si>
    <t>${FOP.T_BALLAST_WATER_INFO.sounding.I}</t>
    <phoneticPr fontId="53" type="noConversion"/>
  </si>
  <si>
    <t>${FOP.T_FRESH_WATER_INFO.sounding.I}</t>
    <phoneticPr fontId="53" type="noConversion"/>
  </si>
  <si>
    <t>${FOP.T_BALLAST_WATER_INFO.cor.I}</t>
    <phoneticPr fontId="53" type="noConversion"/>
  </si>
  <si>
    <t>${FOP.T_FRESH_WATER_INFO.cor.I}</t>
    <phoneticPr fontId="53" type="noConversion"/>
  </si>
  <si>
    <t>${FOP.T_BALLAST_WATER_INFO.volume.I}</t>
    <phoneticPr fontId="53" type="noConversion"/>
  </si>
  <si>
    <t>${FOP.T_FRESH_WATER_INFO.volume.I}</t>
    <phoneticPr fontId="53" type="noConversion"/>
  </si>
  <si>
    <t>${FOP.T_BALLAST_WATER_INFO.density.I}</t>
    <phoneticPr fontId="53" type="noConversion"/>
  </si>
  <si>
    <t>${FOP.T_FRESH_WATER_INFO.density.I}</t>
    <phoneticPr fontId="53" type="noConversion"/>
  </si>
  <si>
    <r>
      <t>&lt;loop:ballastListI&gt;${FOP.T_BALLAST_WATER_INFO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tankNo.I</t>
    </r>
    <r>
      <rPr>
        <sz val="11"/>
        <color theme="1"/>
        <rFont val="宋体"/>
        <family val="3"/>
        <charset val="134"/>
        <scheme val="minor"/>
      </rPr>
      <t>}</t>
    </r>
    <phoneticPr fontId="53" type="noConversion"/>
  </si>
  <si>
    <t>&lt;loop:freshListI&gt;${FOP.T_FRESH_WATER_INFO.tankNo.I}</t>
    <phoneticPr fontId="53" type="noConversion"/>
  </si>
  <si>
    <r>
      <t>${FOP.T_BALLAST_WATER_INFO.weight</t>
    </r>
    <r>
      <rPr>
        <sz val="11"/>
        <color theme="1"/>
        <rFont val="宋体"/>
        <family val="3"/>
        <charset val="134"/>
        <scheme val="minor"/>
      </rPr>
      <t>.I}</t>
    </r>
    <r>
      <rPr>
        <sz val="11"/>
        <color theme="1"/>
        <rFont val="宋体"/>
        <family val="3"/>
        <charset val="134"/>
        <scheme val="minor"/>
      </rPr>
      <t>&lt;/loop&gt;</t>
    </r>
    <phoneticPr fontId="53" type="noConversion"/>
  </si>
  <si>
    <t>${FOP.T_FRESH_WATER_INFO.weight.I}&lt;/loop&gt;</t>
    <phoneticPr fontId="53" type="noConversion"/>
  </si>
  <si>
    <r>
      <t>&lt;loop:ballastListI&gt;${FOP.T_BALLAST_WATER_INFO.tankNo.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</t>
    </r>
    <phoneticPr fontId="53" type="noConversion"/>
  </si>
  <si>
    <r>
      <t>${FOP.T_BALLAST_WATER_INFO.sounding.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}</t>
    </r>
    <phoneticPr fontId="53" type="noConversion"/>
  </si>
  <si>
    <r>
      <t>${FOP.T_BALLAST_WATER_INFO.cor.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</t>
    </r>
    <phoneticPr fontId="53" type="noConversion"/>
  </si>
  <si>
    <r>
      <t>${FOP.T_BALLAST_WATER_INFO.volume.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</t>
    </r>
    <phoneticPr fontId="53" type="noConversion"/>
  </si>
  <si>
    <r>
      <t>${FOP.T_BALLAST_WATER_INFO.density.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</t>
    </r>
    <phoneticPr fontId="53" type="noConversion"/>
  </si>
  <si>
    <r>
      <t>${FOP.T_BALLAST_WATER_INFO.weight.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}&lt;/loop&gt;</t>
    </r>
    <phoneticPr fontId="53" type="noConversion"/>
  </si>
  <si>
    <t>&lt;loop:freshListI&gt;${FOP.T_FRESH_WATER_INFO.tankNo.F}</t>
    <phoneticPr fontId="53" type="noConversion"/>
  </si>
  <si>
    <r>
      <t>${FOP.T_FRESH_WATER_INFO.sounding.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</t>
    </r>
    <phoneticPr fontId="53" type="noConversion"/>
  </si>
  <si>
    <r>
      <t>${FOP.T_FRESH_WATER_INFO.cor.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</t>
    </r>
    <phoneticPr fontId="53" type="noConversion"/>
  </si>
  <si>
    <r>
      <t>${FOP.T_FRESH_WATER_INFO.volume.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</t>
    </r>
    <phoneticPr fontId="53" type="noConversion"/>
  </si>
  <si>
    <r>
      <t>${FOP.T_FRESH_WATER_INFO.density.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</t>
    </r>
    <phoneticPr fontId="53" type="noConversion"/>
  </si>
  <si>
    <r>
      <t>${FOP.T_FRESH_WATER_INFO.weight.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}&lt;/loop&gt;</t>
    </r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</si>
</sst>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76" formatCode="0.000_ "/>
    <numFmt numFmtId="177" formatCode="0.00;[Red]0.00"/>
    <numFmt numFmtId="178" formatCode="&quot;------ &quot;0&quot;------&quot;\ "/>
    <numFmt numFmtId="179" formatCode="0.0000;[Red]0.0000"/>
    <numFmt numFmtId="180" formatCode="0.0_ ;[Red]\-0.0\ "/>
    <numFmt numFmtId="181" formatCode="yyyy&quot;年&quot;m&quot;月&quot;d&quot;日&quot;;@"/>
    <numFmt numFmtId="182" formatCode="0.000_ ;[Red]\-0.000\ "/>
    <numFmt numFmtId="183" formatCode="h:mm;@"/>
    <numFmt numFmtId="184" formatCode="0.000;[Red]0.000"/>
    <numFmt numFmtId="185" formatCode="0;[Red]0"/>
    <numFmt numFmtId="186" formatCode="0.0;[Red]0.0"/>
    <numFmt numFmtId="187" formatCode="0.0_ "/>
    <numFmt numFmtId="188" formatCode="hh:m/hh:mm"/>
    <numFmt numFmtId="189" formatCode="yyyy/mm/dd"/>
    <numFmt numFmtId="190" formatCode="0.000_);[Red]\(0.000\)"/>
    <numFmt numFmtId="191" formatCode="0.00_ "/>
    <numFmt numFmtId="192" formatCode="yyyy/m/d;@"/>
    <numFmt numFmtId="193" formatCode="0.0000_ "/>
  </numFmts>
  <fonts count="5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8"/>
      <color rgb="FFFFC000"/>
      <name val="华文行楷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Arial Unicode MS"/>
      <family val="2"/>
    </font>
    <font>
      <b/>
      <sz val="18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2"/>
      <color theme="1"/>
      <name val="Arial Unicode MS"/>
      <family val="2"/>
    </font>
    <font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Arial Unicode MS"/>
      <family val="2"/>
    </font>
    <font>
      <sz val="12"/>
      <color rgb="FF333333"/>
      <name val="Arial"/>
      <family val="2"/>
    </font>
    <font>
      <sz val="14"/>
      <color theme="1"/>
      <name val="Arial"/>
      <family val="2"/>
    </font>
    <font>
      <b/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楷体_GB2312"/>
      <charset val="134"/>
    </font>
    <font>
      <sz val="11"/>
      <name val="Arial"/>
      <family val="2"/>
    </font>
    <font>
      <sz val="10"/>
      <name val="Arial"/>
      <family val="2"/>
    </font>
    <font>
      <sz val="11"/>
      <name val="宋体"/>
      <family val="3"/>
      <charset val="134"/>
    </font>
    <font>
      <b/>
      <sz val="11"/>
      <name val="楷体_GB2312"/>
      <charset val="134"/>
    </font>
    <font>
      <b/>
      <sz val="11"/>
      <name val="Arial"/>
      <family val="2"/>
    </font>
    <font>
      <sz val="11"/>
      <name val="楷体 2312"/>
      <charset val="134"/>
    </font>
    <font>
      <sz val="10"/>
      <color theme="1"/>
      <name val="楷体 231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Microsoft YaHei UI"/>
      <family val="2"/>
      <charset val="134"/>
    </font>
    <font>
      <sz val="16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Arial"/>
      <family val="2"/>
    </font>
    <font>
      <b/>
      <sz val="14"/>
      <name val="Times New Roman"/>
      <family val="1"/>
    </font>
    <font>
      <b/>
      <vertAlign val="superscript"/>
      <sz val="11"/>
      <name val="楷体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Arial Unicode MS"/>
      <family val="2"/>
      <charset val="134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Horizontal">
        <fgColor theme="9" tint="0.59996337778862885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485"/>
        <bgColor theme="9" tint="0.5999633777886288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0.59996337778862885"/>
        <bgColor theme="9" tint="0.59996337778862885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dashed">
        <color auto="1"/>
      </bottom>
      <diagonal/>
    </border>
    <border>
      <left/>
      <right style="hair">
        <color auto="1"/>
      </right>
      <top style="dotted">
        <color auto="1"/>
      </top>
      <bottom style="dash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/>
  </cellStyleXfs>
  <cellXfs count="376">
    <xf numFmtId="0" fontId="0" fillId="0" borderId="0" xfId="0">
      <alignment vertical="center"/>
    </xf>
    <xf numFmtId="0" fontId="0" fillId="0" borderId="1" xfId="0" applyBorder="1" applyProtection="1">
      <alignment vertical="center"/>
      <protection hidden="1"/>
    </xf>
    <xf numFmtId="0" fontId="0" fillId="0" borderId="2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0" fillId="0" borderId="5" xfId="0" applyBorder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8" xfId="0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3" xfId="0" applyFill="1" applyBorder="1" applyProtection="1">
      <alignment vertical="center"/>
      <protection hidden="1"/>
    </xf>
    <xf numFmtId="0" fontId="0" fillId="0" borderId="14" xfId="0" applyBorder="1" applyProtection="1">
      <alignment vertical="center"/>
      <protection hidden="1"/>
    </xf>
    <xf numFmtId="0" fontId="0" fillId="0" borderId="14" xfId="0" applyFill="1" applyBorder="1" applyAlignment="1" applyProtection="1">
      <alignment horizontal="left" vertical="center"/>
      <protection hidden="1"/>
    </xf>
    <xf numFmtId="0" fontId="0" fillId="0" borderId="15" xfId="0" applyBorder="1" applyProtection="1">
      <alignment vertical="center"/>
      <protection hidden="1"/>
    </xf>
    <xf numFmtId="0" fontId="0" fillId="0" borderId="16" xfId="0" applyBorder="1" applyProtection="1">
      <alignment vertical="center"/>
      <protection hidden="1"/>
    </xf>
    <xf numFmtId="0" fontId="0" fillId="0" borderId="16" xfId="0" applyFill="1" applyBorder="1" applyAlignment="1" applyProtection="1">
      <alignment horizontal="left" vertical="center"/>
      <protection hidden="1"/>
    </xf>
    <xf numFmtId="0" fontId="0" fillId="4" borderId="15" xfId="0" applyFill="1" applyBorder="1" applyProtection="1">
      <alignment vertical="center"/>
      <protection hidden="1"/>
    </xf>
    <xf numFmtId="0" fontId="1" fillId="4" borderId="16" xfId="0" applyFont="1" applyFill="1" applyBorder="1" applyProtection="1">
      <alignment vertical="center"/>
      <protection hidden="1"/>
    </xf>
    <xf numFmtId="0" fontId="1" fillId="4" borderId="16" xfId="0" applyFont="1" applyFill="1" applyBorder="1" applyAlignment="1" applyProtection="1">
      <alignment horizontal="right" vertical="center"/>
      <protection hidden="1"/>
    </xf>
    <xf numFmtId="0" fontId="0" fillId="4" borderId="17" xfId="0" applyFill="1" applyBorder="1" applyProtection="1">
      <alignment vertical="center"/>
      <protection hidden="1"/>
    </xf>
    <xf numFmtId="0" fontId="0" fillId="5" borderId="18" xfId="0" applyFill="1" applyBorder="1" applyProtection="1">
      <alignment vertical="center"/>
      <protection hidden="1"/>
    </xf>
    <xf numFmtId="0" fontId="0" fillId="5" borderId="16" xfId="0" applyFill="1" applyBorder="1" applyProtection="1">
      <alignment vertical="center"/>
      <protection hidden="1"/>
    </xf>
    <xf numFmtId="0" fontId="0" fillId="4" borderId="16" xfId="0" applyFill="1" applyBorder="1" applyProtection="1">
      <alignment vertical="center"/>
      <protection hidden="1"/>
    </xf>
    <xf numFmtId="0" fontId="1" fillId="6" borderId="18" xfId="1" applyFont="1" applyFill="1" applyBorder="1" applyProtection="1">
      <alignment vertical="center"/>
      <protection hidden="1"/>
    </xf>
    <xf numFmtId="0" fontId="2" fillId="6" borderId="16" xfId="1" applyFill="1" applyBorder="1" applyProtection="1">
      <alignment vertical="center"/>
      <protection hidden="1"/>
    </xf>
    <xf numFmtId="0" fontId="3" fillId="6" borderId="16" xfId="1" applyFont="1" applyFill="1" applyBorder="1" applyAlignment="1" applyProtection="1">
      <alignment horizontal="right" vertical="center"/>
      <protection hidden="1"/>
    </xf>
    <xf numFmtId="186" fontId="4" fillId="6" borderId="16" xfId="1" applyNumberFormat="1" applyFont="1" applyFill="1" applyBorder="1" applyProtection="1">
      <alignment vertical="center"/>
      <protection hidden="1"/>
    </xf>
    <xf numFmtId="0" fontId="0" fillId="5" borderId="16" xfId="0" applyFill="1" applyBorder="1" applyAlignment="1" applyProtection="1">
      <alignment horizontal="right" vertical="center"/>
      <protection hidden="1"/>
    </xf>
    <xf numFmtId="0" fontId="3" fillId="6" borderId="16" xfId="1" applyFont="1" applyFill="1" applyBorder="1" applyProtection="1">
      <alignment vertical="center"/>
      <protection hidden="1"/>
    </xf>
    <xf numFmtId="186" fontId="5" fillId="6" borderId="16" xfId="1" applyNumberFormat="1" applyFont="1" applyFill="1" applyBorder="1" applyProtection="1">
      <alignment vertical="center"/>
      <protection hidden="1"/>
    </xf>
    <xf numFmtId="0" fontId="5" fillId="4" borderId="16" xfId="0" applyFont="1" applyFill="1" applyBorder="1" applyAlignment="1" applyProtection="1">
      <alignment horizontal="right" vertical="center"/>
      <protection hidden="1"/>
    </xf>
    <xf numFmtId="184" fontId="5" fillId="4" borderId="16" xfId="0" applyNumberFormat="1" applyFont="1" applyFill="1" applyBorder="1" applyAlignment="1" applyProtection="1">
      <alignment horizontal="left" vertical="center"/>
      <protection hidden="1"/>
    </xf>
    <xf numFmtId="0" fontId="7" fillId="0" borderId="7" xfId="0" applyFont="1" applyBorder="1" applyProtection="1">
      <alignment vertical="center"/>
      <protection hidden="1"/>
    </xf>
    <xf numFmtId="0" fontId="0" fillId="0" borderId="0" xfId="0" applyFill="1" applyBorder="1" applyProtection="1">
      <alignment vertical="center"/>
      <protection hidden="1"/>
    </xf>
    <xf numFmtId="0" fontId="0" fillId="0" borderId="28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30" xfId="0" applyBorder="1" applyProtection="1">
      <alignment vertical="center"/>
      <protection hidden="1"/>
    </xf>
    <xf numFmtId="0" fontId="0" fillId="0" borderId="31" xfId="0" applyBorder="1" applyProtection="1">
      <alignment vertical="center"/>
      <protection hidden="1"/>
    </xf>
    <xf numFmtId="0" fontId="0" fillId="0" borderId="32" xfId="0" applyBorder="1" applyProtection="1">
      <alignment vertical="center"/>
      <protection hidden="1"/>
    </xf>
    <xf numFmtId="0" fontId="0" fillId="0" borderId="33" xfId="0" applyBorder="1" applyProtection="1">
      <alignment vertical="center"/>
      <protection hidden="1"/>
    </xf>
    <xf numFmtId="0" fontId="0" fillId="0" borderId="34" xfId="0" applyBorder="1" applyProtection="1">
      <alignment vertical="center"/>
      <protection hidden="1"/>
    </xf>
    <xf numFmtId="0" fontId="0" fillId="5" borderId="34" xfId="0" applyFill="1" applyBorder="1" applyProtection="1">
      <alignment vertical="center"/>
      <protection hidden="1"/>
    </xf>
    <xf numFmtId="0" fontId="2" fillId="6" borderId="34" xfId="1" applyFill="1" applyBorder="1" applyProtection="1">
      <alignment vertical="center"/>
      <protection hidden="1"/>
    </xf>
    <xf numFmtId="0" fontId="3" fillId="6" borderId="34" xfId="1" applyFont="1" applyFill="1" applyBorder="1" applyProtection="1">
      <alignment vertical="center"/>
      <protection hidden="1"/>
    </xf>
    <xf numFmtId="186" fontId="1" fillId="9" borderId="35" xfId="0" applyNumberFormat="1" applyFont="1" applyFill="1" applyBorder="1" applyAlignment="1" applyProtection="1">
      <alignment horizontal="center" vertical="center"/>
      <protection hidden="1"/>
    </xf>
    <xf numFmtId="187" fontId="1" fillId="9" borderId="35" xfId="0" applyNumberFormat="1" applyFont="1" applyFill="1" applyBorder="1" applyAlignment="1" applyProtection="1">
      <alignment horizontal="center" vertical="center"/>
      <protection hidden="1"/>
    </xf>
    <xf numFmtId="180" fontId="1" fillId="3" borderId="35" xfId="0" applyNumberFormat="1" applyFont="1" applyFill="1" applyBorder="1" applyAlignment="1" applyProtection="1">
      <alignment horizontal="center" vertical="center"/>
      <protection locked="0"/>
    </xf>
    <xf numFmtId="186" fontId="1" fillId="10" borderId="36" xfId="0" applyNumberFormat="1" applyFont="1" applyFill="1" applyBorder="1" applyAlignment="1" applyProtection="1">
      <alignment horizontal="center" vertical="center"/>
      <protection hidden="1"/>
    </xf>
    <xf numFmtId="180" fontId="1" fillId="9" borderId="3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13" borderId="0" xfId="0" applyFill="1" applyBorder="1" applyAlignment="1">
      <alignment vertical="center"/>
    </xf>
    <xf numFmtId="0" fontId="0" fillId="13" borderId="0" xfId="0" applyFill="1" applyBorder="1" applyAlignment="1">
      <alignment horizontal="right" vertical="center"/>
    </xf>
    <xf numFmtId="189" fontId="0" fillId="13" borderId="0" xfId="0" applyNumberFormat="1" applyFill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right" vertical="center"/>
    </xf>
    <xf numFmtId="0" fontId="12" fillId="0" borderId="4" xfId="0" applyNumberFormat="1" applyFont="1" applyBorder="1" applyAlignment="1" applyProtection="1">
      <alignment horizontal="center" vertical="center"/>
      <protection hidden="1"/>
    </xf>
    <xf numFmtId="0" fontId="13" fillId="14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77" fontId="0" fillId="0" borderId="43" xfId="0" applyNumberForma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  <protection locked="0"/>
    </xf>
    <xf numFmtId="179" fontId="0" fillId="0" borderId="43" xfId="0" applyNumberFormat="1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  <protection hidden="1"/>
    </xf>
    <xf numFmtId="0" fontId="7" fillId="0" borderId="43" xfId="0" applyFont="1" applyBorder="1" applyAlignment="1">
      <alignment horizontal="center" vertical="center"/>
    </xf>
    <xf numFmtId="186" fontId="0" fillId="0" borderId="44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86" fontId="1" fillId="0" borderId="46" xfId="0" applyNumberFormat="1" applyFont="1" applyBorder="1" applyAlignment="1" applyProtection="1">
      <alignment horizontal="center" vertical="center"/>
      <protection hidden="1"/>
    </xf>
    <xf numFmtId="0" fontId="0" fillId="0" borderId="45" xfId="0" applyFill="1" applyBorder="1" applyAlignment="1">
      <alignment horizontal="center" vertical="center"/>
    </xf>
    <xf numFmtId="177" fontId="0" fillId="0" borderId="43" xfId="0" applyNumberFormat="1" applyBorder="1" applyAlignment="1">
      <alignment horizontal="center" vertical="center"/>
    </xf>
    <xf numFmtId="186" fontId="0" fillId="0" borderId="43" xfId="0" applyNumberFormat="1" applyBorder="1" applyAlignment="1">
      <alignment horizontal="center" vertical="center"/>
    </xf>
    <xf numFmtId="179" fontId="0" fillId="0" borderId="43" xfId="0" applyNumberFormat="1" applyFill="1" applyBorder="1" applyAlignment="1" applyProtection="1">
      <alignment horizontal="center" vertical="center"/>
      <protection locked="0"/>
    </xf>
    <xf numFmtId="186" fontId="0" fillId="0" borderId="43" xfId="0" applyNumberFormat="1" applyBorder="1" applyAlignment="1" applyProtection="1">
      <alignment horizontal="center" vertical="center"/>
    </xf>
    <xf numFmtId="186" fontId="0" fillId="0" borderId="45" xfId="0" applyNumberFormat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179" fontId="0" fillId="0" borderId="4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6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6" fontId="0" fillId="0" borderId="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179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77" fontId="0" fillId="0" borderId="0" xfId="0" applyNumberFormat="1" applyBorder="1" applyProtection="1">
      <alignment vertical="center"/>
      <protection hidden="1"/>
    </xf>
    <xf numFmtId="0" fontId="16" fillId="0" borderId="0" xfId="0" applyFont="1" applyBorder="1">
      <alignment vertical="center"/>
    </xf>
    <xf numFmtId="0" fontId="16" fillId="0" borderId="0" xfId="0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84" fontId="0" fillId="0" borderId="0" xfId="0" applyNumberFormat="1" applyBorder="1">
      <alignment vertical="center"/>
    </xf>
    <xf numFmtId="184" fontId="0" fillId="0" borderId="0" xfId="0" applyNumberFormat="1" applyBorder="1" applyAlignment="1" applyProtection="1">
      <alignment horizontal="center" vertical="center"/>
      <protection hidden="1"/>
    </xf>
    <xf numFmtId="182" fontId="0" fillId="0" borderId="0" xfId="0" applyNumberFormat="1" applyBorder="1" applyProtection="1">
      <alignment vertical="center"/>
      <protection hidden="1"/>
    </xf>
    <xf numFmtId="184" fontId="18" fillId="0" borderId="0" xfId="0" applyNumberFormat="1" applyFont="1" applyBorder="1" applyAlignment="1" applyProtection="1">
      <alignment horizontal="center" vertical="center"/>
      <protection hidden="1"/>
    </xf>
    <xf numFmtId="176" fontId="0" fillId="0" borderId="0" xfId="0" applyNumberFormat="1" applyBorder="1" applyAlignment="1" applyProtection="1">
      <alignment horizontal="center" vertical="center"/>
      <protection hidden="1"/>
    </xf>
    <xf numFmtId="176" fontId="18" fillId="0" borderId="0" xfId="0" applyNumberFormat="1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 applyProtection="1">
      <alignment horizontal="right" vertical="center"/>
      <protection hidden="1"/>
    </xf>
    <xf numFmtId="186" fontId="0" fillId="0" borderId="0" xfId="0" applyNumberFormat="1" applyBorder="1" applyAlignment="1" applyProtection="1">
      <alignment horizontal="left" vertical="center"/>
      <protection hidden="1"/>
    </xf>
    <xf numFmtId="0" fontId="0" fillId="0" borderId="0" xfId="0" applyBorder="1" applyAlignment="1"/>
    <xf numFmtId="0" fontId="0" fillId="0" borderId="0" xfId="0" applyFill="1" applyBorder="1">
      <alignment vertical="center"/>
    </xf>
    <xf numFmtId="0" fontId="1" fillId="0" borderId="0" xfId="0" applyFont="1" applyBorder="1" applyAlignment="1" applyProtection="1">
      <alignment horizontal="right" vertical="center"/>
      <protection hidden="1"/>
    </xf>
    <xf numFmtId="189" fontId="0" fillId="0" borderId="4" xfId="0" applyNumberFormat="1" applyBorder="1" applyAlignment="1" applyProtection="1">
      <alignment horizontal="center" vertical="center"/>
      <protection hidden="1"/>
    </xf>
    <xf numFmtId="176" fontId="0" fillId="0" borderId="0" xfId="0" applyNumberFormat="1" applyBorder="1" applyAlignment="1" applyProtection="1">
      <alignment horizontal="left" vertical="center"/>
      <protection hidden="1"/>
    </xf>
    <xf numFmtId="0" fontId="21" fillId="0" borderId="0" xfId="0" applyFont="1" applyBorder="1">
      <alignment vertical="center"/>
    </xf>
    <xf numFmtId="191" fontId="0" fillId="0" borderId="0" xfId="0" applyNumberFormat="1" applyBorder="1" applyAlignment="1">
      <alignment horizontal="center" vertical="center"/>
    </xf>
    <xf numFmtId="179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47" xfId="0" applyBorder="1" applyAlignment="1">
      <alignment horizontal="right" vertical="center"/>
    </xf>
    <xf numFmtId="176" fontId="0" fillId="0" borderId="0" xfId="0" applyNumberFormat="1" applyBorder="1">
      <alignment vertical="center"/>
    </xf>
    <xf numFmtId="0" fontId="22" fillId="0" borderId="0" xfId="0" applyFont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4" xfId="0" applyFont="1" applyBorder="1" applyAlignment="1"/>
    <xf numFmtId="0" fontId="13" fillId="0" borderId="0" xfId="0" applyFont="1" applyAlignment="1">
      <alignment horizontal="right"/>
    </xf>
    <xf numFmtId="192" fontId="13" fillId="0" borderId="4" xfId="0" applyNumberFormat="1" applyFont="1" applyBorder="1" applyAlignment="1">
      <alignment horizontal="center"/>
    </xf>
    <xf numFmtId="0" fontId="0" fillId="0" borderId="51" xfId="0" applyBorder="1" applyAlignment="1" applyProtection="1">
      <alignment horizontal="center" vertical="center"/>
      <protection locked="0"/>
    </xf>
    <xf numFmtId="0" fontId="16" fillId="0" borderId="0" xfId="0" applyFont="1" applyBorder="1" applyAlignment="1">
      <alignment horizontal="left" vertical="center"/>
    </xf>
    <xf numFmtId="187" fontId="0" fillId="0" borderId="0" xfId="0" applyNumberForma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7" fillId="0" borderId="0" xfId="0" applyFont="1" applyAlignment="1" applyProtection="1">
      <alignment vertical="top" wrapText="1"/>
      <protection hidden="1"/>
    </xf>
    <xf numFmtId="0" fontId="28" fillId="0" borderId="0" xfId="0" applyFont="1" applyAlignment="1" applyProtection="1">
      <protection hidden="1"/>
    </xf>
    <xf numFmtId="0" fontId="27" fillId="0" borderId="0" xfId="0" applyFont="1" applyAlignment="1" applyProtection="1">
      <alignment horizontal="left"/>
      <protection hidden="1"/>
    </xf>
    <xf numFmtId="0" fontId="28" fillId="0" borderId="0" xfId="0" applyFont="1" applyAlignment="1" applyProtection="1">
      <alignment horizontal="left"/>
      <protection hidden="1"/>
    </xf>
    <xf numFmtId="49" fontId="28" fillId="0" borderId="0" xfId="0" applyNumberFormat="1" applyFont="1" applyFill="1" applyBorder="1" applyAlignment="1" applyProtection="1">
      <alignment horizontal="center" vertical="center"/>
      <protection hidden="1"/>
    </xf>
    <xf numFmtId="49" fontId="28" fillId="0" borderId="4" xfId="0" applyNumberFormat="1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28" fillId="0" borderId="0" xfId="0" applyFont="1" applyBorder="1" applyAlignment="1" applyProtection="1">
      <protection hidden="1"/>
    </xf>
    <xf numFmtId="0" fontId="28" fillId="0" borderId="0" xfId="0" applyFont="1" applyBorder="1" applyAlignment="1" applyProtection="1">
      <alignment horizontal="left"/>
      <protection hidden="1"/>
    </xf>
    <xf numFmtId="0" fontId="28" fillId="0" borderId="0" xfId="0" applyFont="1" applyAlignment="1" applyProtection="1">
      <alignment horizontal="right"/>
      <protection hidden="1"/>
    </xf>
    <xf numFmtId="0" fontId="28" fillId="0" borderId="47" xfId="0" applyFont="1" applyBorder="1" applyAlignment="1" applyProtection="1">
      <alignment horizontal="left"/>
      <protection hidden="1"/>
    </xf>
    <xf numFmtId="0" fontId="27" fillId="0" borderId="0" xfId="0" applyFont="1" applyAlignment="1" applyProtection="1">
      <protection hidden="1"/>
    </xf>
    <xf numFmtId="0" fontId="27" fillId="0" borderId="47" xfId="0" applyFont="1" applyBorder="1" applyAlignment="1" applyProtection="1">
      <alignment horizontal="right"/>
      <protection hidden="1"/>
    </xf>
    <xf numFmtId="0" fontId="28" fillId="0" borderId="47" xfId="0" applyFont="1" applyBorder="1" applyAlignment="1" applyProtection="1">
      <alignment horizontal="right"/>
      <protection hidden="1"/>
    </xf>
    <xf numFmtId="0" fontId="0" fillId="0" borderId="0" xfId="0" applyAlignment="1"/>
    <xf numFmtId="0" fontId="28" fillId="0" borderId="49" xfId="0" applyFont="1" applyBorder="1" applyAlignment="1" applyProtection="1">
      <alignment horizontal="left"/>
      <protection hidden="1"/>
    </xf>
    <xf numFmtId="0" fontId="28" fillId="0" borderId="49" xfId="0" applyFont="1" applyBorder="1" applyAlignment="1" applyProtection="1">
      <protection hidden="1"/>
    </xf>
    <xf numFmtId="0" fontId="28" fillId="0" borderId="47" xfId="0" applyFont="1" applyBorder="1" applyAlignment="1" applyProtection="1">
      <protection hidden="1"/>
    </xf>
    <xf numFmtId="0" fontId="33" fillId="0" borderId="0" xfId="0" applyFont="1" applyBorder="1" applyAlignment="1" applyProtection="1">
      <alignment horizontal="left"/>
      <protection hidden="1"/>
    </xf>
    <xf numFmtId="0" fontId="34" fillId="0" borderId="0" xfId="0" applyFont="1" applyBorder="1" applyAlignment="1"/>
    <xf numFmtId="0" fontId="35" fillId="0" borderId="0" xfId="0" applyFont="1" applyBorder="1" applyAlignment="1"/>
    <xf numFmtId="0" fontId="28" fillId="0" borderId="0" xfId="0" applyFont="1" applyBorder="1" applyAlignment="1" applyProtection="1">
      <alignment horizontal="center"/>
      <protection hidden="1"/>
    </xf>
    <xf numFmtId="0" fontId="36" fillId="0" borderId="4" xfId="0" applyFont="1" applyBorder="1" applyAlignment="1" applyProtection="1">
      <alignment horizontal="right"/>
      <protection hidden="1"/>
    </xf>
    <xf numFmtId="0" fontId="35" fillId="0" borderId="4" xfId="0" applyFont="1" applyBorder="1" applyAlignment="1"/>
    <xf numFmtId="0" fontId="36" fillId="0" borderId="0" xfId="0" applyFont="1" applyAlignment="1" applyProtection="1">
      <alignment horizontal="right"/>
      <protection hidden="1"/>
    </xf>
    <xf numFmtId="0" fontId="35" fillId="0" borderId="0" xfId="0" applyFont="1" applyAlignment="1"/>
    <xf numFmtId="0" fontId="30" fillId="0" borderId="0" xfId="0" applyFont="1" applyBorder="1" applyAlignment="1" applyProtection="1">
      <protection hidden="1"/>
    </xf>
    <xf numFmtId="0" fontId="27" fillId="0" borderId="0" xfId="0" applyFont="1" applyBorder="1" applyAlignment="1" applyProtection="1">
      <alignment horizontal="left"/>
      <protection hidden="1"/>
    </xf>
    <xf numFmtId="0" fontId="30" fillId="0" borderId="0" xfId="0" applyFont="1" applyAlignment="1" applyProtection="1">
      <protection hidden="1"/>
    </xf>
    <xf numFmtId="0" fontId="39" fillId="0" borderId="0" xfId="0" applyFont="1">
      <alignment vertical="center"/>
    </xf>
    <xf numFmtId="0" fontId="31" fillId="0" borderId="0" xfId="0" applyFont="1" applyBorder="1" applyAlignment="1" applyProtection="1">
      <alignment horizontal="center"/>
      <protection hidden="1"/>
    </xf>
    <xf numFmtId="193" fontId="28" fillId="0" borderId="49" xfId="0" applyNumberFormat="1" applyFont="1" applyBorder="1" applyAlignment="1" applyProtection="1">
      <alignment horizontal="center"/>
      <protection hidden="1"/>
    </xf>
    <xf numFmtId="193" fontId="28" fillId="0" borderId="4" xfId="0" applyNumberFormat="1" applyFont="1" applyBorder="1" applyAlignment="1" applyProtection="1">
      <alignment horizontal="center"/>
      <protection hidden="1"/>
    </xf>
    <xf numFmtId="193" fontId="28" fillId="0" borderId="0" xfId="0" applyNumberFormat="1" applyFont="1" applyBorder="1" applyAlignment="1" applyProtection="1">
      <alignment horizontal="center"/>
      <protection hidden="1"/>
    </xf>
    <xf numFmtId="176" fontId="28" fillId="0" borderId="0" xfId="0" applyNumberFormat="1" applyFont="1" applyBorder="1" applyAlignment="1" applyProtection="1">
      <alignment horizontal="center"/>
      <protection hidden="1"/>
    </xf>
    <xf numFmtId="187" fontId="28" fillId="0" borderId="0" xfId="0" applyNumberFormat="1" applyFont="1" applyBorder="1" applyAlignment="1" applyProtection="1">
      <alignment horizontal="center"/>
      <protection hidden="1"/>
    </xf>
    <xf numFmtId="0" fontId="0" fillId="0" borderId="47" xfId="0" applyBorder="1" applyAlignment="1">
      <alignment vertical="center"/>
    </xf>
    <xf numFmtId="180" fontId="28" fillId="0" borderId="0" xfId="0" applyNumberFormat="1" applyFont="1" applyFill="1" applyBorder="1" applyAlignment="1" applyProtection="1">
      <alignment horizontal="center" shrinkToFit="1"/>
      <protection hidden="1"/>
    </xf>
    <xf numFmtId="187" fontId="28" fillId="0" borderId="47" xfId="0" applyNumberFormat="1" applyFont="1" applyBorder="1" applyAlignment="1" applyProtection="1">
      <alignment horizontal="center"/>
      <protection hidden="1"/>
    </xf>
    <xf numFmtId="0" fontId="0" fillId="0" borderId="47" xfId="0" applyBorder="1" applyAlignment="1"/>
    <xf numFmtId="0" fontId="0" fillId="0" borderId="47" xfId="0" applyFill="1" applyBorder="1" applyAlignment="1">
      <alignment vertical="center"/>
    </xf>
    <xf numFmtId="177" fontId="7" fillId="0" borderId="43" xfId="0" applyNumberFormat="1" applyFont="1" applyBorder="1" applyAlignment="1" applyProtection="1">
      <alignment horizontal="center" vertical="center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  <xf numFmtId="186" fontId="7" fillId="0" borderId="43" xfId="0" applyNumberFormat="1" applyFont="1" applyBorder="1" applyAlignment="1" applyProtection="1">
      <alignment horizontal="center" vertical="center"/>
      <protection locked="0"/>
    </xf>
    <xf numFmtId="179" fontId="7" fillId="0" borderId="43" xfId="0" applyNumberFormat="1" applyFont="1" applyBorder="1" applyAlignment="1" applyProtection="1">
      <alignment horizontal="center" vertical="center"/>
      <protection locked="0"/>
    </xf>
    <xf numFmtId="177" fontId="7" fillId="0" borderId="43" xfId="0" applyNumberFormat="1" applyFont="1" applyBorder="1" applyAlignment="1">
      <alignment horizontal="center" vertical="center"/>
    </xf>
    <xf numFmtId="186" fontId="7" fillId="0" borderId="43" xfId="0" applyNumberFormat="1" applyFont="1" applyBorder="1" applyAlignment="1">
      <alignment horizontal="center" vertical="center"/>
    </xf>
    <xf numFmtId="179" fontId="7" fillId="0" borderId="43" xfId="0" applyNumberFormat="1" applyFont="1" applyBorder="1" applyAlignment="1">
      <alignment horizontal="center" vertical="center"/>
    </xf>
    <xf numFmtId="186" fontId="7" fillId="0" borderId="43" xfId="0" applyNumberFormat="1" applyFont="1" applyBorder="1" applyAlignment="1" applyProtection="1">
      <alignment horizontal="center" vertical="center"/>
      <protection hidden="1"/>
    </xf>
    <xf numFmtId="176" fontId="28" fillId="0" borderId="0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176" fontId="28" fillId="0" borderId="4" xfId="0" applyNumberFormat="1" applyFont="1" applyBorder="1" applyAlignment="1" applyProtection="1">
      <alignment horizontal="center"/>
      <protection hidden="1"/>
    </xf>
    <xf numFmtId="0" fontId="0" fillId="0" borderId="4" xfId="0" applyBorder="1" applyAlignment="1">
      <alignment horizontal="center"/>
    </xf>
    <xf numFmtId="0" fontId="28" fillId="0" borderId="2" xfId="0" applyNumberFormat="1" applyFont="1" applyFill="1" applyBorder="1" applyAlignment="1" applyProtection="1">
      <alignment horizontal="center" vertical="center"/>
      <protection hidden="1"/>
    </xf>
    <xf numFmtId="0" fontId="28" fillId="0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8" fillId="0" borderId="0" xfId="0" applyNumberFormat="1" applyFont="1" applyBorder="1" applyAlignment="1" applyProtection="1">
      <alignment horizontal="center" vertical="center" wrapText="1"/>
      <protection hidden="1"/>
    </xf>
    <xf numFmtId="0" fontId="28" fillId="0" borderId="4" xfId="0" applyNumberFormat="1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left"/>
      <protection hidden="1"/>
    </xf>
    <xf numFmtId="0" fontId="27" fillId="0" borderId="0" xfId="0" applyFont="1" applyAlignment="1" applyProtection="1">
      <alignment horizontal="left"/>
      <protection hidden="1"/>
    </xf>
    <xf numFmtId="0" fontId="30" fillId="0" borderId="0" xfId="0" applyFont="1" applyAlignment="1" applyProtection="1">
      <alignment horizontal="right"/>
      <protection hidden="1"/>
    </xf>
    <xf numFmtId="0" fontId="28" fillId="0" borderId="0" xfId="0" applyFont="1" applyAlignment="1" applyProtection="1">
      <alignment horizontal="right"/>
      <protection hidden="1"/>
    </xf>
    <xf numFmtId="0" fontId="27" fillId="0" borderId="0" xfId="0" applyFont="1" applyAlignment="1" applyProtection="1">
      <alignment horizontal="right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49" xfId="0" applyFont="1" applyBorder="1" applyAlignment="1" applyProtection="1">
      <alignment horizontal="left"/>
      <protection hidden="1"/>
    </xf>
    <xf numFmtId="0" fontId="32" fillId="0" borderId="49" xfId="0" applyFont="1" applyBorder="1" applyAlignment="1" applyProtection="1">
      <alignment horizontal="left"/>
      <protection hidden="1"/>
    </xf>
    <xf numFmtId="0" fontId="0" fillId="0" borderId="49" xfId="0" applyBorder="1" applyAlignment="1"/>
    <xf numFmtId="193" fontId="28" fillId="0" borderId="49" xfId="0" applyNumberFormat="1" applyFont="1" applyBorder="1" applyAlignment="1" applyProtection="1">
      <alignment horizontal="center"/>
      <protection hidden="1"/>
    </xf>
    <xf numFmtId="187" fontId="28" fillId="0" borderId="2" xfId="0" applyNumberFormat="1" applyFont="1" applyBorder="1" applyAlignment="1" applyProtection="1">
      <alignment horizontal="center"/>
      <protection hidden="1"/>
    </xf>
    <xf numFmtId="0" fontId="0" fillId="0" borderId="2" xfId="0" applyBorder="1" applyAlignment="1">
      <alignment horizontal="center"/>
    </xf>
    <xf numFmtId="187" fontId="28" fillId="0" borderId="4" xfId="0" applyNumberFormat="1" applyFont="1" applyBorder="1" applyAlignment="1" applyProtection="1">
      <alignment horizontal="center"/>
      <protection hidden="1"/>
    </xf>
    <xf numFmtId="186" fontId="28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Alignment="1">
      <alignment horizontal="center"/>
    </xf>
    <xf numFmtId="186" fontId="0" fillId="0" borderId="4" xfId="0" applyNumberFormat="1" applyFont="1" applyBorder="1" applyAlignment="1">
      <alignment horizontal="center"/>
    </xf>
    <xf numFmtId="0" fontId="38" fillId="0" borderId="4" xfId="0" applyNumberFormat="1" applyFont="1" applyBorder="1" applyAlignment="1"/>
    <xf numFmtId="0" fontId="28" fillId="0" borderId="0" xfId="0" applyFont="1" applyBorder="1" applyAlignment="1" applyProtection="1">
      <alignment horizontal="right"/>
      <protection hidden="1"/>
    </xf>
    <xf numFmtId="186" fontId="28" fillId="0" borderId="2" xfId="0" applyNumberFormat="1" applyFont="1" applyBorder="1" applyAlignment="1" applyProtection="1">
      <alignment horizontal="center"/>
      <protection hidden="1"/>
    </xf>
    <xf numFmtId="186" fontId="28" fillId="0" borderId="4" xfId="0" applyNumberFormat="1" applyFont="1" applyBorder="1" applyAlignment="1" applyProtection="1">
      <alignment horizontal="center"/>
      <protection hidden="1"/>
    </xf>
    <xf numFmtId="186" fontId="28" fillId="0" borderId="0" xfId="0" applyNumberFormat="1" applyFont="1" applyBorder="1" applyAlignment="1" applyProtection="1">
      <alignment horizontal="center"/>
      <protection hidden="1"/>
    </xf>
    <xf numFmtId="186" fontId="0" fillId="0" borderId="0" xfId="0" applyNumberFormat="1" applyAlignment="1">
      <alignment horizontal="center"/>
    </xf>
    <xf numFmtId="186" fontId="0" fillId="0" borderId="4" xfId="0" applyNumberFormat="1" applyBorder="1" applyAlignment="1">
      <alignment horizontal="center"/>
    </xf>
    <xf numFmtId="187" fontId="28" fillId="0" borderId="46" xfId="0" applyNumberFormat="1" applyFont="1" applyBorder="1" applyAlignment="1" applyProtection="1">
      <alignment horizontal="center"/>
      <protection hidden="1"/>
    </xf>
    <xf numFmtId="0" fontId="13" fillId="0" borderId="46" xfId="0" applyFont="1" applyBorder="1" applyAlignment="1"/>
    <xf numFmtId="0" fontId="28" fillId="0" borderId="0" xfId="0" applyFont="1" applyBorder="1" applyAlignment="1" applyProtection="1">
      <alignment horizontal="center"/>
      <protection hidden="1"/>
    </xf>
    <xf numFmtId="0" fontId="28" fillId="0" borderId="4" xfId="0" applyFont="1" applyBorder="1" applyAlignment="1" applyProtection="1">
      <alignment horizontal="center"/>
      <protection hidden="1"/>
    </xf>
    <xf numFmtId="187" fontId="28" fillId="0" borderId="52" xfId="0" applyNumberFormat="1" applyFont="1" applyBorder="1" applyAlignment="1" applyProtection="1">
      <alignment horizontal="center"/>
      <protection hidden="1"/>
    </xf>
    <xf numFmtId="0" fontId="13" fillId="0" borderId="52" xfId="0" applyFont="1" applyBorder="1" applyAlignment="1"/>
    <xf numFmtId="0" fontId="38" fillId="0" borderId="0" xfId="0" applyNumberFormat="1" applyFont="1" applyBorder="1" applyAlignment="1"/>
    <xf numFmtId="0" fontId="0" fillId="0" borderId="0" xfId="0" applyNumberFormat="1" applyAlignment="1"/>
    <xf numFmtId="176" fontId="28" fillId="0" borderId="46" xfId="0" applyNumberFormat="1" applyFont="1" applyBorder="1" applyAlignment="1" applyProtection="1">
      <alignment horizontal="center"/>
      <protection hidden="1"/>
    </xf>
    <xf numFmtId="184" fontId="28" fillId="0" borderId="46" xfId="0" applyNumberFormat="1" applyFont="1" applyBorder="1" applyAlignment="1" applyProtection="1">
      <alignment horizontal="center"/>
      <protection hidden="1"/>
    </xf>
    <xf numFmtId="180" fontId="28" fillId="0" borderId="46" xfId="0" applyNumberFormat="1" applyFont="1" applyFill="1" applyBorder="1" applyAlignment="1" applyProtection="1">
      <alignment horizontal="center" shrinkToFit="1"/>
      <protection hidden="1"/>
    </xf>
    <xf numFmtId="0" fontId="0" fillId="0" borderId="0" xfId="0" applyAlignment="1" applyProtection="1">
      <protection hidden="1"/>
    </xf>
    <xf numFmtId="178" fontId="40" fillId="0" borderId="49" xfId="0" applyNumberFormat="1" applyFont="1" applyBorder="1" applyAlignment="1" applyProtection="1">
      <alignment horizontal="center" vertical="center"/>
      <protection hidden="1"/>
    </xf>
    <xf numFmtId="178" fontId="40" fillId="0" borderId="4" xfId="0" applyNumberFormat="1" applyFont="1" applyBorder="1" applyAlignment="1" applyProtection="1">
      <alignment horizontal="center" vertical="center"/>
      <protection hidden="1"/>
    </xf>
    <xf numFmtId="0" fontId="28" fillId="0" borderId="0" xfId="0" applyFont="1" applyBorder="1" applyAlignment="1" applyProtection="1">
      <alignment horizontal="left"/>
      <protection hidden="1"/>
    </xf>
    <xf numFmtId="0" fontId="27" fillId="0" borderId="0" xfId="0" applyFont="1" applyBorder="1" applyAlignment="1" applyProtection="1">
      <alignment horizontal="righ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27" fillId="0" borderId="47" xfId="0" applyFont="1" applyBorder="1" applyAlignment="1" applyProtection="1">
      <alignment horizontal="left"/>
      <protection hidden="1"/>
    </xf>
    <xf numFmtId="0" fontId="28" fillId="0" borderId="47" xfId="0" applyFont="1" applyBorder="1" applyAlignment="1" applyProtection="1">
      <alignment horizontal="left"/>
      <protection hidden="1"/>
    </xf>
    <xf numFmtId="0" fontId="37" fillId="0" borderId="0" xfId="0" applyFont="1" applyAlignment="1" applyProtection="1">
      <alignment horizontal="left"/>
      <protection hidden="1"/>
    </xf>
    <xf numFmtId="0" fontId="0" fillId="0" borderId="0" xfId="0" applyAlignment="1"/>
    <xf numFmtId="0" fontId="28" fillId="0" borderId="0" xfId="0" applyFont="1" applyAlignment="1" applyProtection="1">
      <alignment horizontal="center"/>
      <protection hidden="1"/>
    </xf>
    <xf numFmtId="193" fontId="13" fillId="0" borderId="4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9" fillId="0" borderId="2" xfId="0" applyNumberFormat="1" applyFont="1" applyFill="1" applyBorder="1" applyAlignment="1" applyProtection="1">
      <alignment horizontal="center" vertical="center"/>
      <protection hidden="1"/>
    </xf>
    <xf numFmtId="0" fontId="29" fillId="0" borderId="4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Border="1" applyAlignment="1" applyProtection="1">
      <alignment vertical="center" wrapText="1" shrinkToFit="1"/>
      <protection hidden="1"/>
    </xf>
    <xf numFmtId="0" fontId="24" fillId="0" borderId="0" xfId="0" applyFont="1" applyAlignment="1">
      <alignment vertical="center" wrapText="1" shrinkToFit="1"/>
    </xf>
    <xf numFmtId="0" fontId="10" fillId="0" borderId="0" xfId="0" applyFont="1" applyFill="1" applyBorder="1" applyAlignment="1" applyProtection="1">
      <alignment horizontal="right" vertical="center" wrapText="1" shrinkToFit="1"/>
      <protection hidden="1"/>
    </xf>
    <xf numFmtId="0" fontId="27" fillId="0" borderId="0" xfId="0" applyFont="1" applyAlignment="1" applyProtection="1">
      <alignment horizontal="center"/>
      <protection hidden="1"/>
    </xf>
    <xf numFmtId="0" fontId="25" fillId="13" borderId="0" xfId="0" applyFont="1" applyFill="1" applyBorder="1" applyAlignment="1" applyProtection="1">
      <alignment horizontal="center" vertical="center" wrapText="1" shrinkToFit="1"/>
      <protection hidden="1"/>
    </xf>
    <xf numFmtId="0" fontId="26" fillId="13" borderId="0" xfId="0" applyFont="1" applyFill="1" applyBorder="1" applyAlignment="1" applyProtection="1">
      <alignment horizontal="center" vertical="center" wrapText="1" shrinkToFit="1"/>
      <protection hidden="1"/>
    </xf>
    <xf numFmtId="0" fontId="28" fillId="0" borderId="0" xfId="0" applyFont="1" applyBorder="1" applyAlignment="1" applyProtection="1">
      <alignment horizontal="center" vertical="center" wrapText="1"/>
      <protection hidden="1"/>
    </xf>
    <xf numFmtId="0" fontId="28" fillId="0" borderId="4" xfId="0" applyFont="1" applyBorder="1" applyAlignment="1" applyProtection="1">
      <alignment horizontal="center" vertical="center" wrapText="1"/>
      <protection hidden="1"/>
    </xf>
    <xf numFmtId="186" fontId="0" fillId="0" borderId="50" xfId="0" applyNumberFormat="1" applyBorder="1" applyAlignment="1" applyProtection="1">
      <alignment horizontal="center"/>
      <protection hidden="1"/>
    </xf>
    <xf numFmtId="183" fontId="0" fillId="0" borderId="2" xfId="0" applyNumberFormat="1" applyBorder="1" applyAlignment="1">
      <alignment horizontal="center"/>
    </xf>
    <xf numFmtId="0" fontId="0" fillId="0" borderId="4" xfId="0" applyBorder="1" applyAlignment="1">
      <alignment vertical="center"/>
    </xf>
    <xf numFmtId="186" fontId="0" fillId="0" borderId="0" xfId="0" applyNumberFormat="1" applyBorder="1" applyAlignment="1" applyProtection="1">
      <alignment horizontal="center"/>
      <protection hidden="1"/>
    </xf>
    <xf numFmtId="186" fontId="0" fillId="0" borderId="47" xfId="0" applyNumberFormat="1" applyBorder="1" applyAlignment="1" applyProtection="1">
      <alignment horizontal="center"/>
      <protection hidden="1"/>
    </xf>
    <xf numFmtId="0" fontId="0" fillId="0" borderId="2" xfId="0" applyBorder="1" applyAlignment="1">
      <alignment vertical="center"/>
    </xf>
    <xf numFmtId="186" fontId="0" fillId="0" borderId="49" xfId="0" applyNumberFormat="1" applyBorder="1" applyAlignment="1" applyProtection="1">
      <alignment horizontal="center"/>
      <protection hidden="1"/>
    </xf>
    <xf numFmtId="188" fontId="0" fillId="0" borderId="4" xfId="0" applyNumberFormat="1" applyBorder="1" applyAlignment="1">
      <alignment horizontal="center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182" fontId="0" fillId="0" borderId="0" xfId="0" applyNumberFormat="1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vertical="center"/>
      <protection hidden="1"/>
    </xf>
    <xf numFmtId="190" fontId="0" fillId="0" borderId="49" xfId="0" applyNumberFormat="1" applyBorder="1" applyAlignment="1" applyProtection="1">
      <alignment horizontal="center" vertical="center"/>
      <protection hidden="1"/>
    </xf>
    <xf numFmtId="176" fontId="0" fillId="0" borderId="49" xfId="0" applyNumberForma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horizontal="center" vertical="center"/>
      <protection hidden="1"/>
    </xf>
    <xf numFmtId="176" fontId="0" fillId="0" borderId="47" xfId="0" applyNumberForma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86" fontId="0" fillId="0" borderId="47" xfId="0" applyNumberFormat="1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179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86" fontId="0" fillId="0" borderId="0" xfId="0" applyNumberFormat="1" applyBorder="1" applyAlignment="1" applyProtection="1">
      <alignment vertical="center"/>
      <protection hidden="1"/>
    </xf>
    <xf numFmtId="185" fontId="0" fillId="0" borderId="47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87" fontId="0" fillId="0" borderId="47" xfId="0" applyNumberFormat="1" applyBorder="1" applyAlignment="1" applyProtection="1">
      <alignment vertical="center"/>
      <protection hidden="1"/>
    </xf>
    <xf numFmtId="184" fontId="19" fillId="0" borderId="0" xfId="0" applyNumberFormat="1" applyFont="1" applyBorder="1" applyAlignment="1" applyProtection="1">
      <alignment horizontal="left" vertical="center"/>
      <protection hidden="1"/>
    </xf>
    <xf numFmtId="187" fontId="0" fillId="0" borderId="47" xfId="0" applyNumberFormat="1" applyBorder="1" applyAlignment="1" applyProtection="1">
      <alignment horizontal="right" vertical="center"/>
      <protection hidden="1"/>
    </xf>
    <xf numFmtId="0" fontId="0" fillId="0" borderId="47" xfId="0" applyBorder="1" applyAlignment="1" applyProtection="1">
      <alignment horizontal="right" vertical="center"/>
      <protection hidden="1"/>
    </xf>
    <xf numFmtId="184" fontId="19" fillId="0" borderId="0" xfId="0" applyNumberFormat="1" applyFont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186" fontId="1" fillId="0" borderId="0" xfId="0" applyNumberFormat="1" applyFont="1" applyBorder="1" applyAlignment="1" applyProtection="1">
      <alignment horizontal="center" vertical="center"/>
      <protection hidden="1"/>
    </xf>
    <xf numFmtId="186" fontId="0" fillId="0" borderId="0" xfId="0" applyNumberFormat="1" applyAlignment="1" applyProtection="1">
      <alignment horizontal="center" vertical="center"/>
      <protection hidden="1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9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5" fillId="0" borderId="48" xfId="0" applyFont="1" applyBorder="1" applyAlignment="1">
      <alignment horizontal="center" vertical="center"/>
    </xf>
    <xf numFmtId="187" fontId="0" fillId="0" borderId="4" xfId="0" applyNumberFormat="1" applyBorder="1" applyAlignment="1" applyProtection="1">
      <alignment horizontal="center"/>
      <protection hidden="1"/>
    </xf>
    <xf numFmtId="0" fontId="0" fillId="0" borderId="4" xfId="0" applyNumberFormat="1" applyBorder="1" applyAlignment="1" applyProtection="1">
      <alignment horizontal="center"/>
      <protection hidden="1"/>
    </xf>
    <xf numFmtId="0" fontId="7" fillId="0" borderId="0" xfId="0" applyFont="1" applyBorder="1" applyAlignment="1">
      <alignment vertical="center"/>
    </xf>
    <xf numFmtId="14" fontId="13" fillId="0" borderId="0" xfId="0" applyNumberFormat="1" applyFont="1" applyFill="1" applyAlignment="1">
      <alignment horizontal="center" vertical="center"/>
    </xf>
    <xf numFmtId="0" fontId="11" fillId="13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14" fillId="3" borderId="44" xfId="0" applyFont="1" applyFill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177" fontId="5" fillId="7" borderId="15" xfId="0" applyNumberFormat="1" applyFont="1" applyFill="1" applyBorder="1" applyAlignment="1" applyProtection="1">
      <alignment horizontal="right" vertical="center"/>
      <protection locked="0"/>
    </xf>
    <xf numFmtId="177" fontId="5" fillId="12" borderId="17" xfId="0" applyNumberFormat="1" applyFont="1" applyFill="1" applyBorder="1" applyAlignment="1" applyProtection="1">
      <alignment horizontal="left" vertical="center"/>
      <protection locked="0"/>
    </xf>
    <xf numFmtId="177" fontId="5" fillId="7" borderId="17" xfId="0" applyNumberFormat="1" applyFont="1" applyFill="1" applyBorder="1" applyAlignment="1" applyProtection="1">
      <alignment horizontal="left" vertical="center"/>
      <protection locked="0"/>
    </xf>
    <xf numFmtId="180" fontId="1" fillId="11" borderId="11" xfId="0" applyNumberFormat="1" applyFont="1" applyFill="1" applyBorder="1" applyAlignment="1" applyProtection="1">
      <alignment horizontal="center" vertical="center"/>
      <protection locked="0"/>
    </xf>
    <xf numFmtId="180" fontId="1" fillId="11" borderId="12" xfId="0" applyNumberFormat="1" applyFont="1" applyFill="1" applyBorder="1" applyAlignment="1" applyProtection="1">
      <alignment horizontal="center" vertical="center"/>
      <protection locked="0"/>
    </xf>
    <xf numFmtId="182" fontId="1" fillId="11" borderId="11" xfId="0" applyNumberFormat="1" applyFont="1" applyFill="1" applyBorder="1" applyAlignment="1" applyProtection="1">
      <alignment horizontal="center" vertical="center"/>
      <protection locked="0"/>
    </xf>
    <xf numFmtId="182" fontId="1" fillId="11" borderId="12" xfId="0" applyNumberFormat="1" applyFont="1" applyFill="1" applyBorder="1" applyAlignment="1" applyProtection="1">
      <alignment horizontal="center" vertical="center"/>
      <protection locked="0"/>
    </xf>
    <xf numFmtId="184" fontId="1" fillId="11" borderId="11" xfId="0" applyNumberFormat="1" applyFont="1" applyFill="1" applyBorder="1" applyAlignment="1" applyProtection="1">
      <alignment horizontal="center" vertical="center"/>
      <protection locked="0"/>
    </xf>
    <xf numFmtId="184" fontId="1" fillId="11" borderId="12" xfId="0" applyNumberFormat="1" applyFont="1" applyFill="1" applyBorder="1" applyAlignment="1" applyProtection="1">
      <alignment horizontal="center" vertical="center"/>
      <protection locked="0"/>
    </xf>
    <xf numFmtId="187" fontId="1" fillId="8" borderId="24" xfId="0" applyNumberFormat="1" applyFont="1" applyFill="1" applyBorder="1" applyAlignment="1" applyProtection="1">
      <alignment horizontal="center" vertical="center"/>
      <protection hidden="1"/>
    </xf>
    <xf numFmtId="0" fontId="1" fillId="8" borderId="25" xfId="0" applyFont="1" applyFill="1" applyBorder="1" applyAlignment="1" applyProtection="1">
      <alignment horizontal="center" vertical="center"/>
      <protection hidden="1"/>
    </xf>
    <xf numFmtId="0" fontId="1" fillId="8" borderId="26" xfId="0" applyFont="1" applyFill="1" applyBorder="1" applyAlignment="1" applyProtection="1">
      <alignment horizontal="center" vertical="center"/>
      <protection hidden="1"/>
    </xf>
    <xf numFmtId="0" fontId="1" fillId="8" borderId="27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185" fontId="1" fillId="8" borderId="22" xfId="0" applyNumberFormat="1" applyFont="1" applyFill="1" applyBorder="1" applyAlignment="1" applyProtection="1">
      <alignment horizontal="center" vertical="center"/>
      <protection hidden="1"/>
    </xf>
    <xf numFmtId="185" fontId="1" fillId="8" borderId="23" xfId="0" applyNumberFormat="1" applyFont="1" applyFill="1" applyBorder="1" applyAlignment="1" applyProtection="1">
      <alignment horizontal="center" vertical="center"/>
      <protection hidden="1"/>
    </xf>
    <xf numFmtId="0" fontId="1" fillId="8" borderId="24" xfId="0" applyFont="1" applyFill="1" applyBorder="1" applyAlignment="1" applyProtection="1">
      <alignment horizontal="center" vertical="center"/>
      <protection hidden="1"/>
    </xf>
    <xf numFmtId="181" fontId="1" fillId="3" borderId="9" xfId="0" applyNumberFormat="1" applyFont="1" applyFill="1" applyBorder="1" applyAlignment="1" applyProtection="1">
      <alignment horizontal="center" vertical="center"/>
      <protection locked="0"/>
    </xf>
    <xf numFmtId="181" fontId="1" fillId="3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vertical="center"/>
    </xf>
    <xf numFmtId="49" fontId="37" fillId="3" borderId="11" xfId="0" applyNumberFormat="1" applyFont="1" applyFill="1" applyBorder="1" applyAlignment="1" applyProtection="1">
      <alignment horizontal="center" vertical="center"/>
      <protection locked="0"/>
    </xf>
    <xf numFmtId="49" fontId="1" fillId="3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vertical="center"/>
    </xf>
    <xf numFmtId="0" fontId="37" fillId="3" borderId="41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>
      <alignment vertical="center"/>
    </xf>
    <xf numFmtId="186" fontId="1" fillId="11" borderId="11" xfId="0" applyNumberFormat="1" applyFont="1" applyFill="1" applyBorder="1" applyAlignment="1" applyProtection="1">
      <alignment horizontal="center" vertical="center"/>
      <protection locked="0"/>
    </xf>
    <xf numFmtId="186" fontId="1" fillId="11" borderId="12" xfId="0" applyNumberFormat="1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7" fillId="3" borderId="9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49" fontId="1" fillId="11" borderId="11" xfId="0" applyNumberFormat="1" applyFont="1" applyFill="1" applyBorder="1" applyAlignment="1" applyProtection="1">
      <alignment horizontal="center" vertical="center"/>
      <protection locked="0"/>
    </xf>
    <xf numFmtId="49" fontId="1" fillId="11" borderId="12" xfId="0" applyNumberFormat="1" applyFont="1" applyFill="1" applyBorder="1" applyAlignment="1" applyProtection="1">
      <alignment horizontal="center" vertical="center"/>
      <protection locked="0"/>
    </xf>
    <xf numFmtId="14" fontId="1" fillId="3" borderId="39" xfId="0" applyNumberFormat="1" applyFont="1" applyFill="1" applyBorder="1" applyAlignment="1" applyProtection="1">
      <alignment horizontal="center" vertical="center"/>
      <protection locked="0"/>
    </xf>
    <xf numFmtId="14" fontId="1" fillId="3" borderId="40" xfId="0" applyNumberFormat="1" applyFont="1" applyFill="1" applyBorder="1" applyAlignment="1" applyProtection="1">
      <alignment horizontal="center" vertical="center"/>
      <protection locked="0"/>
    </xf>
    <xf numFmtId="0" fontId="6" fillId="6" borderId="16" xfId="1" applyFont="1" applyFill="1" applyBorder="1" applyAlignment="1" applyProtection="1">
      <alignment horizontal="center" vertical="center"/>
      <protection hidden="1"/>
    </xf>
    <xf numFmtId="0" fontId="0" fillId="5" borderId="16" xfId="0" applyFill="1" applyBorder="1" applyAlignment="1" applyProtection="1">
      <alignment horizontal="center" vertical="center"/>
      <protection hidden="1"/>
    </xf>
    <xf numFmtId="0" fontId="0" fillId="5" borderId="34" xfId="0" applyFill="1" applyBorder="1" applyAlignment="1" applyProtection="1">
      <alignment horizontal="center" vertical="center"/>
      <protection hidden="1"/>
    </xf>
    <xf numFmtId="186" fontId="1" fillId="3" borderId="9" xfId="0" applyNumberFormat="1" applyFont="1" applyFill="1" applyBorder="1" applyAlignment="1" applyProtection="1">
      <alignment horizontal="center" vertical="center"/>
      <protection locked="0"/>
    </xf>
    <xf numFmtId="186" fontId="1" fillId="3" borderId="10" xfId="0" applyNumberFormat="1" applyFont="1" applyFill="1" applyBorder="1" applyAlignment="1" applyProtection="1">
      <alignment horizontal="center" vertical="center"/>
      <protection locked="0"/>
    </xf>
    <xf numFmtId="187" fontId="1" fillId="3" borderId="11" xfId="0" applyNumberFormat="1" applyFont="1" applyFill="1" applyBorder="1" applyAlignment="1" applyProtection="1">
      <alignment horizontal="center" vertical="center"/>
      <protection locked="0"/>
    </xf>
    <xf numFmtId="187" fontId="1" fillId="3" borderId="12" xfId="0" applyNumberFormat="1" applyFont="1" applyFill="1" applyBorder="1" applyAlignment="1" applyProtection="1">
      <alignment horizontal="center" vertical="center"/>
      <protection locked="0"/>
    </xf>
    <xf numFmtId="184" fontId="1" fillId="3" borderId="11" xfId="0" applyNumberFormat="1" applyFont="1" applyFill="1" applyBorder="1" applyAlignment="1" applyProtection="1">
      <alignment horizontal="center" vertical="center"/>
      <protection locked="0"/>
    </xf>
    <xf numFmtId="184" fontId="1" fillId="3" borderId="12" xfId="0" applyNumberFormat="1" applyFont="1" applyFill="1" applyBorder="1" applyAlignment="1" applyProtection="1">
      <alignment horizontal="center" vertical="center"/>
      <protection locked="0"/>
    </xf>
    <xf numFmtId="179" fontId="1" fillId="3" borderId="37" xfId="0" applyNumberFormat="1" applyFont="1" applyFill="1" applyBorder="1" applyAlignment="1" applyProtection="1">
      <alignment horizontal="center" vertical="center"/>
      <protection locked="0"/>
    </xf>
    <xf numFmtId="179" fontId="1" fillId="3" borderId="38" xfId="0" applyNumberFormat="1" applyFont="1" applyFill="1" applyBorder="1" applyAlignment="1" applyProtection="1">
      <alignment horizontal="center" vertical="center"/>
      <protection locked="0"/>
    </xf>
    <xf numFmtId="176" fontId="1" fillId="3" borderId="11" xfId="0" applyNumberFormat="1" applyFont="1" applyFill="1" applyBorder="1" applyAlignment="1" applyProtection="1">
      <alignment horizontal="center" vertical="center"/>
      <protection locked="0"/>
    </xf>
    <xf numFmtId="176" fontId="1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hidden="1"/>
    </xf>
    <xf numFmtId="177" fontId="1" fillId="3" borderId="11" xfId="0" applyNumberFormat="1" applyFont="1" applyFill="1" applyBorder="1" applyAlignment="1" applyProtection="1">
      <alignment horizontal="center" vertical="center"/>
      <protection locked="0"/>
    </xf>
    <xf numFmtId="177" fontId="1" fillId="3" borderId="12" xfId="0" applyNumberFormat="1" applyFont="1" applyFill="1" applyBorder="1" applyAlignment="1" applyProtection="1">
      <alignment horizontal="center" vertical="center"/>
      <protection locked="0"/>
    </xf>
    <xf numFmtId="186" fontId="1" fillId="3" borderId="11" xfId="0" applyNumberFormat="1" applyFont="1" applyFill="1" applyBorder="1" applyAlignment="1" applyProtection="1">
      <alignment horizontal="center" vertical="center"/>
      <protection locked="0"/>
    </xf>
    <xf numFmtId="186" fontId="1" fillId="3" borderId="12" xfId="0" applyNumberFormat="1" applyFont="1" applyFill="1" applyBorder="1" applyAlignment="1" applyProtection="1">
      <alignment horizontal="center" vertical="center"/>
      <protection locked="0"/>
    </xf>
    <xf numFmtId="186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vertical="center"/>
      <protection hidden="1"/>
    </xf>
    <xf numFmtId="182" fontId="1" fillId="3" borderId="11" xfId="0" applyNumberFormat="1" applyFont="1" applyFill="1" applyBorder="1" applyAlignment="1" applyProtection="1">
      <alignment horizontal="center" vertical="center"/>
      <protection locked="0"/>
    </xf>
    <xf numFmtId="182" fontId="1" fillId="3" borderId="12" xfId="0" applyNumberFormat="1" applyFont="1" applyFill="1" applyBorder="1" applyAlignment="1" applyProtection="1">
      <alignment horizontal="center" vertical="center"/>
      <protection locked="0"/>
    </xf>
    <xf numFmtId="181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 vertical="center"/>
    </xf>
    <xf numFmtId="0" fontId="37" fillId="3" borderId="11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49" fontId="1" fillId="2" borderId="11" xfId="0" applyNumberFormat="1" applyFont="1" applyFill="1" applyBorder="1" applyAlignment="1" applyProtection="1">
      <alignment horizontal="center" vertical="center"/>
      <protection hidden="1"/>
    </xf>
    <xf numFmtId="49" fontId="1" fillId="2" borderId="12" xfId="0" applyNumberFormat="1" applyFont="1" applyFill="1" applyBorder="1" applyAlignment="1" applyProtection="1">
      <alignment horizontal="center" vertical="center"/>
      <protection hidden="1"/>
    </xf>
    <xf numFmtId="14" fontId="1" fillId="2" borderId="9" xfId="0" applyNumberFormat="1" applyFont="1" applyFill="1" applyBorder="1" applyAlignment="1" applyProtection="1">
      <alignment horizontal="center" vertical="center"/>
      <protection hidden="1"/>
    </xf>
    <xf numFmtId="14" fontId="1" fillId="2" borderId="10" xfId="0" applyNumberFormat="1" applyFont="1" applyFill="1" applyBorder="1" applyAlignment="1" applyProtection="1">
      <alignment horizontal="center" vertical="center"/>
      <protection hidden="1"/>
    </xf>
    <xf numFmtId="180" fontId="1" fillId="2" borderId="11" xfId="0" applyNumberFormat="1" applyFont="1" applyFill="1" applyBorder="1" applyAlignment="1" applyProtection="1">
      <alignment horizontal="center" vertical="center"/>
      <protection hidden="1"/>
    </xf>
    <xf numFmtId="180" fontId="1" fillId="2" borderId="12" xfId="0" applyNumberFormat="1" applyFont="1" applyFill="1" applyBorder="1" applyAlignment="1" applyProtection="1">
      <alignment horizontal="center" vertical="center"/>
      <protection hidden="1"/>
    </xf>
    <xf numFmtId="184" fontId="1" fillId="2" borderId="11" xfId="0" applyNumberFormat="1" applyFont="1" applyFill="1" applyBorder="1" applyAlignment="1" applyProtection="1">
      <alignment horizontal="center" vertical="center"/>
      <protection hidden="1"/>
    </xf>
    <xf numFmtId="184" fontId="1" fillId="2" borderId="12" xfId="0" applyNumberFormat="1" applyFont="1" applyFill="1" applyBorder="1" applyAlignment="1" applyProtection="1">
      <alignment horizontal="center" vertical="center"/>
      <protection hidden="1"/>
    </xf>
    <xf numFmtId="179" fontId="1" fillId="2" borderId="11" xfId="0" applyNumberFormat="1" applyFont="1" applyFill="1" applyBorder="1" applyAlignment="1" applyProtection="1">
      <alignment horizontal="center" vertical="center"/>
      <protection hidden="1"/>
    </xf>
    <xf numFmtId="179" fontId="1" fillId="2" borderId="12" xfId="0" applyNumberFormat="1" applyFont="1" applyFill="1" applyBorder="1" applyAlignment="1" applyProtection="1">
      <alignment horizontal="center" vertical="center"/>
      <protection hidden="1"/>
    </xf>
    <xf numFmtId="182" fontId="1" fillId="3" borderId="11" xfId="0" applyNumberFormat="1" applyFont="1" applyFill="1" applyBorder="1" applyAlignment="1" applyProtection="1">
      <alignment horizontal="center" vertical="center"/>
    </xf>
    <xf numFmtId="182" fontId="1" fillId="3" borderId="12" xfId="0" applyNumberFormat="1" applyFont="1" applyFill="1" applyBorder="1" applyAlignment="1" applyProtection="1">
      <alignment horizontal="center" vertical="center"/>
    </xf>
    <xf numFmtId="177" fontId="1" fillId="2" borderId="11" xfId="0" applyNumberFormat="1" applyFont="1" applyFill="1" applyBorder="1" applyAlignment="1" applyProtection="1">
      <alignment horizontal="center" vertical="center"/>
      <protection hidden="1"/>
    </xf>
    <xf numFmtId="177" fontId="1" fillId="2" borderId="12" xfId="0" applyNumberFormat="1" applyFont="1" applyFill="1" applyBorder="1" applyAlignment="1" applyProtection="1">
      <alignment horizontal="center" vertical="center"/>
      <protection hidden="1"/>
    </xf>
    <xf numFmtId="179" fontId="7" fillId="0" borderId="43" xfId="0" applyNumberFormat="1" applyFont="1" applyFill="1" applyBorder="1" applyAlignment="1" applyProtection="1">
      <alignment horizontal="center" vertical="center"/>
      <protection locked="0"/>
    </xf>
    <xf numFmtId="186" fontId="7" fillId="0" borderId="43" xfId="0" applyNumberFormat="1" applyFont="1" applyBorder="1" applyAlignment="1" applyProtection="1">
      <alignment horizontal="center" vertical="center"/>
    </xf>
  </cellXfs>
  <cellStyles count="4">
    <cellStyle name="常规" xfId="0" builtinId="0"/>
    <cellStyle name="常规 2" xfId="2"/>
    <cellStyle name="常规 3" xfId="3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9525</xdr:rowOff>
    </xdr:from>
    <xdr:to>
      <xdr:col>0</xdr:col>
      <xdr:colOff>469201</xdr:colOff>
      <xdr:row>0</xdr:row>
      <xdr:rowOff>304800</xdr:rowOff>
    </xdr:to>
    <xdr:pic>
      <xdr:nvPicPr>
        <xdr:cNvPr id="2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2400" y="9525"/>
          <a:ext cx="31623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123825</xdr:rowOff>
    </xdr:from>
    <xdr:to>
      <xdr:col>2</xdr:col>
      <xdr:colOff>676275</xdr:colOff>
      <xdr:row>7</xdr:row>
      <xdr:rowOff>114300</xdr:rowOff>
    </xdr:to>
    <xdr:grpSp>
      <xdr:nvGrpSpPr>
        <xdr:cNvPr id="19" name="组合 18"/>
        <xdr:cNvGrpSpPr/>
      </xdr:nvGrpSpPr>
      <xdr:grpSpPr>
        <a:xfrm>
          <a:off x="1457325" y="1085850"/>
          <a:ext cx="590550" cy="371475"/>
          <a:chOff x="1457325" y="295275"/>
          <a:chExt cx="590550" cy="381000"/>
        </a:xfrm>
      </xdr:grpSpPr>
      <xdr:cxnSp macro="">
        <xdr:nvCxnSpPr>
          <xdr:cNvPr id="3" name="直接连接符 2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9</xdr:row>
      <xdr:rowOff>123825</xdr:rowOff>
    </xdr:from>
    <xdr:to>
      <xdr:col>2</xdr:col>
      <xdr:colOff>657225</xdr:colOff>
      <xdr:row>11</xdr:row>
      <xdr:rowOff>114300</xdr:rowOff>
    </xdr:to>
    <xdr:grpSp>
      <xdr:nvGrpSpPr>
        <xdr:cNvPr id="20" name="组合 19"/>
        <xdr:cNvGrpSpPr/>
      </xdr:nvGrpSpPr>
      <xdr:grpSpPr>
        <a:xfrm>
          <a:off x="1438275" y="1809750"/>
          <a:ext cx="590550" cy="361950"/>
          <a:chOff x="1457325" y="295275"/>
          <a:chExt cx="590550" cy="381000"/>
        </a:xfrm>
      </xdr:grpSpPr>
      <xdr:cxnSp macro="">
        <xdr:nvCxnSpPr>
          <xdr:cNvPr id="21" name="直接连接符 20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直接连接符 21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13</xdr:row>
      <xdr:rowOff>104775</xdr:rowOff>
    </xdr:from>
    <xdr:to>
      <xdr:col>2</xdr:col>
      <xdr:colOff>657225</xdr:colOff>
      <xdr:row>15</xdr:row>
      <xdr:rowOff>104775</xdr:rowOff>
    </xdr:to>
    <xdr:grpSp>
      <xdr:nvGrpSpPr>
        <xdr:cNvPr id="23" name="组合 22"/>
        <xdr:cNvGrpSpPr/>
      </xdr:nvGrpSpPr>
      <xdr:grpSpPr>
        <a:xfrm>
          <a:off x="1438275" y="2514600"/>
          <a:ext cx="590550" cy="352425"/>
          <a:chOff x="1457325" y="295275"/>
          <a:chExt cx="590550" cy="381000"/>
        </a:xfrm>
      </xdr:grpSpPr>
      <xdr:cxnSp macro="">
        <xdr:nvCxnSpPr>
          <xdr:cNvPr id="24" name="直接连接符 23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接连接符 24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47625</xdr:colOff>
      <xdr:row>34</xdr:row>
      <xdr:rowOff>171450</xdr:rowOff>
    </xdr:from>
    <xdr:to>
      <xdr:col>3</xdr:col>
      <xdr:colOff>638175</xdr:colOff>
      <xdr:row>38</xdr:row>
      <xdr:rowOff>161925</xdr:rowOff>
    </xdr:to>
    <xdr:grpSp>
      <xdr:nvGrpSpPr>
        <xdr:cNvPr id="15" name="组合 14"/>
        <xdr:cNvGrpSpPr/>
      </xdr:nvGrpSpPr>
      <xdr:grpSpPr>
        <a:xfrm>
          <a:off x="2105025" y="6191250"/>
          <a:ext cx="590550" cy="676275"/>
          <a:chOff x="1457325" y="295275"/>
          <a:chExt cx="590550" cy="381000"/>
        </a:xfrm>
      </xdr:grpSpPr>
      <xdr:cxnSp macro="">
        <xdr:nvCxnSpPr>
          <xdr:cNvPr id="16" name="直接连接符 15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接连接符 16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642547</xdr:colOff>
      <xdr:row>1</xdr:row>
      <xdr:rowOff>152400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225" y="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123825</xdr:rowOff>
    </xdr:from>
    <xdr:to>
      <xdr:col>2</xdr:col>
      <xdr:colOff>676275</xdr:colOff>
      <xdr:row>7</xdr:row>
      <xdr:rowOff>114300</xdr:rowOff>
    </xdr:to>
    <xdr:grpSp>
      <xdr:nvGrpSpPr>
        <xdr:cNvPr id="2" name="组合 1"/>
        <xdr:cNvGrpSpPr/>
      </xdr:nvGrpSpPr>
      <xdr:grpSpPr>
        <a:xfrm>
          <a:off x="1457325" y="1085850"/>
          <a:ext cx="590550" cy="371475"/>
          <a:chOff x="1457325" y="295275"/>
          <a:chExt cx="590550" cy="381000"/>
        </a:xfrm>
      </xdr:grpSpPr>
      <xdr:cxnSp macro="">
        <xdr:nvCxnSpPr>
          <xdr:cNvPr id="3" name="直接连接符 2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9</xdr:row>
      <xdr:rowOff>123825</xdr:rowOff>
    </xdr:from>
    <xdr:to>
      <xdr:col>2</xdr:col>
      <xdr:colOff>657225</xdr:colOff>
      <xdr:row>11</xdr:row>
      <xdr:rowOff>114300</xdr:rowOff>
    </xdr:to>
    <xdr:grpSp>
      <xdr:nvGrpSpPr>
        <xdr:cNvPr id="5" name="组合 4"/>
        <xdr:cNvGrpSpPr/>
      </xdr:nvGrpSpPr>
      <xdr:grpSpPr>
        <a:xfrm>
          <a:off x="1438275" y="1809750"/>
          <a:ext cx="590550" cy="361950"/>
          <a:chOff x="1457325" y="295275"/>
          <a:chExt cx="590550" cy="381000"/>
        </a:xfrm>
      </xdr:grpSpPr>
      <xdr:cxnSp macro="">
        <xdr:nvCxnSpPr>
          <xdr:cNvPr id="6" name="直接连接符 5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接连接符 6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13</xdr:row>
      <xdr:rowOff>104775</xdr:rowOff>
    </xdr:from>
    <xdr:to>
      <xdr:col>2</xdr:col>
      <xdr:colOff>657225</xdr:colOff>
      <xdr:row>15</xdr:row>
      <xdr:rowOff>104775</xdr:rowOff>
    </xdr:to>
    <xdr:grpSp>
      <xdr:nvGrpSpPr>
        <xdr:cNvPr id="8" name="组合 7"/>
        <xdr:cNvGrpSpPr/>
      </xdr:nvGrpSpPr>
      <xdr:grpSpPr>
        <a:xfrm>
          <a:off x="1438275" y="2514600"/>
          <a:ext cx="590550" cy="352425"/>
          <a:chOff x="1457325" y="295275"/>
          <a:chExt cx="590550" cy="381000"/>
        </a:xfrm>
      </xdr:grpSpPr>
      <xdr:cxnSp macro="">
        <xdr:nvCxnSpPr>
          <xdr:cNvPr id="9" name="直接连接符 8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接连接符 9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47625</xdr:colOff>
      <xdr:row>34</xdr:row>
      <xdr:rowOff>171450</xdr:rowOff>
    </xdr:from>
    <xdr:to>
      <xdr:col>3</xdr:col>
      <xdr:colOff>638175</xdr:colOff>
      <xdr:row>38</xdr:row>
      <xdr:rowOff>161925</xdr:rowOff>
    </xdr:to>
    <xdr:grpSp>
      <xdr:nvGrpSpPr>
        <xdr:cNvPr id="11" name="组合 10"/>
        <xdr:cNvGrpSpPr/>
      </xdr:nvGrpSpPr>
      <xdr:grpSpPr>
        <a:xfrm>
          <a:off x="2105025" y="6191250"/>
          <a:ext cx="590550" cy="676275"/>
          <a:chOff x="1457325" y="295275"/>
          <a:chExt cx="590550" cy="381000"/>
        </a:xfrm>
      </xdr:grpSpPr>
      <xdr:cxnSp macro="">
        <xdr:nvCxnSpPr>
          <xdr:cNvPr id="12" name="直接连接符 11"/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接连接符 12"/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642547</xdr:colOff>
      <xdr:row>1</xdr:row>
      <xdr:rowOff>152400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225" y="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499672</xdr:colOff>
      <xdr:row>0</xdr:row>
      <xdr:rowOff>381000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3350" y="5715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499672</xdr:colOff>
      <xdr:row>0</xdr:row>
      <xdr:rowOff>381000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3350" y="57150"/>
          <a:ext cx="36576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46</xdr:row>
      <xdr:rowOff>133349</xdr:rowOff>
    </xdr:from>
    <xdr:to>
      <xdr:col>9</xdr:col>
      <xdr:colOff>0</xdr:colOff>
      <xdr:row>52</xdr:row>
      <xdr:rowOff>95250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62175" y="8038465"/>
          <a:ext cx="4639945" cy="991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352426</xdr:colOff>
      <xdr:row>17</xdr:row>
      <xdr:rowOff>9528</xdr:rowOff>
    </xdr:from>
    <xdr:to>
      <xdr:col>2</xdr:col>
      <xdr:colOff>333375</xdr:colOff>
      <xdr:row>27</xdr:row>
      <xdr:rowOff>104778</xdr:rowOff>
    </xdr:to>
    <xdr:sp macro="" textlink="">
      <xdr:nvSpPr>
        <xdr:cNvPr id="3" name="五边形 2"/>
        <xdr:cNvSpPr/>
      </xdr:nvSpPr>
      <xdr:spPr>
        <a:xfrm rot="16200000">
          <a:off x="466725" y="3514725"/>
          <a:ext cx="1809750" cy="666750"/>
        </a:xfrm>
        <a:prstGeom prst="homePlat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228600</xdr:colOff>
      <xdr:row>0</xdr:row>
      <xdr:rowOff>9525</xdr:rowOff>
    </xdr:from>
    <xdr:to>
      <xdr:col>0</xdr:col>
      <xdr:colOff>594922</xdr:colOff>
      <xdr:row>1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28600" y="9525"/>
          <a:ext cx="36576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46</xdr:row>
      <xdr:rowOff>133349</xdr:rowOff>
    </xdr:from>
    <xdr:to>
      <xdr:col>9</xdr:col>
      <xdr:colOff>0</xdr:colOff>
      <xdr:row>52</xdr:row>
      <xdr:rowOff>95250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62175" y="8038465"/>
          <a:ext cx="4639945" cy="991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352426</xdr:colOff>
      <xdr:row>17</xdr:row>
      <xdr:rowOff>9528</xdr:rowOff>
    </xdr:from>
    <xdr:to>
      <xdr:col>2</xdr:col>
      <xdr:colOff>333375</xdr:colOff>
      <xdr:row>27</xdr:row>
      <xdr:rowOff>104778</xdr:rowOff>
    </xdr:to>
    <xdr:sp macro="" textlink="">
      <xdr:nvSpPr>
        <xdr:cNvPr id="3" name="五边形 2"/>
        <xdr:cNvSpPr/>
      </xdr:nvSpPr>
      <xdr:spPr>
        <a:xfrm rot="16200000">
          <a:off x="466725" y="3514725"/>
          <a:ext cx="1809750" cy="666750"/>
        </a:xfrm>
        <a:prstGeom prst="homePlat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285750</xdr:colOff>
      <xdr:row>0</xdr:row>
      <xdr:rowOff>9525</xdr:rowOff>
    </xdr:from>
    <xdr:to>
      <xdr:col>0</xdr:col>
      <xdr:colOff>594922</xdr:colOff>
      <xdr:row>1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85750" y="9525"/>
          <a:ext cx="30861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Q51" sqref="Q51:T52"/>
    </sheetView>
  </sheetViews>
  <sheetFormatPr defaultColWidth="9" defaultRowHeight="13.5"/>
  <cols>
    <col min="1" max="1" width="9.25" customWidth="1"/>
    <col min="2" max="2" width="12.5" customWidth="1"/>
    <col min="3" max="8" width="9" hidden="1" customWidth="1"/>
    <col min="9" max="9" width="3.375" customWidth="1"/>
    <col min="10" max="10" width="2.75" customWidth="1"/>
    <col min="11" max="11" width="6.125" customWidth="1"/>
    <col min="12" max="12" width="4.625" customWidth="1"/>
    <col min="13" max="13" width="3.875" customWidth="1"/>
    <col min="14" max="14" width="5.375" customWidth="1"/>
    <col min="15" max="15" width="3" customWidth="1"/>
    <col min="16" max="16" width="9" customWidth="1"/>
    <col min="17" max="17" width="12.75" customWidth="1"/>
    <col min="18" max="18" width="7" customWidth="1"/>
    <col min="19" max="19" width="6.75" customWidth="1"/>
    <col min="20" max="20" width="6.875" customWidth="1"/>
  </cols>
  <sheetData>
    <row r="1" spans="1:23" ht="24" customHeight="1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9" t="s">
        <v>1</v>
      </c>
      <c r="R1" s="239"/>
      <c r="S1" s="239"/>
      <c r="T1" s="239"/>
    </row>
    <row r="2" spans="1:23" ht="21.75" customHeight="1">
      <c r="A2" s="241" t="s">
        <v>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3" ht="15" customHeight="1">
      <c r="A3" s="2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V3" s="156"/>
    </row>
    <row r="4" spans="1:23" ht="14.25">
      <c r="A4" s="126" t="s">
        <v>3</v>
      </c>
      <c r="B4" s="185" t="str">
        <f>Input!B5&amp;"/Voy"&amp;Input!B6</f>
        <v>${FOP.T_DRAFT_REPORT_INFO.vesselName}/Voy${FOP.T_DRAFT_REPORT_INFO.mv}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240" t="s">
        <v>4</v>
      </c>
      <c r="O4" s="232"/>
      <c r="P4" s="243" t="str">
        <f>Input!B8</f>
        <v>${FOP.T_DRAFT_REPORT_INFO.commodity}</v>
      </c>
      <c r="Q4" s="243"/>
      <c r="R4" s="243"/>
      <c r="S4" s="243"/>
      <c r="T4" s="243"/>
    </row>
    <row r="5" spans="1:23" ht="14.25">
      <c r="A5" s="127" t="s">
        <v>5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232" t="s">
        <v>6</v>
      </c>
      <c r="O5" s="232"/>
      <c r="P5" s="244"/>
      <c r="Q5" s="244"/>
      <c r="R5" s="244"/>
      <c r="S5" s="244"/>
      <c r="T5" s="244"/>
    </row>
    <row r="6" spans="1:23" ht="14.25">
      <c r="A6" s="188" t="s">
        <v>7</v>
      </c>
      <c r="B6" s="187"/>
      <c r="C6" s="187"/>
      <c r="D6" s="187"/>
      <c r="E6" s="187"/>
      <c r="F6" s="129"/>
      <c r="G6" s="129"/>
      <c r="H6" s="235" t="str">
        <f>IF(Input!F36=Input1!F36,TEXT(Input1!F36,"yyyy.mm.dd"),TEXT(Input!F36,"YYYY.mm.dd")&amp;" - "&amp;TEXT(Input1!F36,"yyyy.mm.dd"))</f>
        <v>2020.11.28</v>
      </c>
      <c r="I6" s="235"/>
      <c r="J6" s="235"/>
      <c r="K6" s="235"/>
      <c r="L6" s="235"/>
      <c r="M6" s="235"/>
      <c r="N6" s="188" t="s">
        <v>8</v>
      </c>
      <c r="O6" s="187"/>
      <c r="P6" s="187"/>
      <c r="Q6" s="180" t="str">
        <f>"京唐港"&amp;Input!B7</f>
        <v>京唐港40#</v>
      </c>
      <c r="R6" s="180"/>
      <c r="S6" s="180"/>
      <c r="T6" s="180"/>
      <c r="W6" s="52"/>
    </row>
    <row r="7" spans="1:23" ht="14.25">
      <c r="A7" s="187" t="s">
        <v>9</v>
      </c>
      <c r="B7" s="187"/>
      <c r="C7" s="187"/>
      <c r="D7" s="187"/>
      <c r="E7" s="187"/>
      <c r="F7" s="187"/>
      <c r="G7" s="187"/>
      <c r="H7" s="236"/>
      <c r="I7" s="236"/>
      <c r="J7" s="236"/>
      <c r="K7" s="236"/>
      <c r="L7" s="236"/>
      <c r="M7" s="236"/>
      <c r="N7" s="212" t="s">
        <v>10</v>
      </c>
      <c r="O7" s="212"/>
      <c r="P7" s="212"/>
      <c r="Q7" s="181"/>
      <c r="R7" s="181"/>
      <c r="S7" s="181"/>
      <c r="T7" s="181"/>
    </row>
    <row r="8" spans="1:23" ht="14.25">
      <c r="A8" s="128" t="s">
        <v>11</v>
      </c>
      <c r="B8" s="129"/>
      <c r="C8" s="130"/>
      <c r="D8" s="130"/>
      <c r="E8" s="130"/>
      <c r="F8" s="130"/>
      <c r="G8" s="130"/>
      <c r="H8" s="130"/>
      <c r="I8" s="185" t="str">
        <f>Input!B11</f>
        <v>京唐港</v>
      </c>
      <c r="J8" s="185"/>
      <c r="K8" s="185"/>
      <c r="L8" s="185"/>
      <c r="M8" s="185"/>
      <c r="N8" s="188" t="s">
        <v>12</v>
      </c>
      <c r="O8" s="234"/>
      <c r="P8" s="234"/>
      <c r="Q8" s="180" t="str">
        <f>Input!B12</f>
        <v>张家港</v>
      </c>
      <c r="R8" s="180"/>
      <c r="S8" s="180"/>
      <c r="T8" s="180"/>
    </row>
    <row r="9" spans="1:23" ht="14.25">
      <c r="A9" s="187" t="s">
        <v>13</v>
      </c>
      <c r="B9" s="187"/>
      <c r="C9" s="131"/>
      <c r="D9" s="131"/>
      <c r="E9" s="131"/>
      <c r="F9" s="131"/>
      <c r="G9" s="131"/>
      <c r="H9" s="131"/>
      <c r="I9" s="186"/>
      <c r="J9" s="186"/>
      <c r="K9" s="186"/>
      <c r="L9" s="186"/>
      <c r="M9" s="186"/>
      <c r="N9" s="212" t="s">
        <v>14</v>
      </c>
      <c r="O9" s="212"/>
      <c r="P9" s="212"/>
      <c r="Q9" s="181"/>
      <c r="R9" s="181"/>
      <c r="S9" s="181"/>
      <c r="T9" s="181"/>
    </row>
    <row r="10" spans="1:23" ht="14.25">
      <c r="A10" s="192" t="s">
        <v>15</v>
      </c>
      <c r="B10" s="187"/>
      <c r="C10" s="187"/>
      <c r="D10" s="187"/>
      <c r="E10" s="187"/>
      <c r="F10" s="187"/>
      <c r="G10" s="129"/>
      <c r="H10" s="129"/>
      <c r="I10" s="180" t="str">
        <f>Input!F33</f>
        <v>神华销售集团有限公司</v>
      </c>
      <c r="J10" s="180"/>
      <c r="K10" s="180"/>
      <c r="L10" s="180"/>
      <c r="M10" s="182"/>
      <c r="N10" s="183"/>
      <c r="O10" s="183"/>
      <c r="P10" s="183"/>
      <c r="Q10" s="182"/>
      <c r="R10" s="182"/>
      <c r="S10" s="182"/>
      <c r="T10" s="182"/>
    </row>
    <row r="11" spans="1:23" ht="14.25">
      <c r="A11" s="133" t="s">
        <v>16</v>
      </c>
      <c r="B11" s="133"/>
      <c r="C11" s="133"/>
      <c r="D11" s="133"/>
      <c r="E11" s="133"/>
      <c r="F11" s="133"/>
      <c r="G11" s="133"/>
      <c r="H11" s="133"/>
      <c r="I11" s="181"/>
      <c r="J11" s="181"/>
      <c r="K11" s="181"/>
      <c r="L11" s="181"/>
      <c r="M11" s="184"/>
      <c r="N11" s="184"/>
      <c r="O11" s="184"/>
      <c r="P11" s="184"/>
      <c r="Q11" s="184"/>
      <c r="R11" s="184"/>
      <c r="S11" s="184"/>
      <c r="T11" s="184"/>
    </row>
    <row r="12" spans="1:23" ht="4.5" customHeight="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57"/>
      <c r="R12" s="157"/>
      <c r="S12" s="134"/>
      <c r="T12" s="157"/>
    </row>
    <row r="13" spans="1:23" ht="17.25">
      <c r="A13" s="193" t="s">
        <v>17</v>
      </c>
      <c r="B13" s="194"/>
      <c r="C13" s="194"/>
      <c r="D13" s="194"/>
      <c r="E13" s="194"/>
      <c r="F13" s="194"/>
      <c r="G13" s="194"/>
      <c r="H13" s="194"/>
      <c r="I13" s="195"/>
      <c r="J13" s="195"/>
      <c r="K13" s="195"/>
      <c r="L13" s="143"/>
      <c r="M13" s="143"/>
      <c r="N13" s="143"/>
      <c r="O13" s="143"/>
      <c r="P13" s="143"/>
      <c r="Q13" s="158" t="s">
        <v>18</v>
      </c>
      <c r="R13" s="158"/>
      <c r="S13" s="196" t="s">
        <v>19</v>
      </c>
      <c r="T13" s="195"/>
    </row>
    <row r="14" spans="1:23" ht="14.25">
      <c r="A14" s="135" t="s">
        <v>20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53" t="s">
        <v>21</v>
      </c>
      <c r="M14" s="154" t="s">
        <v>22</v>
      </c>
      <c r="N14" s="135"/>
      <c r="O14" s="135"/>
      <c r="P14" s="135"/>
      <c r="Q14" s="159" t="str">
        <f>Input!F12</f>
        <v>${FOP.T_DRAFT_REPORT_INFO.waterDensity}</v>
      </c>
      <c r="R14" s="160"/>
      <c r="S14" s="233" t="str">
        <f>Input1!F12</f>
        <v>${FOP.T_DRAFT_REPORT_INFO.waterDensity}</v>
      </c>
      <c r="T14" s="233"/>
    </row>
    <row r="15" spans="1:23" ht="15">
      <c r="A15" s="226" t="s">
        <v>23</v>
      </c>
      <c r="B15" s="227"/>
      <c r="C15" s="227"/>
      <c r="D15" s="227"/>
      <c r="E15" s="227"/>
      <c r="F15" s="129"/>
      <c r="G15" s="129"/>
      <c r="H15" s="127"/>
      <c r="I15" s="127"/>
      <c r="J15" s="127"/>
      <c r="K15" s="127"/>
      <c r="L15" s="127"/>
      <c r="M15" s="127"/>
      <c r="N15" s="127"/>
      <c r="O15" s="127"/>
      <c r="P15" s="127"/>
      <c r="Q15" s="134"/>
      <c r="R15" s="134"/>
      <c r="S15" s="134"/>
      <c r="T15" s="134"/>
    </row>
    <row r="16" spans="1:23" ht="14.25">
      <c r="A16" s="187" t="s">
        <v>24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34"/>
      <c r="R16" s="134"/>
      <c r="S16" s="134"/>
      <c r="T16" s="134"/>
    </row>
    <row r="17" spans="1:20" ht="14.25">
      <c r="A17" s="188" t="s">
        <v>25</v>
      </c>
      <c r="B17" s="187"/>
      <c r="C17" s="187"/>
      <c r="D17" s="187"/>
      <c r="E17" s="187"/>
      <c r="F17" s="187"/>
      <c r="G17" s="187"/>
      <c r="H17" s="187"/>
      <c r="I17" s="127"/>
      <c r="J17" s="127"/>
      <c r="K17" s="127"/>
      <c r="L17" s="127"/>
      <c r="M17" s="127"/>
      <c r="N17" s="127"/>
      <c r="O17" s="127"/>
      <c r="P17" s="127"/>
      <c r="Q17" s="176" t="e">
        <f>calculate!F7</f>
        <v>#VALUE!</v>
      </c>
      <c r="R17" s="161"/>
      <c r="S17" s="176" t="e">
        <f>calculate1!F7</f>
        <v>#VALUE!</v>
      </c>
      <c r="T17" s="177"/>
    </row>
    <row r="18" spans="1:20" ht="14.25">
      <c r="A18" s="129" t="s">
        <v>26</v>
      </c>
      <c r="B18" s="129"/>
      <c r="C18" s="129"/>
      <c r="D18" s="129"/>
      <c r="E18" s="129"/>
      <c r="F18" s="127"/>
      <c r="G18" s="128" t="s">
        <v>27</v>
      </c>
      <c r="H18" s="136"/>
      <c r="I18" s="189" t="s">
        <v>28</v>
      </c>
      <c r="J18" s="190"/>
      <c r="K18" s="190"/>
      <c r="L18" s="190"/>
      <c r="M18" s="190"/>
      <c r="N18" s="190"/>
      <c r="O18" s="190"/>
      <c r="P18" s="190"/>
      <c r="Q18" s="178"/>
      <c r="R18" s="161"/>
      <c r="S18" s="178"/>
      <c r="T18" s="179"/>
    </row>
    <row r="19" spans="1:20" ht="14.25">
      <c r="A19" s="188" t="s">
        <v>29</v>
      </c>
      <c r="B19" s="187"/>
      <c r="C19" s="187"/>
      <c r="D19" s="187"/>
      <c r="E19" s="187"/>
      <c r="F19" s="187"/>
      <c r="G19" s="187"/>
      <c r="H19" s="187"/>
      <c r="I19" s="127"/>
      <c r="J19" s="127"/>
      <c r="K19" s="127"/>
      <c r="L19" s="127"/>
      <c r="M19" s="127"/>
      <c r="N19" s="127"/>
      <c r="O19" s="127"/>
      <c r="P19" s="127"/>
      <c r="Q19" s="218" t="e">
        <f>calculate!F11</f>
        <v>#VALUE!</v>
      </c>
      <c r="R19" s="161"/>
      <c r="S19" s="176" t="e">
        <f>calculate1!F11</f>
        <v>#VALUE!</v>
      </c>
      <c r="T19" s="177"/>
    </row>
    <row r="20" spans="1:20" ht="14.25">
      <c r="A20" s="187" t="s">
        <v>30</v>
      </c>
      <c r="B20" s="187"/>
      <c r="C20" s="187"/>
      <c r="D20" s="187"/>
      <c r="E20" s="187"/>
      <c r="F20" s="191" t="s">
        <v>31</v>
      </c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218"/>
      <c r="R20" s="161"/>
      <c r="S20" s="178"/>
      <c r="T20" s="179"/>
    </row>
    <row r="21" spans="1:20" ht="14.25">
      <c r="A21" s="128" t="s">
        <v>32</v>
      </c>
      <c r="B21" s="129"/>
      <c r="C21" s="129"/>
      <c r="D21" s="129"/>
      <c r="E21" s="232" t="s">
        <v>33</v>
      </c>
      <c r="F21" s="232"/>
      <c r="G21" s="232"/>
      <c r="H21" s="129"/>
      <c r="I21" s="127"/>
      <c r="J21" s="127"/>
      <c r="K21" s="127"/>
      <c r="L21" s="127"/>
      <c r="M21" s="127"/>
      <c r="N21" s="127"/>
      <c r="O21" s="127"/>
      <c r="P21" s="127"/>
      <c r="Q21" s="219" t="e">
        <f>calculate!B14-calculate!E15</f>
        <v>#VALUE!</v>
      </c>
      <c r="R21" s="161"/>
      <c r="S21" s="176" t="e">
        <f>calculate1!B14-calculate1!E15</f>
        <v>#VALUE!</v>
      </c>
      <c r="T21" s="177"/>
    </row>
    <row r="22" spans="1:20" ht="14.25">
      <c r="A22" s="187" t="s">
        <v>34</v>
      </c>
      <c r="B22" s="187"/>
      <c r="C22" s="187"/>
      <c r="D22" s="191" t="s">
        <v>28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219"/>
      <c r="R22" s="161"/>
      <c r="S22" s="178"/>
      <c r="T22" s="179"/>
    </row>
    <row r="23" spans="1:20" ht="14.25">
      <c r="A23" s="128" t="s">
        <v>35</v>
      </c>
      <c r="B23" s="129"/>
      <c r="C23" s="129"/>
      <c r="D23" s="129"/>
      <c r="E23" s="232" t="s">
        <v>33</v>
      </c>
      <c r="F23" s="232"/>
      <c r="G23" s="232"/>
      <c r="H23" s="129"/>
      <c r="I23" s="127"/>
      <c r="J23" s="127"/>
      <c r="K23" s="127"/>
      <c r="L23" s="127"/>
      <c r="M23" s="127"/>
      <c r="N23" s="127"/>
      <c r="O23" s="127"/>
      <c r="P23" s="127"/>
      <c r="Q23" s="218" t="e">
        <f>calculate!B16-calculate!E15</f>
        <v>#VALUE!</v>
      </c>
      <c r="R23" s="161"/>
      <c r="S23" s="176" t="e">
        <f>calculate1!B16-calculate1!E15</f>
        <v>#VALUE!</v>
      </c>
      <c r="T23" s="177"/>
    </row>
    <row r="24" spans="1:20" ht="14.25">
      <c r="A24" s="129" t="s">
        <v>36</v>
      </c>
      <c r="B24" s="129"/>
      <c r="C24" s="129"/>
      <c r="D24" s="129"/>
      <c r="E24" s="129"/>
      <c r="F24" s="129"/>
      <c r="G24" s="127"/>
      <c r="H24" s="128" t="s">
        <v>37</v>
      </c>
      <c r="I24" s="190" t="s">
        <v>28</v>
      </c>
      <c r="J24" s="190"/>
      <c r="K24" s="190"/>
      <c r="L24" s="190"/>
      <c r="M24" s="190"/>
      <c r="N24" s="190"/>
      <c r="O24" s="190"/>
      <c r="P24" s="190"/>
      <c r="Q24" s="218"/>
      <c r="R24" s="161"/>
      <c r="S24" s="178"/>
      <c r="T24" s="179"/>
    </row>
    <row r="25" spans="1:20" ht="14.25">
      <c r="A25" s="188" t="s">
        <v>38</v>
      </c>
      <c r="B25" s="187"/>
      <c r="C25" s="187"/>
      <c r="D25" s="187"/>
      <c r="E25" s="187"/>
      <c r="F25" s="187"/>
      <c r="G25" s="187"/>
      <c r="H25" s="187"/>
      <c r="I25" s="127"/>
      <c r="J25" s="127"/>
      <c r="K25" s="127"/>
      <c r="L25" s="127"/>
      <c r="M25" s="127"/>
      <c r="N25" s="127"/>
      <c r="O25" s="127"/>
      <c r="P25" s="127"/>
      <c r="Q25" s="218" t="e">
        <f>calculate!H12</f>
        <v>#VALUE!</v>
      </c>
      <c r="R25" s="161"/>
      <c r="S25" s="176" t="e">
        <f>calculate1!H12</f>
        <v>#VALUE!</v>
      </c>
      <c r="T25" s="177"/>
    </row>
    <row r="26" spans="1:20" ht="14.25">
      <c r="A26" s="187" t="s">
        <v>39</v>
      </c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128" t="s">
        <v>40</v>
      </c>
      <c r="M26" s="136"/>
      <c r="N26" s="136"/>
      <c r="O26" s="136"/>
      <c r="P26" s="136"/>
      <c r="Q26" s="218"/>
      <c r="R26" s="161"/>
      <c r="S26" s="178"/>
      <c r="T26" s="179"/>
    </row>
    <row r="27" spans="1:20" ht="14.25">
      <c r="A27" s="188" t="s">
        <v>41</v>
      </c>
      <c r="B27" s="187"/>
      <c r="C27" s="187"/>
      <c r="D27" s="187"/>
      <c r="E27" s="187"/>
      <c r="F27" s="187"/>
      <c r="G27" s="187"/>
      <c r="H27" s="187"/>
      <c r="I27" s="187"/>
      <c r="J27" s="127"/>
      <c r="K27" s="127"/>
      <c r="L27" s="127"/>
      <c r="M27" s="127"/>
      <c r="N27" s="127"/>
      <c r="O27" s="127"/>
      <c r="P27" s="127"/>
      <c r="Q27" s="210" t="e">
        <f>calculate!G21</f>
        <v>#VALUE!</v>
      </c>
      <c r="R27" s="162"/>
      <c r="S27" s="205" t="e">
        <f>calculate1!G21</f>
        <v>#VALUE!</v>
      </c>
      <c r="T27" s="205"/>
    </row>
    <row r="28" spans="1:20" ht="14.25">
      <c r="A28" s="129" t="s">
        <v>42</v>
      </c>
      <c r="B28" s="129"/>
      <c r="C28" s="129"/>
      <c r="D28" s="129"/>
      <c r="E28" s="129"/>
      <c r="F28" s="129"/>
      <c r="G28" s="129"/>
      <c r="H28" s="129"/>
      <c r="I28" s="129"/>
      <c r="J28" s="127"/>
      <c r="K28" s="128" t="s">
        <v>43</v>
      </c>
      <c r="L28" s="189" t="s">
        <v>40</v>
      </c>
      <c r="M28" s="190"/>
      <c r="N28" s="190"/>
      <c r="O28" s="190"/>
      <c r="P28" s="190"/>
      <c r="Q28" s="210"/>
      <c r="R28" s="162"/>
      <c r="S28" s="206"/>
      <c r="T28" s="206"/>
    </row>
    <row r="29" spans="1:20" ht="15">
      <c r="A29" s="226" t="s">
        <v>44</v>
      </c>
      <c r="B29" s="227"/>
      <c r="C29" s="227"/>
      <c r="D29" s="227"/>
      <c r="E29" s="227"/>
      <c r="F29" s="227"/>
      <c r="G29" s="227"/>
      <c r="H29" s="227"/>
      <c r="I29" s="227"/>
      <c r="J29" s="227"/>
      <c r="K29" s="230"/>
      <c r="L29" s="231"/>
      <c r="M29" s="231"/>
      <c r="N29" s="231"/>
      <c r="O29" s="155"/>
      <c r="P29" s="127"/>
      <c r="Q29" s="210" t="e">
        <f>calculate!G26</f>
        <v>#VALUE!</v>
      </c>
      <c r="R29" s="162"/>
      <c r="S29" s="207" t="e">
        <f>calculate1!G26</f>
        <v>#VALUE!</v>
      </c>
      <c r="T29" s="208"/>
    </row>
    <row r="30" spans="1:20" ht="14.25">
      <c r="A30" s="129" t="s">
        <v>45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88" t="s">
        <v>46</v>
      </c>
      <c r="N30" s="221"/>
      <c r="O30" s="221"/>
      <c r="P30" s="221"/>
      <c r="Q30" s="210"/>
      <c r="R30" s="162"/>
      <c r="S30" s="206"/>
      <c r="T30" s="209"/>
    </row>
    <row r="31" spans="1:20" ht="6" customHeight="1">
      <c r="A31" s="228"/>
      <c r="B31" s="229"/>
      <c r="C31" s="229"/>
      <c r="D31" s="229"/>
      <c r="E31" s="229"/>
      <c r="F31" s="229"/>
      <c r="G31" s="229"/>
      <c r="H31" s="229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63"/>
      <c r="T31" s="163"/>
    </row>
    <row r="32" spans="1:20" ht="14.25">
      <c r="A32" s="138" t="s">
        <v>47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210" t="e">
        <f>calculate!E37</f>
        <v>#VALUE!</v>
      </c>
      <c r="R32" s="162"/>
      <c r="S32" s="214" t="e">
        <f>calculate1!E37</f>
        <v>#VALUE!</v>
      </c>
      <c r="T32" s="215"/>
    </row>
    <row r="33" spans="1:20" ht="14.25">
      <c r="A33" s="129" t="s">
        <v>48</v>
      </c>
      <c r="B33" s="191" t="s">
        <v>49</v>
      </c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210"/>
      <c r="R33" s="162"/>
      <c r="S33" s="211"/>
      <c r="T33" s="211"/>
    </row>
    <row r="34" spans="1:20" ht="14.25">
      <c r="A34" s="138" t="s">
        <v>50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210">
        <f>calculate!B40</f>
        <v>160</v>
      </c>
      <c r="R34" s="162"/>
      <c r="S34" s="210">
        <f>calculate1!B40</f>
        <v>160</v>
      </c>
      <c r="T34" s="211"/>
    </row>
    <row r="35" spans="1:20" ht="14.25">
      <c r="A35" s="187" t="s">
        <v>51</v>
      </c>
      <c r="B35" s="187"/>
      <c r="C35" s="187"/>
      <c r="D35" s="191" t="s">
        <v>37</v>
      </c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210"/>
      <c r="R35" s="162"/>
      <c r="S35" s="211"/>
      <c r="T35" s="211"/>
    </row>
    <row r="36" spans="1:20" ht="14.25">
      <c r="A36" s="188" t="s">
        <v>52</v>
      </c>
      <c r="B36" s="187"/>
      <c r="C36" s="187"/>
      <c r="D36" s="187"/>
      <c r="E36" s="187"/>
      <c r="F36" s="129"/>
      <c r="G36" s="129"/>
      <c r="H36" s="127"/>
      <c r="I36" s="127"/>
      <c r="J36" s="127"/>
      <c r="K36" s="127"/>
      <c r="L36" s="127"/>
      <c r="M36" s="127"/>
      <c r="N36" s="127"/>
      <c r="O36" s="127"/>
      <c r="P36" s="127"/>
      <c r="Q36" s="210">
        <f>calculate!B42</f>
        <v>16198.5</v>
      </c>
      <c r="R36" s="162"/>
      <c r="S36" s="210">
        <f>calculate1!B42</f>
        <v>16198.5</v>
      </c>
      <c r="T36" s="211"/>
    </row>
    <row r="37" spans="1:20" ht="14.25">
      <c r="A37" s="187" t="s">
        <v>53</v>
      </c>
      <c r="B37" s="187"/>
      <c r="C37" s="187"/>
      <c r="D37" s="187"/>
      <c r="E37" s="191" t="s">
        <v>37</v>
      </c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210"/>
      <c r="R37" s="162"/>
      <c r="S37" s="211"/>
      <c r="T37" s="211"/>
    </row>
    <row r="38" spans="1:20" ht="14.25">
      <c r="A38" s="138" t="s">
        <v>54</v>
      </c>
      <c r="B38" s="127" t="s">
        <v>43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220" t="str">
        <f>calculate!B44</f>
        <v>${FOP.T_DRAFT_EXT_INFO.other.I}</v>
      </c>
      <c r="R38" s="164"/>
      <c r="S38" s="210" t="str">
        <f>calculate1!B44</f>
        <v>${FOP.T_DRAFT_EXT_INFO.other.F}</v>
      </c>
      <c r="T38" s="211"/>
    </row>
    <row r="39" spans="1:20" ht="14.25">
      <c r="A39" s="187" t="s">
        <v>55</v>
      </c>
      <c r="B39" s="187"/>
      <c r="C39" s="187"/>
      <c r="D39" s="191" t="s">
        <v>37</v>
      </c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220"/>
      <c r="R39" s="164"/>
      <c r="S39" s="211"/>
      <c r="T39" s="211"/>
    </row>
    <row r="40" spans="1:20" ht="15">
      <c r="A40" s="226" t="s">
        <v>56</v>
      </c>
      <c r="B40" s="227"/>
      <c r="C40" s="227"/>
      <c r="D40" s="227"/>
      <c r="E40" s="227"/>
      <c r="F40" s="129"/>
      <c r="G40" s="129"/>
      <c r="H40" s="127"/>
      <c r="I40" s="127"/>
      <c r="J40" s="127"/>
      <c r="K40" s="127"/>
      <c r="L40" s="127"/>
      <c r="M40" s="127"/>
      <c r="N40" s="127"/>
      <c r="O40" s="127"/>
      <c r="P40" s="127"/>
      <c r="Q40" s="210">
        <f>calculate!B46</f>
        <v>16358.5</v>
      </c>
      <c r="R40" s="162"/>
      <c r="S40" s="210">
        <f>calculate1!B46</f>
        <v>16358.5</v>
      </c>
      <c r="T40" s="211"/>
    </row>
    <row r="41" spans="1:20" ht="14.25">
      <c r="A41" s="187" t="s">
        <v>57</v>
      </c>
      <c r="B41" s="187"/>
      <c r="C41" s="187"/>
      <c r="D41" s="187"/>
      <c r="E41" s="191" t="s">
        <v>37</v>
      </c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210"/>
      <c r="R41" s="162"/>
      <c r="S41" s="211"/>
      <c r="T41" s="211"/>
    </row>
    <row r="42" spans="1:20" ht="6.75" customHeight="1">
      <c r="A42" s="137"/>
      <c r="B42" s="137"/>
      <c r="C42" s="137"/>
      <c r="D42" s="137"/>
      <c r="E42" s="139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65"/>
      <c r="R42" s="165"/>
      <c r="S42" s="166"/>
      <c r="T42" s="166"/>
    </row>
    <row r="43" spans="1:20" ht="14.25">
      <c r="A43" s="188" t="s">
        <v>58</v>
      </c>
      <c r="B43" s="187"/>
      <c r="C43" s="187"/>
      <c r="D43" s="187"/>
      <c r="E43" s="187"/>
      <c r="F43" s="187"/>
      <c r="G43" s="187"/>
      <c r="H43" s="187"/>
      <c r="I43" s="127"/>
      <c r="J43" s="127"/>
      <c r="K43" s="127"/>
      <c r="L43" s="127"/>
      <c r="M43" s="127"/>
      <c r="N43" s="127"/>
      <c r="O43" s="127"/>
      <c r="P43" s="127"/>
      <c r="Q43" s="200" t="str">
        <f>Input!F6</f>
        <v>${FOP.T_DRAFT_REPORT_INFO.lightShip}</v>
      </c>
      <c r="R43" s="201"/>
      <c r="S43" s="201"/>
      <c r="T43" s="201"/>
    </row>
    <row r="44" spans="1:20" ht="14.25">
      <c r="A44" s="129" t="s">
        <v>59</v>
      </c>
      <c r="B44" s="132"/>
      <c r="C44" s="141"/>
      <c r="D44" s="141"/>
      <c r="E44" s="141"/>
      <c r="F44" s="141"/>
      <c r="G44" s="141"/>
      <c r="H44" s="141"/>
      <c r="I44" s="141" t="s">
        <v>60</v>
      </c>
      <c r="J44" s="141"/>
      <c r="K44" s="141" t="s">
        <v>60</v>
      </c>
      <c r="L44" s="141" t="s">
        <v>60</v>
      </c>
      <c r="M44" s="141"/>
      <c r="N44" s="141" t="s">
        <v>60</v>
      </c>
      <c r="O44" s="141"/>
      <c r="P44" s="141" t="s">
        <v>60</v>
      </c>
      <c r="Q44" s="202"/>
      <c r="R44" s="179"/>
      <c r="S44" s="179"/>
      <c r="T44" s="179"/>
    </row>
    <row r="45" spans="1:20" ht="14.25">
      <c r="A45" s="188" t="s">
        <v>61</v>
      </c>
      <c r="B45" s="187"/>
      <c r="C45" s="187"/>
      <c r="D45" s="187"/>
      <c r="E45" s="187"/>
      <c r="F45" s="187"/>
      <c r="G45" s="187"/>
      <c r="H45" s="187"/>
      <c r="I45" s="127"/>
      <c r="J45" s="127"/>
      <c r="K45" s="127"/>
      <c r="L45" s="127"/>
      <c r="M45" s="127"/>
      <c r="N45" s="127"/>
      <c r="O45" s="127"/>
      <c r="P45" s="127"/>
      <c r="Q45" s="197" t="str">
        <f>Input!F10</f>
        <v>${FOP.T_DRAFT_REPORT_INFO.shipConstant}</v>
      </c>
      <c r="R45" s="198"/>
      <c r="S45" s="198"/>
      <c r="T45" s="198"/>
    </row>
    <row r="46" spans="1:20" ht="14.25">
      <c r="A46" s="187" t="s">
        <v>62</v>
      </c>
      <c r="B46" s="187"/>
      <c r="C46" s="141"/>
      <c r="D46" s="141"/>
      <c r="E46" s="141"/>
      <c r="F46" s="141"/>
      <c r="G46" s="141"/>
      <c r="H46" s="141"/>
      <c r="I46" s="141" t="s">
        <v>60</v>
      </c>
      <c r="J46" s="141"/>
      <c r="K46" s="141" t="s">
        <v>60</v>
      </c>
      <c r="L46" s="141" t="s">
        <v>60</v>
      </c>
      <c r="M46" s="141"/>
      <c r="N46" s="141" t="s">
        <v>60</v>
      </c>
      <c r="O46" s="141"/>
      <c r="P46" s="141" t="s">
        <v>60</v>
      </c>
      <c r="Q46" s="199"/>
      <c r="R46" s="179"/>
      <c r="S46" s="179"/>
      <c r="T46" s="179"/>
    </row>
    <row r="47" spans="1:20" ht="7.5" customHeight="1">
      <c r="A47" s="137"/>
      <c r="B47" s="137"/>
      <c r="C47" s="137"/>
      <c r="D47" s="137"/>
      <c r="E47" s="139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65"/>
      <c r="R47" s="165"/>
      <c r="S47" s="167"/>
      <c r="T47" s="167"/>
    </row>
    <row r="48" spans="1:20" ht="15">
      <c r="A48" s="193" t="s">
        <v>63</v>
      </c>
      <c r="B48" s="194"/>
      <c r="C48" s="194"/>
      <c r="D48" s="194"/>
      <c r="E48" s="194"/>
      <c r="F48" s="142"/>
      <c r="G48" s="142"/>
      <c r="H48" s="143"/>
      <c r="I48" s="143"/>
      <c r="J48" s="143"/>
      <c r="K48" s="143"/>
      <c r="L48" s="143"/>
      <c r="M48" s="143"/>
      <c r="N48" s="143"/>
      <c r="O48" s="143"/>
      <c r="P48" s="143"/>
      <c r="Q48" s="222" t="e">
        <f>"---"&amp;ROUND(ABS((Q29-Q40)-(S29-S40)),0)&amp;"---"&amp;"MT"</f>
        <v>#VALUE!</v>
      </c>
      <c r="R48" s="222"/>
      <c r="S48" s="222"/>
      <c r="T48" s="222"/>
    </row>
    <row r="49" spans="1:20" ht="14.25">
      <c r="A49" s="224" t="s">
        <v>64</v>
      </c>
      <c r="B49" s="224"/>
      <c r="C49" s="224"/>
      <c r="D49" s="224"/>
      <c r="E49" s="225" t="s">
        <v>37</v>
      </c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23"/>
      <c r="R49" s="223"/>
      <c r="S49" s="223"/>
      <c r="T49" s="223"/>
    </row>
    <row r="50" spans="1:20" ht="7.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</row>
    <row r="51" spans="1:20" ht="14.25">
      <c r="A51" s="145" t="s">
        <v>65</v>
      </c>
      <c r="B51" s="146"/>
      <c r="C51" s="147"/>
      <c r="D51" s="147"/>
      <c r="E51" s="147"/>
      <c r="F51" s="147"/>
      <c r="G51" s="147"/>
      <c r="H51" s="147"/>
      <c r="I51" s="216"/>
      <c r="J51" s="216"/>
      <c r="K51" s="216"/>
      <c r="L51" s="216"/>
      <c r="M51" s="216"/>
      <c r="N51" s="225" t="s">
        <v>66</v>
      </c>
      <c r="O51" s="204"/>
      <c r="P51" s="204"/>
      <c r="Q51" s="212"/>
      <c r="R51" s="212"/>
      <c r="S51" s="212"/>
      <c r="T51" s="212"/>
    </row>
    <row r="52" spans="1:20" ht="14.25">
      <c r="A52" s="148" t="s">
        <v>67</v>
      </c>
      <c r="B52" s="149"/>
      <c r="C52" s="149"/>
      <c r="D52" s="149"/>
      <c r="E52" s="149"/>
      <c r="F52" s="149"/>
      <c r="G52" s="150"/>
      <c r="H52" s="150"/>
      <c r="I52" s="203"/>
      <c r="J52" s="203"/>
      <c r="K52" s="203"/>
      <c r="L52" s="203"/>
      <c r="M52" s="203"/>
      <c r="N52" s="204" t="s">
        <v>68</v>
      </c>
      <c r="O52" s="204"/>
      <c r="P52" s="204"/>
      <c r="Q52" s="213"/>
      <c r="R52" s="213"/>
      <c r="S52" s="213"/>
      <c r="T52" s="213"/>
    </row>
    <row r="53" spans="1:20" ht="14.25">
      <c r="A53" s="145" t="s">
        <v>69</v>
      </c>
      <c r="B53" s="146" t="s">
        <v>70</v>
      </c>
      <c r="C53" s="147"/>
      <c r="D53" s="147"/>
      <c r="E53" s="147"/>
      <c r="F53" s="147"/>
      <c r="G53" s="147"/>
      <c r="H53" s="147"/>
      <c r="I53" s="216" t="str">
        <f>Input!F13&amp;"                     "&amp;Input!F14</f>
        <v>SC4589(CS)-050-02JS                     SC4589(CS)-050-11-01</v>
      </c>
      <c r="J53" s="216"/>
      <c r="K53" s="216"/>
      <c r="L53" s="216"/>
      <c r="M53" s="217"/>
      <c r="N53" s="217"/>
      <c r="O53" s="217"/>
      <c r="P53" s="217"/>
      <c r="Q53" s="217"/>
      <c r="R53" s="217"/>
      <c r="S53" s="217"/>
      <c r="T53" s="217"/>
    </row>
    <row r="54" spans="1:20" ht="14.25">
      <c r="A54" s="136"/>
      <c r="B54" s="151"/>
      <c r="C54" s="151"/>
      <c r="D54" s="151"/>
      <c r="E54" s="151"/>
      <c r="F54" s="151"/>
      <c r="G54" s="152"/>
      <c r="H54" s="152"/>
      <c r="I54" s="216"/>
      <c r="J54" s="216"/>
      <c r="K54" s="216"/>
      <c r="L54" s="216"/>
      <c r="M54" s="216"/>
      <c r="N54" s="141"/>
      <c r="O54" s="141"/>
      <c r="P54" s="141"/>
      <c r="Q54" s="141"/>
      <c r="R54" s="141"/>
      <c r="S54" s="141"/>
      <c r="T54" s="141"/>
    </row>
    <row r="56" spans="1:20" ht="12" customHeight="1"/>
  </sheetData>
  <sheetProtection selectLockedCells="1"/>
  <mergeCells count="93">
    <mergeCell ref="A1:P1"/>
    <mergeCell ref="Q1:T1"/>
    <mergeCell ref="N4:O4"/>
    <mergeCell ref="N5:O5"/>
    <mergeCell ref="A6:E6"/>
    <mergeCell ref="N6:P6"/>
    <mergeCell ref="A2:T3"/>
    <mergeCell ref="B4:M5"/>
    <mergeCell ref="P4:T5"/>
    <mergeCell ref="S14:T14"/>
    <mergeCell ref="A15:E15"/>
    <mergeCell ref="A7:G7"/>
    <mergeCell ref="N7:P7"/>
    <mergeCell ref="N8:P8"/>
    <mergeCell ref="A9:B9"/>
    <mergeCell ref="N9:P9"/>
    <mergeCell ref="H6:M7"/>
    <mergeCell ref="Q6:T7"/>
    <mergeCell ref="E21:G21"/>
    <mergeCell ref="A22:C22"/>
    <mergeCell ref="D22:P22"/>
    <mergeCell ref="E23:G23"/>
    <mergeCell ref="I24:P24"/>
    <mergeCell ref="A31:H31"/>
    <mergeCell ref="B33:P33"/>
    <mergeCell ref="A35:C35"/>
    <mergeCell ref="D35:P35"/>
    <mergeCell ref="A25:H25"/>
    <mergeCell ref="A26:K26"/>
    <mergeCell ref="A27:I27"/>
    <mergeCell ref="L28:P28"/>
    <mergeCell ref="A29:N29"/>
    <mergeCell ref="A36:E36"/>
    <mergeCell ref="A37:D37"/>
    <mergeCell ref="E37:P37"/>
    <mergeCell ref="A39:C39"/>
    <mergeCell ref="D39:P39"/>
    <mergeCell ref="A40:E40"/>
    <mergeCell ref="A41:D41"/>
    <mergeCell ref="E41:P41"/>
    <mergeCell ref="A43:H43"/>
    <mergeCell ref="A45:H45"/>
    <mergeCell ref="A46:B46"/>
    <mergeCell ref="A48:E48"/>
    <mergeCell ref="A49:D49"/>
    <mergeCell ref="E49:P49"/>
    <mergeCell ref="I51:M51"/>
    <mergeCell ref="N51:P51"/>
    <mergeCell ref="I53:T53"/>
    <mergeCell ref="I54:M54"/>
    <mergeCell ref="Q17:Q18"/>
    <mergeCell ref="Q19:Q20"/>
    <mergeCell ref="Q21:Q22"/>
    <mergeCell ref="Q23:Q24"/>
    <mergeCell ref="Q25:Q26"/>
    <mergeCell ref="Q27:Q28"/>
    <mergeCell ref="Q29:Q30"/>
    <mergeCell ref="Q32:Q33"/>
    <mergeCell ref="Q34:Q35"/>
    <mergeCell ref="Q36:Q37"/>
    <mergeCell ref="Q38:Q39"/>
    <mergeCell ref="Q40:Q41"/>
    <mergeCell ref="M30:P30"/>
    <mergeCell ref="Q48:T49"/>
    <mergeCell ref="Q45:T46"/>
    <mergeCell ref="Q43:T44"/>
    <mergeCell ref="I52:M52"/>
    <mergeCell ref="N52:P52"/>
    <mergeCell ref="S25:T26"/>
    <mergeCell ref="S27:T28"/>
    <mergeCell ref="S29:T30"/>
    <mergeCell ref="S38:T39"/>
    <mergeCell ref="S40:T41"/>
    <mergeCell ref="Q51:T52"/>
    <mergeCell ref="S32:T33"/>
    <mergeCell ref="S34:T35"/>
    <mergeCell ref="S36:T37"/>
    <mergeCell ref="S17:T18"/>
    <mergeCell ref="S19:T20"/>
    <mergeCell ref="S21:T22"/>
    <mergeCell ref="S23:T24"/>
    <mergeCell ref="Q8:T9"/>
    <mergeCell ref="I10:T11"/>
    <mergeCell ref="I8:M9"/>
    <mergeCell ref="A16:P16"/>
    <mergeCell ref="A17:H17"/>
    <mergeCell ref="I18:P18"/>
    <mergeCell ref="A19:H19"/>
    <mergeCell ref="A20:E20"/>
    <mergeCell ref="F20:P20"/>
    <mergeCell ref="A10:F10"/>
    <mergeCell ref="A13:K13"/>
    <mergeCell ref="S13:T13"/>
  </mergeCells>
  <phoneticPr fontId="53" type="noConversion"/>
  <printOptions horizontalCentered="1" verticalCentered="1"/>
  <pageMargins left="0.55069444444444404" right="0.47222222222222199" top="0.6" bottom="0.74791666666666701" header="0.31458333333333299" footer="0.31458333333333299"/>
  <pageSetup paperSize="9" orientation="portrait" horizontalDpi="200" verticalDpi="300"/>
  <headerFooter>
    <oddFooter>&amp;C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22" workbookViewId="0">
      <selection activeCell="H46" sqref="H46:I47"/>
    </sheetView>
  </sheetViews>
  <sheetFormatPr defaultColWidth="9" defaultRowHeight="13.5"/>
  <cols>
    <col min="1" max="4" width="9" style="86"/>
    <col min="5" max="5" width="10.375" style="86" customWidth="1"/>
    <col min="6" max="7" width="9.5" style="86" customWidth="1"/>
    <col min="8" max="8" width="8.75" style="86" customWidth="1"/>
    <col min="9" max="9" width="12.25" style="86" customWidth="1"/>
    <col min="10" max="12" width="9" style="86"/>
    <col min="13" max="13" width="9.5" style="86" customWidth="1"/>
    <col min="14" max="14" width="9" style="86"/>
    <col min="15" max="15" width="9.5" style="86" customWidth="1"/>
    <col min="16" max="16384" width="9" style="86"/>
  </cols>
  <sheetData>
    <row r="1" spans="1:17">
      <c r="B1" s="86" t="s">
        <v>71</v>
      </c>
      <c r="G1" s="280" t="s">
        <v>72</v>
      </c>
      <c r="H1" s="281"/>
      <c r="I1" s="281"/>
    </row>
    <row r="2" spans="1:17">
      <c r="B2" s="86" t="s">
        <v>73</v>
      </c>
    </row>
    <row r="4" spans="1:17" ht="23.25" customHeight="1">
      <c r="B4" s="88" t="s">
        <v>74</v>
      </c>
      <c r="C4" s="282" t="str">
        <f>Input!B5</f>
        <v>${FOP.T_DRAFT_REPORT_INFO.vesselName}</v>
      </c>
      <c r="D4" s="282"/>
      <c r="E4" s="282"/>
      <c r="F4" s="282"/>
      <c r="H4" s="89" t="s">
        <v>75</v>
      </c>
      <c r="I4" s="108">
        <f>Input!F36</f>
        <v>44163</v>
      </c>
    </row>
    <row r="5" spans="1:17" ht="12" customHeight="1">
      <c r="C5" s="87"/>
      <c r="D5" s="87"/>
      <c r="E5" s="87"/>
    </row>
    <row r="6" spans="1:17" ht="15">
      <c r="A6" s="90" t="s">
        <v>76</v>
      </c>
      <c r="B6" s="91" t="str">
        <f>Input!A19</f>
        <v>${FOP.T_DRAFT_REPORT_DETAIL.fp.I}</v>
      </c>
      <c r="E6" s="123" t="s">
        <v>77</v>
      </c>
      <c r="F6" s="93" t="s">
        <v>78</v>
      </c>
      <c r="H6" s="53" t="s">
        <v>79</v>
      </c>
      <c r="I6" s="109" t="e">
        <f>ROUND(D11-D7,3)</f>
        <v>#VALUE!</v>
      </c>
      <c r="K6" s="278"/>
      <c r="L6" s="278"/>
      <c r="N6" s="278"/>
      <c r="O6" s="278"/>
      <c r="P6" s="110"/>
    </row>
    <row r="7" spans="1:17" ht="15">
      <c r="A7" s="94" t="s">
        <v>80</v>
      </c>
      <c r="C7" s="95"/>
      <c r="D7" s="96" t="e">
        <f>SUM(B6+B8)/2</f>
        <v>#VALUE!</v>
      </c>
      <c r="E7" s="97" t="e">
        <f>ROUND(I6*Input!F7/(Input!F5-(ABS(Input!F7)+ABS(Input!F9))),3)</f>
        <v>#VALUE!</v>
      </c>
      <c r="F7" s="96" t="e">
        <f>D7+E7</f>
        <v>#VALUE!</v>
      </c>
      <c r="H7" s="53" t="s">
        <v>81</v>
      </c>
      <c r="I7" s="109" t="e">
        <f>ROUND(F11-F7,3)</f>
        <v>#VALUE!</v>
      </c>
      <c r="K7" s="278"/>
      <c r="L7" s="278"/>
      <c r="N7" s="278"/>
      <c r="O7" s="278"/>
      <c r="P7" s="110"/>
    </row>
    <row r="8" spans="1:17">
      <c r="A8" s="90" t="s">
        <v>82</v>
      </c>
      <c r="B8" s="91" t="str">
        <f>Input!D19</f>
        <v>${FOP.T_DRAFT_REPORT_DETAIL.fs.I}</v>
      </c>
      <c r="D8" s="98"/>
      <c r="F8" s="80"/>
      <c r="K8" s="277"/>
      <c r="L8" s="277"/>
      <c r="N8" s="278"/>
      <c r="O8" s="278"/>
    </row>
    <row r="9" spans="1:17">
      <c r="D9" s="53"/>
      <c r="F9" s="89"/>
      <c r="K9" s="278"/>
      <c r="L9" s="278"/>
      <c r="N9" s="278"/>
      <c r="O9" s="278"/>
    </row>
    <row r="10" spans="1:17" ht="14.25">
      <c r="A10" s="90" t="s">
        <v>76</v>
      </c>
      <c r="B10" s="91" t="str">
        <f>Input!A28</f>
        <v>${FOP.T_DRAFT_REPORT_DETAIL.ap.I}</v>
      </c>
      <c r="D10" s="53"/>
      <c r="E10" s="92" t="s">
        <v>83</v>
      </c>
      <c r="F10" s="93" t="s">
        <v>84</v>
      </c>
      <c r="G10" s="80" t="s">
        <v>85</v>
      </c>
      <c r="H10" s="279" t="e">
        <f>SUM(F15*6+F11+F7)/8</f>
        <v>#VALUE!</v>
      </c>
      <c r="I10" s="279"/>
      <c r="K10" s="278"/>
      <c r="L10" s="278"/>
      <c r="M10" s="278"/>
      <c r="N10" s="278"/>
    </row>
    <row r="11" spans="1:17" ht="15">
      <c r="A11" s="94" t="s">
        <v>86</v>
      </c>
      <c r="D11" s="99" t="e">
        <f>SUM(B10+B12)/2</f>
        <v>#VALUE!</v>
      </c>
      <c r="E11" s="97" t="e">
        <f>ROUND(I6*Input!F9/(Input!F5-(ABS(Input!F7)+ABS(Input!F9))),3)</f>
        <v>#VALUE!</v>
      </c>
      <c r="F11" s="96" t="e">
        <f>D11+E11</f>
        <v>#VALUE!</v>
      </c>
    </row>
    <row r="12" spans="1:17" ht="14.25">
      <c r="A12" s="90" t="s">
        <v>82</v>
      </c>
      <c r="B12" s="91" t="str">
        <f>Input!D28</f>
        <v>${FOP.T_DRAFT_REPORT_DETAIL.as.I}</v>
      </c>
      <c r="D12" s="100"/>
      <c r="F12" s="80"/>
      <c r="G12" s="80" t="s">
        <v>87</v>
      </c>
      <c r="H12" s="270" t="e">
        <f>ROUND(H10,3)-Input!F11</f>
        <v>#VALUE!</v>
      </c>
      <c r="I12" s="270"/>
    </row>
    <row r="13" spans="1:17">
      <c r="D13" s="53"/>
      <c r="F13" s="80"/>
      <c r="K13" s="111"/>
      <c r="M13" s="111"/>
      <c r="O13" s="112"/>
    </row>
    <row r="14" spans="1:17">
      <c r="A14" s="90" t="s">
        <v>76</v>
      </c>
      <c r="B14" s="91" t="str">
        <f>Input!A23</f>
        <v>${FOP.T_DRAFT_REPORT_DETAIL.mp.I}</v>
      </c>
      <c r="D14" s="53"/>
      <c r="E14" s="92" t="s">
        <v>88</v>
      </c>
      <c r="F14" s="93" t="s">
        <v>89</v>
      </c>
      <c r="K14" s="113"/>
      <c r="M14" s="113"/>
      <c r="O14" s="113"/>
    </row>
    <row r="15" spans="1:17" ht="14.25">
      <c r="A15" s="101" t="s">
        <v>90</v>
      </c>
      <c r="C15" s="95"/>
      <c r="D15" s="99" t="e">
        <f>SUM(B14+B16)/2</f>
        <v>#VALUE!</v>
      </c>
      <c r="E15" s="97" t="e">
        <f>ROUND(I6*Input!F8/(Input!F5-(ABS(Input!F7)+ABS(Input!F9))),3)</f>
        <v>#VALUE!</v>
      </c>
      <c r="F15" s="96" t="e">
        <f>D15+E15</f>
        <v>#VALUE!</v>
      </c>
      <c r="G15" s="80" t="s">
        <v>91</v>
      </c>
      <c r="H15" s="273" t="str">
        <f>Input!B33</f>
        <v>${FOP.T_DRAFT_REPORT_DETAIL.dispDraft.I}</v>
      </c>
      <c r="I15" s="273"/>
      <c r="K15" s="114"/>
      <c r="M15" s="95"/>
      <c r="O15" s="95"/>
      <c r="Q15" s="116"/>
    </row>
    <row r="16" spans="1:17">
      <c r="A16" s="90" t="s">
        <v>82</v>
      </c>
      <c r="B16" s="91" t="str">
        <f>Input!D23</f>
        <v>${FOP.T_DRAFT_REPORT_DETAIL.ms.I}</v>
      </c>
      <c r="D16" s="100"/>
      <c r="H16" s="274"/>
      <c r="I16" s="274"/>
      <c r="K16" s="95"/>
      <c r="M16" s="114"/>
    </row>
    <row r="17" spans="1:9">
      <c r="H17" s="275" t="str">
        <f>Input!B34</f>
        <v>${FOP.T_DRAFT_REPORT_DETAIL.roundDraft.I}</v>
      </c>
      <c r="I17" s="276"/>
    </row>
    <row r="18" spans="1:9">
      <c r="H18" s="276"/>
      <c r="I18" s="276"/>
    </row>
    <row r="19" spans="1:9">
      <c r="H19" s="102"/>
      <c r="I19" s="102"/>
    </row>
    <row r="20" spans="1:9">
      <c r="A20" s="253" t="s">
        <v>92</v>
      </c>
      <c r="B20" s="260" t="e">
        <f>TEXT(Input!F7,"0.000")&amp;"*"&amp;TEXT(I6,"0.000")</f>
        <v>#VALUE!</v>
      </c>
      <c r="C20" s="261"/>
      <c r="D20" s="261"/>
      <c r="E20" s="254" t="e">
        <f>IF(E7&lt;0,"="&amp;TEXT(E7,"0.000"),"= "&amp;TEXT(E7,"0.000"))</f>
        <v>#VALUE!</v>
      </c>
      <c r="G20" s="271" t="e">
        <f>ROUND(100*(H12-H15),1)&amp;"*"&amp;TEXT(Input!B35,"0.000")&amp;"="&amp;ROUND((100*(H12-H15)*Input!B35),1)</f>
        <v>#VALUE!</v>
      </c>
      <c r="H20" s="272"/>
      <c r="I20" s="115" t="s">
        <v>93</v>
      </c>
    </row>
    <row r="21" spans="1:9">
      <c r="A21" s="254"/>
      <c r="B21" s="258" t="e">
        <f>TEXT(Input!F5,"0.00")&amp;"-("&amp;TEXT(ABS(Input!F7),"0.000")&amp;"+"&amp;TEXT(ABS(Input!F9),"0.000")&amp;")"</f>
        <v>#VALUE!</v>
      </c>
      <c r="C21" s="259"/>
      <c r="D21" s="259"/>
      <c r="E21" s="254"/>
      <c r="G21" s="266" t="e">
        <f>Input!B34+ROUND(100*(H12-H15)*Input!B35,1)</f>
        <v>#VALUE!</v>
      </c>
      <c r="H21" s="266"/>
      <c r="I21" s="53" t="s">
        <v>94</v>
      </c>
    </row>
    <row r="22" spans="1:9">
      <c r="A22" s="253" t="s">
        <v>95</v>
      </c>
      <c r="B22" s="260" t="e">
        <f>TEXT(Input!F8,"0.000")&amp;"*"&amp;TEXT(I6,"0.000")</f>
        <v>#VALUE!</v>
      </c>
      <c r="C22" s="261"/>
      <c r="D22" s="261"/>
      <c r="E22" s="255" t="e">
        <f>IF(E15&lt;0,"="&amp;TEXT(E15,"0.000"),"= "&amp;TEXT(E15,"0.000"))</f>
        <v>#VALUE!</v>
      </c>
    </row>
    <row r="23" spans="1:9">
      <c r="A23" s="254"/>
      <c r="B23" s="258" t="e">
        <f>TEXT(Input!F5,"0.00")&amp;"-("&amp;TEXT(ABS(Input!F7),"0.000")&amp;"+"&amp;TEXT(ABS(Input!F9),"0.000")&amp;")"</f>
        <v>#VALUE!</v>
      </c>
      <c r="C23" s="259"/>
      <c r="D23" s="259"/>
      <c r="E23" s="255"/>
      <c r="G23" s="269" t="e">
        <f>ROUND(100*I7*Input!B35*Input!B36/Input!F5,1)+ROUND(50*I7*I7*ABS(Input!B37-Input!B38)/Input!F5,1)</f>
        <v>#VALUE!</v>
      </c>
      <c r="H23" s="269"/>
      <c r="I23" s="115" t="s">
        <v>96</v>
      </c>
    </row>
    <row r="24" spans="1:9">
      <c r="A24" s="253" t="s">
        <v>97</v>
      </c>
      <c r="B24" s="260" t="e">
        <f>TEXT(Input!F9,"0.000")&amp;"*"&amp;TEXT(I6,"0.000")</f>
        <v>#VALUE!</v>
      </c>
      <c r="C24" s="261"/>
      <c r="D24" s="261"/>
      <c r="E24" s="254" t="e">
        <f>IF(E11&lt;0,"="&amp;TEXT(E11,"0.000"),"= "&amp;TEXT(E11,"0.000"))</f>
        <v>#VALUE!</v>
      </c>
      <c r="G24" s="266" t="e">
        <f>G21+G23</f>
        <v>#VALUE!</v>
      </c>
      <c r="H24" s="254"/>
      <c r="I24" s="53" t="s">
        <v>98</v>
      </c>
    </row>
    <row r="25" spans="1:9">
      <c r="A25" s="254"/>
      <c r="B25" s="258" t="e">
        <f>TEXT(Input!F5,"0.00")&amp;"-("&amp;TEXT(ABS(Input!F7),"0.000")&amp;"+"&amp;TEXT(ABS(Input!F9),"0.000")&amp;")"</f>
        <v>#VALUE!</v>
      </c>
      <c r="C25" s="259"/>
      <c r="D25" s="259"/>
      <c r="E25" s="254"/>
    </row>
    <row r="26" spans="1:9">
      <c r="A26" s="253" t="s">
        <v>99</v>
      </c>
      <c r="B26" s="260" t="e">
        <f>"100*"&amp;TEXT(I7,"0.000")&amp;"*"&amp;TEXT(Input!B35,"0.000")&amp;"*"&amp;TEXT(Input!B36,"0.000")</f>
        <v>#VALUE!</v>
      </c>
      <c r="C26" s="261"/>
      <c r="D26" s="261"/>
      <c r="E26" s="254" t="e">
        <f>IF(ROUND(100*I7*Input!B35*Input!B36/Input!F5,1)&lt;0,"="&amp;TEXT(100*I7*Input!B35*Input!B36/Input!F5,"0.0"),"= "&amp;TEXT(100*I7*Input!B35*Input!B36/Input!F5,"0.0"))</f>
        <v>#VALUE!</v>
      </c>
      <c r="G26" s="262" t="e">
        <f>G24+ROUND(G24*(Input!F12-1.025)/1.025,1)</f>
        <v>#VALUE!</v>
      </c>
      <c r="H26" s="262"/>
      <c r="I26" s="115" t="s">
        <v>100</v>
      </c>
    </row>
    <row r="27" spans="1:9">
      <c r="A27" s="254"/>
      <c r="B27" s="258" t="str">
        <f>TEXT(Input!F5,"0.00")</f>
        <v>${FOP.T_DRAFT_REPORT_INFO.lbp}</v>
      </c>
      <c r="C27" s="259"/>
      <c r="D27" s="259"/>
      <c r="E27" s="254"/>
      <c r="G27" s="266" t="str">
        <f>Input!F6</f>
        <v>${FOP.T_DRAFT_REPORT_INFO.lightShip}</v>
      </c>
      <c r="H27" s="254"/>
      <c r="I27" s="53" t="s">
        <v>101</v>
      </c>
    </row>
    <row r="28" spans="1:9">
      <c r="A28" s="253" t="s">
        <v>102</v>
      </c>
      <c r="B28" s="260" t="e">
        <f>"50*"&amp;TEXT(I7,"0.000")&amp;"*"&amp;TEXT(I7,"0.000")&amp;"*"&amp;TEXT(ABS(Input!B37-Input!B38),"0.000")</f>
        <v>#VALUE!</v>
      </c>
      <c r="C28" s="261"/>
      <c r="D28" s="261"/>
      <c r="E28" s="256" t="e">
        <f>IF((50*I7*I7*ABS(Input!B37-Input!B38)/Input!F5)&lt;0,"="&amp;TEXT((50*I7*I7*ABS(Input!B37-Input!B38)/Input!F5),"0.0"),"= "&amp;TEXT((50*I7*I7*ABS(Input!B37-Input!B38)/Input!F5),"0.0"))</f>
        <v>#VALUE!</v>
      </c>
    </row>
    <row r="29" spans="1:9">
      <c r="A29" s="254"/>
      <c r="B29" s="258" t="str">
        <f>TEXT(Input!F5,"0.00")</f>
        <v>${FOP.T_DRAFT_REPORT_INFO.lbp}</v>
      </c>
      <c r="C29" s="259"/>
      <c r="D29" s="259"/>
      <c r="E29" s="256"/>
      <c r="G29" s="262" t="e">
        <f>G26-G27</f>
        <v>#VALUE!</v>
      </c>
      <c r="H29" s="263"/>
      <c r="I29" s="115" t="s">
        <v>103</v>
      </c>
    </row>
    <row r="30" spans="1:9">
      <c r="A30" s="253" t="s">
        <v>104</v>
      </c>
      <c r="B30" s="260" t="e">
        <f>TEXT(G24,"0.0")&amp;"*("&amp;TEXT(Input!F12,"0.0000")&amp;"-"&amp;TEXT(1.025,"0.0000")&amp;")"</f>
        <v>#VALUE!</v>
      </c>
      <c r="C30" s="261"/>
      <c r="D30" s="261"/>
      <c r="E30" s="254" t="e">
        <f>"="&amp;TEXT(G24*(Input!F12-1.025)/1.025,"0.0")</f>
        <v>#VALUE!</v>
      </c>
      <c r="G30" s="266">
        <f>B46</f>
        <v>16358.5</v>
      </c>
      <c r="H30" s="254"/>
      <c r="I30" s="53" t="s">
        <v>105</v>
      </c>
    </row>
    <row r="31" spans="1:9">
      <c r="A31" s="254"/>
      <c r="B31" s="257" t="str">
        <f>TEXT(1.025,"0.0000")</f>
        <v>1.0250</v>
      </c>
      <c r="C31" s="257"/>
      <c r="D31" s="257"/>
      <c r="E31" s="254"/>
    </row>
    <row r="32" spans="1:9">
      <c r="G32" s="262" t="str">
        <f>Input!F10</f>
        <v>${FOP.T_DRAFT_REPORT_INFO.shipConstant}</v>
      </c>
      <c r="H32" s="263"/>
      <c r="I32" s="115" t="s">
        <v>106</v>
      </c>
    </row>
    <row r="33" spans="1:9">
      <c r="A33" s="103" t="s">
        <v>107</v>
      </c>
      <c r="B33" s="264" t="str">
        <f>Input!F12</f>
        <v>${FOP.T_DRAFT_REPORT_INFO.waterDensity}</v>
      </c>
      <c r="C33" s="265"/>
      <c r="G33" s="266" t="e">
        <f>G29-G30-G32</f>
        <v>#VALUE!</v>
      </c>
      <c r="H33" s="254"/>
      <c r="I33" s="53" t="s">
        <v>6</v>
      </c>
    </row>
    <row r="34" spans="1:9">
      <c r="A34" s="6"/>
      <c r="B34" s="251" t="str">
        <f>Input!B39</f>
        <v>${FOP.T_DRAFT_EXT_INFO.fo.I}</v>
      </c>
      <c r="C34" s="251"/>
    </row>
    <row r="35" spans="1:9">
      <c r="A35" s="103" t="s">
        <v>108</v>
      </c>
      <c r="B35" s="248"/>
      <c r="C35" s="248"/>
      <c r="G35" s="53" t="s">
        <v>109</v>
      </c>
      <c r="H35" s="267">
        <f>Input!B9</f>
        <v>43400</v>
      </c>
      <c r="I35" s="268"/>
    </row>
    <row r="36" spans="1:9">
      <c r="A36" s="103"/>
      <c r="B36" s="245" t="str">
        <f>Input!B40</f>
        <v>${FOP.T_DRAFT_EXT_INFO.doil.I}</v>
      </c>
      <c r="C36" s="245"/>
    </row>
    <row r="37" spans="1:9">
      <c r="A37" s="103" t="s">
        <v>110</v>
      </c>
      <c r="B37" s="245"/>
      <c r="C37" s="245"/>
      <c r="E37" s="104" t="e">
        <f>B34+B36+B38</f>
        <v>#VALUE!</v>
      </c>
      <c r="H37" s="124"/>
      <c r="I37" s="124"/>
    </row>
    <row r="38" spans="1:9">
      <c r="A38" s="103"/>
      <c r="B38" s="245" t="str">
        <f>Input!B41</f>
        <v>${FOP.T_DRAFT_EXT_INFO.sewage.I}</v>
      </c>
      <c r="C38" s="245"/>
      <c r="H38" s="125"/>
      <c r="I38" s="125"/>
    </row>
    <row r="39" spans="1:9">
      <c r="A39" s="103" t="s">
        <v>111</v>
      </c>
      <c r="B39" s="245"/>
      <c r="C39" s="245"/>
    </row>
    <row r="40" spans="1:9">
      <c r="A40" s="103"/>
      <c r="B40" s="245">
        <f>Input!B42</f>
        <v>160</v>
      </c>
      <c r="C40" s="245"/>
    </row>
    <row r="41" spans="1:9">
      <c r="A41" s="103" t="s">
        <v>112</v>
      </c>
      <c r="B41" s="245"/>
      <c r="C41" s="245"/>
    </row>
    <row r="42" spans="1:9">
      <c r="A42" s="103"/>
      <c r="B42" s="245">
        <f>Input!B43</f>
        <v>16198.5</v>
      </c>
      <c r="C42" s="245"/>
    </row>
    <row r="43" spans="1:9">
      <c r="A43" s="103" t="s">
        <v>113</v>
      </c>
      <c r="B43" s="245"/>
      <c r="C43" s="245"/>
      <c r="G43" s="86" t="s">
        <v>114</v>
      </c>
      <c r="H43" s="252" t="str">
        <f>Input!F37&amp;"-"&amp;Input!F38</f>
        <v>02:40-03:10</v>
      </c>
      <c r="I43" s="252"/>
    </row>
    <row r="44" spans="1:9">
      <c r="A44" s="103"/>
      <c r="B44" s="245" t="str">
        <f>Input!B44</f>
        <v>${FOP.T_DRAFT_EXT_INFO.other.I}</v>
      </c>
      <c r="C44" s="245"/>
      <c r="H44" s="246"/>
      <c r="I44" s="246"/>
    </row>
    <row r="45" spans="1:9">
      <c r="A45" s="103" t="s">
        <v>115</v>
      </c>
      <c r="B45" s="245"/>
      <c r="C45" s="245"/>
      <c r="G45" s="86" t="s">
        <v>116</v>
      </c>
      <c r="H45" s="247"/>
      <c r="I45" s="247"/>
    </row>
    <row r="46" spans="1:9">
      <c r="A46" s="103"/>
      <c r="B46" s="248">
        <f>SUM(B34:C45)</f>
        <v>16358.5</v>
      </c>
      <c r="C46" s="248"/>
      <c r="E46" s="105"/>
      <c r="G46" s="106"/>
      <c r="H46" s="250"/>
      <c r="I46" s="250"/>
    </row>
    <row r="47" spans="1:9">
      <c r="A47" s="107" t="s">
        <v>117</v>
      </c>
      <c r="B47" s="249"/>
      <c r="C47" s="249"/>
      <c r="G47" s="106" t="s">
        <v>118</v>
      </c>
      <c r="H47" s="247"/>
      <c r="I47" s="247"/>
    </row>
  </sheetData>
  <mergeCells count="62">
    <mergeCell ref="G1:I1"/>
    <mergeCell ref="C4:F4"/>
    <mergeCell ref="K6:L6"/>
    <mergeCell ref="N6:O6"/>
    <mergeCell ref="K7:L7"/>
    <mergeCell ref="N7:O7"/>
    <mergeCell ref="K8:L8"/>
    <mergeCell ref="N8:O8"/>
    <mergeCell ref="K9:L9"/>
    <mergeCell ref="N9:O9"/>
    <mergeCell ref="H10:I10"/>
    <mergeCell ref="K10:L10"/>
    <mergeCell ref="M10:N10"/>
    <mergeCell ref="H12:I12"/>
    <mergeCell ref="B20:D20"/>
    <mergeCell ref="G20:H20"/>
    <mergeCell ref="B21:D21"/>
    <mergeCell ref="G21:H21"/>
    <mergeCell ref="H15:I16"/>
    <mergeCell ref="H17:I18"/>
    <mergeCell ref="G26:H26"/>
    <mergeCell ref="B27:D27"/>
    <mergeCell ref="G27:H27"/>
    <mergeCell ref="B22:D22"/>
    <mergeCell ref="B23:D23"/>
    <mergeCell ref="G23:H23"/>
    <mergeCell ref="B24:D24"/>
    <mergeCell ref="G24:H24"/>
    <mergeCell ref="G32:H32"/>
    <mergeCell ref="B33:C33"/>
    <mergeCell ref="G33:H33"/>
    <mergeCell ref="H35:I35"/>
    <mergeCell ref="B28:D28"/>
    <mergeCell ref="B29:D29"/>
    <mergeCell ref="G29:H29"/>
    <mergeCell ref="B30:D30"/>
    <mergeCell ref="G30:H30"/>
    <mergeCell ref="A30:A31"/>
    <mergeCell ref="E20:E21"/>
    <mergeCell ref="E22:E23"/>
    <mergeCell ref="E24:E25"/>
    <mergeCell ref="E26:E27"/>
    <mergeCell ref="E28:E29"/>
    <mergeCell ref="E30:E31"/>
    <mergeCell ref="B31:D31"/>
    <mergeCell ref="B25:D25"/>
    <mergeCell ref="B26:D26"/>
    <mergeCell ref="A20:A21"/>
    <mergeCell ref="A22:A23"/>
    <mergeCell ref="A24:A25"/>
    <mergeCell ref="A26:A27"/>
    <mergeCell ref="A28:A29"/>
    <mergeCell ref="B44:C45"/>
    <mergeCell ref="H44:I45"/>
    <mergeCell ref="B46:C47"/>
    <mergeCell ref="H46:I47"/>
    <mergeCell ref="B34:C35"/>
    <mergeCell ref="B36:C37"/>
    <mergeCell ref="B38:C39"/>
    <mergeCell ref="B40:C41"/>
    <mergeCell ref="B42:C43"/>
    <mergeCell ref="H43:I43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0" workbookViewId="0">
      <selection activeCell="E28" sqref="E28:E29"/>
    </sheetView>
  </sheetViews>
  <sheetFormatPr defaultColWidth="9" defaultRowHeight="13.5"/>
  <cols>
    <col min="1" max="4" width="9" style="86"/>
    <col min="5" max="5" width="10.375" style="86" customWidth="1"/>
    <col min="6" max="7" width="9.5" style="86" customWidth="1"/>
    <col min="8" max="8" width="8.75" style="86" customWidth="1"/>
    <col min="9" max="9" width="13.375" style="86" customWidth="1"/>
    <col min="10" max="12" width="9" style="86"/>
    <col min="13" max="13" width="9.5" style="86" customWidth="1"/>
    <col min="14" max="14" width="9" style="86"/>
    <col min="15" max="15" width="9.5" style="86" customWidth="1"/>
    <col min="16" max="16384" width="9" style="86"/>
  </cols>
  <sheetData>
    <row r="1" spans="1:17">
      <c r="B1" s="86" t="s">
        <v>71</v>
      </c>
      <c r="G1" s="278" t="s">
        <v>72</v>
      </c>
      <c r="H1" s="285"/>
      <c r="I1" s="285"/>
    </row>
    <row r="2" spans="1:17">
      <c r="B2" s="86" t="s">
        <v>73</v>
      </c>
    </row>
    <row r="4" spans="1:17" ht="23.25" customHeight="1">
      <c r="B4" s="88" t="s">
        <v>74</v>
      </c>
      <c r="C4" s="282" t="str">
        <f>Input!B5</f>
        <v>${FOP.T_DRAFT_REPORT_INFO.vesselName}</v>
      </c>
      <c r="D4" s="282"/>
      <c r="E4" s="282"/>
      <c r="F4" s="282"/>
      <c r="H4" s="89" t="s">
        <v>75</v>
      </c>
      <c r="I4" s="108">
        <f>Input1!F36</f>
        <v>44163</v>
      </c>
    </row>
    <row r="5" spans="1:17" ht="12" customHeight="1">
      <c r="C5" s="87"/>
      <c r="D5" s="87"/>
      <c r="E5" s="87"/>
    </row>
    <row r="6" spans="1:17" ht="15">
      <c r="A6" s="90" t="s">
        <v>76</v>
      </c>
      <c r="B6" s="91" t="str">
        <f>Input1!A19</f>
        <v>${FOP.T_DRAFT_REPORT_DETAIL.fp.F}</v>
      </c>
      <c r="E6" s="92" t="s">
        <v>140</v>
      </c>
      <c r="F6" s="93" t="s">
        <v>78</v>
      </c>
      <c r="H6" s="53" t="s">
        <v>79</v>
      </c>
      <c r="I6" s="109" t="e">
        <f>ROUND(D11-D7,3)</f>
        <v>#VALUE!</v>
      </c>
      <c r="K6" s="278"/>
      <c r="L6" s="278"/>
      <c r="N6" s="278"/>
      <c r="O6" s="278"/>
      <c r="P6" s="110"/>
    </row>
    <row r="7" spans="1:17" ht="15">
      <c r="A7" s="94" t="s">
        <v>80</v>
      </c>
      <c r="C7" s="95"/>
      <c r="D7" s="96" t="e">
        <f>SUM(B6+B8)/2</f>
        <v>#VALUE!</v>
      </c>
      <c r="E7" s="97" t="e">
        <f>ROUND(I6*Input1!F7/(Input1!F5-(ABS(Input1!F7)+ABS(Input1!F9))),3)</f>
        <v>#VALUE!</v>
      </c>
      <c r="F7" s="96" t="e">
        <f>D7+E7</f>
        <v>#VALUE!</v>
      </c>
      <c r="H7" s="53" t="s">
        <v>81</v>
      </c>
      <c r="I7" s="109" t="e">
        <f>ROUND(F11-F7,3)</f>
        <v>#VALUE!</v>
      </c>
      <c r="K7" s="278"/>
      <c r="L7" s="278"/>
      <c r="N7" s="278"/>
      <c r="O7" s="278"/>
      <c r="P7" s="110"/>
    </row>
    <row r="8" spans="1:17">
      <c r="A8" s="90" t="s">
        <v>82</v>
      </c>
      <c r="B8" s="91" t="str">
        <f>Input1!D19</f>
        <v>${FOP.T_DRAFT_REPORT_DETAIL.fs.F}</v>
      </c>
      <c r="D8" s="98"/>
      <c r="F8" s="80"/>
      <c r="K8" s="277"/>
      <c r="L8" s="277"/>
      <c r="N8" s="278"/>
      <c r="O8" s="278"/>
    </row>
    <row r="9" spans="1:17">
      <c r="D9" s="53"/>
      <c r="F9" s="89"/>
      <c r="K9" s="278"/>
      <c r="L9" s="278"/>
      <c r="N9" s="278"/>
      <c r="O9" s="278"/>
    </row>
    <row r="10" spans="1:17" ht="14.25">
      <c r="A10" s="90" t="s">
        <v>76</v>
      </c>
      <c r="B10" s="91" t="str">
        <f>Input1!A28</f>
        <v>${FOP.T_DRAFT_REPORT_DETAIL.ap.F}</v>
      </c>
      <c r="D10" s="53"/>
      <c r="E10" s="92" t="s">
        <v>83</v>
      </c>
      <c r="F10" s="93" t="s">
        <v>84</v>
      </c>
      <c r="G10" s="80" t="s">
        <v>85</v>
      </c>
      <c r="H10" s="279" t="e">
        <f>SUM(F15*6+F11+F7)/8</f>
        <v>#VALUE!</v>
      </c>
      <c r="I10" s="279"/>
      <c r="K10" s="278"/>
      <c r="L10" s="278"/>
      <c r="M10" s="278"/>
      <c r="N10" s="278"/>
    </row>
    <row r="11" spans="1:17" ht="15">
      <c r="A11" s="94" t="s">
        <v>86</v>
      </c>
      <c r="D11" s="99" t="e">
        <f>SUM(B10+B12)/2</f>
        <v>#VALUE!</v>
      </c>
      <c r="E11" s="97" t="e">
        <f>ROUND(I6*Input1!F9/(Input1!F5-(ABS(Input1!F7)+ABS(Input1!F9))),3)</f>
        <v>#VALUE!</v>
      </c>
      <c r="F11" s="96" t="e">
        <f>D11+E11</f>
        <v>#VALUE!</v>
      </c>
    </row>
    <row r="12" spans="1:17" ht="14.25">
      <c r="A12" s="90" t="s">
        <v>82</v>
      </c>
      <c r="B12" s="91" t="str">
        <f>Input1!D28</f>
        <v>${FOP.T_DRAFT_REPORT_DETAIL.as.F}</v>
      </c>
      <c r="D12" s="100"/>
      <c r="F12" s="80"/>
      <c r="G12" s="80" t="s">
        <v>87</v>
      </c>
      <c r="H12" s="270" t="e">
        <f>ROUND(H10,3)-Input!F11</f>
        <v>#VALUE!</v>
      </c>
      <c r="I12" s="270"/>
    </row>
    <row r="13" spans="1:17">
      <c r="D13" s="53"/>
      <c r="F13" s="80"/>
      <c r="K13" s="111"/>
      <c r="M13" s="111"/>
      <c r="O13" s="112"/>
    </row>
    <row r="14" spans="1:17">
      <c r="A14" s="90" t="s">
        <v>76</v>
      </c>
      <c r="B14" s="91" t="str">
        <f>Input1!A23</f>
        <v>${FOP.T_DRAFT_REPORT_DETAIL.mp.F}</v>
      </c>
      <c r="D14" s="53"/>
      <c r="E14" s="92" t="s">
        <v>88</v>
      </c>
      <c r="F14" s="93" t="s">
        <v>89</v>
      </c>
      <c r="K14" s="113"/>
      <c r="M14" s="113"/>
      <c r="O14" s="113"/>
    </row>
    <row r="15" spans="1:17" ht="14.25">
      <c r="A15" s="101" t="s">
        <v>90</v>
      </c>
      <c r="C15" s="95"/>
      <c r="D15" s="99" t="e">
        <f>SUM(B14+B16)/2</f>
        <v>#VALUE!</v>
      </c>
      <c r="E15" s="97" t="e">
        <f>ROUND(I6*Input1!F8/(Input1!F5-(ABS(Input1!F7)+ABS(Input1!F9))),3)</f>
        <v>#VALUE!</v>
      </c>
      <c r="F15" s="96" t="e">
        <f>D15+E15</f>
        <v>#VALUE!</v>
      </c>
      <c r="G15" s="80" t="s">
        <v>91</v>
      </c>
      <c r="H15" s="273" t="str">
        <f>Input1!B33</f>
        <v>${FOP.T_DRAFT_REPORT_DETAIL.dispDraft.F}</v>
      </c>
      <c r="I15" s="273"/>
      <c r="K15" s="114"/>
      <c r="M15" s="95"/>
      <c r="O15" s="95"/>
      <c r="Q15" s="116"/>
    </row>
    <row r="16" spans="1:17">
      <c r="A16" s="90" t="s">
        <v>82</v>
      </c>
      <c r="B16" s="91" t="str">
        <f>Input1!D23</f>
        <v>${FOP.T_DRAFT_REPORT_DETAIL.ms.F}</v>
      </c>
      <c r="D16" s="100"/>
      <c r="H16" s="274"/>
      <c r="I16" s="274"/>
      <c r="K16" s="95"/>
      <c r="M16" s="114"/>
    </row>
    <row r="17" spans="1:9">
      <c r="H17" s="275" t="str">
        <f>Input1!B34</f>
        <v>${FOP.T_DRAFT_REPORT_DETAIL.roundDraft.F}</v>
      </c>
      <c r="I17" s="276"/>
    </row>
    <row r="18" spans="1:9">
      <c r="H18" s="276"/>
      <c r="I18" s="276"/>
    </row>
    <row r="19" spans="1:9">
      <c r="H19" s="102"/>
      <c r="I19" s="102"/>
    </row>
    <row r="20" spans="1:9">
      <c r="A20" s="253" t="s">
        <v>92</v>
      </c>
      <c r="B20" s="260" t="e">
        <f>TEXT(Input1!F7,"0.000")&amp;"*"&amp;TEXT(I6,"0.000")</f>
        <v>#VALUE!</v>
      </c>
      <c r="C20" s="261"/>
      <c r="D20" s="261"/>
      <c r="E20" s="254" t="e">
        <f>IF(E7&lt;0,"="&amp;TEXT(E7,"0.000"),"= "&amp;TEXT(E7,"0.000"))</f>
        <v>#VALUE!</v>
      </c>
      <c r="G20" s="271" t="e">
        <f>ROUND(100*(H12-H15),1)&amp;"*"&amp;TEXT(Input1!B35,"0.000")&amp;"="&amp;ROUND(100*(H12-H15)*Input1!B35,1)</f>
        <v>#VALUE!</v>
      </c>
      <c r="H20" s="272"/>
      <c r="I20" s="115" t="s">
        <v>93</v>
      </c>
    </row>
    <row r="21" spans="1:9">
      <c r="A21" s="254"/>
      <c r="B21" s="258" t="e">
        <f>TEXT(Input1!F5,"0.00")&amp;"-("&amp;TEXT(ABS(Input1!F7),"0.000")&amp;"+"&amp;TEXT(ABS(Input1!F9),"0.000")&amp;")"</f>
        <v>#VALUE!</v>
      </c>
      <c r="C21" s="259"/>
      <c r="D21" s="259"/>
      <c r="E21" s="254"/>
      <c r="G21" s="266" t="e">
        <f>Input1!B34+ROUND(100*(H12-H15)*Input1!B35,1)</f>
        <v>#VALUE!</v>
      </c>
      <c r="H21" s="266"/>
      <c r="I21" s="53" t="s">
        <v>94</v>
      </c>
    </row>
    <row r="22" spans="1:9">
      <c r="A22" s="253" t="s">
        <v>95</v>
      </c>
      <c r="B22" s="260" t="e">
        <f>TEXT(Input1!F8,"0.000")&amp;"*"&amp;TEXT(I6,"0.000")</f>
        <v>#VALUE!</v>
      </c>
      <c r="C22" s="261"/>
      <c r="D22" s="261"/>
      <c r="E22" s="255" t="e">
        <f>IF(E15&lt;0,"="&amp;TEXT(E15,"0.000"),"= "&amp;TEXT(E15,"0.000"))</f>
        <v>#VALUE!</v>
      </c>
    </row>
    <row r="23" spans="1:9">
      <c r="A23" s="254"/>
      <c r="B23" s="258" t="e">
        <f>TEXT(Input1!F5,"0.00")&amp;"-("&amp;TEXT(ABS(Input1!F7),"0.000")&amp;"+"&amp;TEXT(ABS(Input1!F9),"0.000")&amp;")"</f>
        <v>#VALUE!</v>
      </c>
      <c r="C23" s="259"/>
      <c r="D23" s="259"/>
      <c r="E23" s="255"/>
      <c r="G23" s="269" t="e">
        <f>ROUND(100*I7*Input1!B35*Input1!B36/Input1!F5,1)+ROUND(50*I7*I7*ABS(Input1!B37-Input1!B38)/Input1!F5,1)</f>
        <v>#VALUE!</v>
      </c>
      <c r="H23" s="269"/>
      <c r="I23" s="115" t="s">
        <v>96</v>
      </c>
    </row>
    <row r="24" spans="1:9">
      <c r="A24" s="253" t="s">
        <v>97</v>
      </c>
      <c r="B24" s="260" t="e">
        <f>TEXT(Input1!F9,"0.000")&amp;"*"&amp;TEXT(I6,"0.000")</f>
        <v>#VALUE!</v>
      </c>
      <c r="C24" s="261"/>
      <c r="D24" s="261"/>
      <c r="E24" s="254" t="e">
        <f>IF(E11&lt;0,"="&amp;TEXT(E11,"0.000"),"= "&amp;TEXT(E11,"0.000"))</f>
        <v>#VALUE!</v>
      </c>
      <c r="G24" s="266" t="e">
        <f>G21+G23</f>
        <v>#VALUE!</v>
      </c>
      <c r="H24" s="254"/>
      <c r="I24" s="53" t="s">
        <v>98</v>
      </c>
    </row>
    <row r="25" spans="1:9">
      <c r="A25" s="254"/>
      <c r="B25" s="258" t="e">
        <f>TEXT(Input1!F5,"0.00")&amp;"-("&amp;TEXT(ABS(Input1!F7),"0.000")&amp;"+"&amp;TEXT(ABS(Input1!F9),"0.000")&amp;")"</f>
        <v>#VALUE!</v>
      </c>
      <c r="C25" s="259"/>
      <c r="D25" s="259"/>
      <c r="E25" s="254"/>
    </row>
    <row r="26" spans="1:9">
      <c r="A26" s="253" t="s">
        <v>99</v>
      </c>
      <c r="B26" s="260" t="e">
        <f>"100*"&amp;TEXT(I7,"0.000")&amp;"*"&amp;TEXT(Input1!B35,"0.000")&amp;"*"&amp;TEXT(Input1!B36,"0.000")</f>
        <v>#VALUE!</v>
      </c>
      <c r="C26" s="261"/>
      <c r="D26" s="261"/>
      <c r="E26" s="254" t="e">
        <f>IF(ROUND(100*I7*Input1!B35*Input1!B36/Input1!F5,1)&lt;0,"="&amp;TEXT(100*I7*Input1!B35*Input1!B36/Input1!F5,"0.0"),"= "&amp;TEXT(100*I7*Input1!B35*Input1!B36/Input1!F5,"0.0"))</f>
        <v>#VALUE!</v>
      </c>
      <c r="G26" s="262" t="e">
        <f>G24+ROUND(G24*(Input1!F12-1.025)/1.025,1)</f>
        <v>#VALUE!</v>
      </c>
      <c r="H26" s="262"/>
      <c r="I26" s="115" t="s">
        <v>100</v>
      </c>
    </row>
    <row r="27" spans="1:9">
      <c r="A27" s="254"/>
      <c r="B27" s="258" t="str">
        <f>TEXT(Input1!F5,"0.00")</f>
        <v>${FOP.T_DRAFT_REPORT_INFO.lbp}</v>
      </c>
      <c r="C27" s="259"/>
      <c r="D27" s="259"/>
      <c r="E27" s="254"/>
      <c r="G27" s="266" t="str">
        <f>Input1!F6</f>
        <v>${FOP.T_DRAFT_REPORT_INFO.lightShip}</v>
      </c>
      <c r="H27" s="254"/>
      <c r="I27" s="53" t="s">
        <v>101</v>
      </c>
    </row>
    <row r="28" spans="1:9">
      <c r="A28" s="253" t="s">
        <v>102</v>
      </c>
      <c r="B28" s="260" t="e">
        <f>"50*"&amp;TEXT(I7,"0.000")&amp;"*"&amp;TEXT(I7,"0.000")&amp;"*"&amp;TEXT(ABS(Input1!B37-Input1!B38),"0.000")</f>
        <v>#VALUE!</v>
      </c>
      <c r="C28" s="261"/>
      <c r="D28" s="261"/>
      <c r="E28" s="256" t="e">
        <f>IF((50*I7*I7*ABS(Input1!B37-Input1!B38)/Input1!F5)&lt;0,"="&amp;TEXT((50*I7*I7*ABS(Input1!B37-Input1!B38)/Input1!F5),"0.0"),"= "&amp;TEXT((50*I7*I7*ABS(Input1!B37-Input1!B38)/Input1!F5),"0.0"))</f>
        <v>#VALUE!</v>
      </c>
    </row>
    <row r="29" spans="1:9">
      <c r="A29" s="254"/>
      <c r="B29" s="258" t="str">
        <f>TEXT(Input!F5,"0.00")</f>
        <v>${FOP.T_DRAFT_REPORT_INFO.lbp}</v>
      </c>
      <c r="C29" s="259"/>
      <c r="D29" s="259"/>
      <c r="E29" s="256"/>
      <c r="G29" s="262" t="e">
        <f>G26-G27</f>
        <v>#VALUE!</v>
      </c>
      <c r="H29" s="263"/>
      <c r="I29" s="115" t="s">
        <v>103</v>
      </c>
    </row>
    <row r="30" spans="1:9">
      <c r="A30" s="253" t="s">
        <v>104</v>
      </c>
      <c r="B30" s="260" t="e">
        <f>TEXT(G24,"0.0")&amp;"*("&amp;TEXT(Input1!F12,"0.0000")&amp;"-"&amp;TEXT(1.025,"0.0000")&amp;")"</f>
        <v>#VALUE!</v>
      </c>
      <c r="C30" s="261"/>
      <c r="D30" s="261"/>
      <c r="E30" s="254" t="e">
        <f>"="&amp;TEXT(G24*(Input!F12-1.025)/1.025,"0.0")</f>
        <v>#VALUE!</v>
      </c>
      <c r="G30" s="266">
        <f>B46</f>
        <v>16358.5</v>
      </c>
      <c r="H30" s="254"/>
      <c r="I30" s="53" t="s">
        <v>105</v>
      </c>
    </row>
    <row r="31" spans="1:9">
      <c r="A31" s="254"/>
      <c r="B31" s="257" t="str">
        <f>TEXT(1.025,"0.0000")</f>
        <v>1.0250</v>
      </c>
      <c r="C31" s="257"/>
      <c r="D31" s="257"/>
      <c r="E31" s="254"/>
    </row>
    <row r="32" spans="1:9">
      <c r="G32" s="262" t="str">
        <f>calculate!G32</f>
        <v>${FOP.T_DRAFT_REPORT_INFO.shipConstant}</v>
      </c>
      <c r="H32" s="263"/>
      <c r="I32" s="115" t="s">
        <v>106</v>
      </c>
    </row>
    <row r="33" spans="1:9">
      <c r="A33" s="103" t="s">
        <v>107</v>
      </c>
      <c r="B33" s="264" t="str">
        <f>Input1!F12</f>
        <v>${FOP.T_DRAFT_REPORT_INFO.waterDensity}</v>
      </c>
      <c r="C33" s="265"/>
      <c r="G33" s="266" t="e">
        <f>G29-G30-G32</f>
        <v>#VALUE!</v>
      </c>
      <c r="H33" s="254"/>
      <c r="I33" s="53" t="s">
        <v>6</v>
      </c>
    </row>
    <row r="34" spans="1:9">
      <c r="A34" s="6"/>
      <c r="B34" s="251" t="str">
        <f>Input1!B39</f>
        <v>${FOP.T_DRAFT_EXT_INFO.fo.F}</v>
      </c>
      <c r="C34" s="251"/>
    </row>
    <row r="35" spans="1:9">
      <c r="A35" s="103" t="s">
        <v>108</v>
      </c>
      <c r="B35" s="248"/>
      <c r="C35" s="248"/>
      <c r="G35" s="53" t="s">
        <v>109</v>
      </c>
      <c r="H35" s="267">
        <f>Input!B9</f>
        <v>43400</v>
      </c>
      <c r="I35" s="268"/>
    </row>
    <row r="36" spans="1:9">
      <c r="A36" s="103"/>
      <c r="B36" s="245" t="str">
        <f>Input1!B40</f>
        <v>${FOP.T_DRAFT_EXT_INFO.doil.F}</v>
      </c>
      <c r="C36" s="245"/>
    </row>
    <row r="37" spans="1:9">
      <c r="A37" s="103" t="s">
        <v>110</v>
      </c>
      <c r="B37" s="245"/>
      <c r="C37" s="245"/>
      <c r="E37" s="104" t="e">
        <f>B34+B36+B38</f>
        <v>#VALUE!</v>
      </c>
      <c r="G37" s="86" t="s">
        <v>141</v>
      </c>
      <c r="H37" s="283" t="e">
        <f>ABS((calculate!G26-calculate!B46)-(calculate1!G26-calculate1!B46))-H35</f>
        <v>#VALUE!</v>
      </c>
      <c r="I37" s="283"/>
    </row>
    <row r="38" spans="1:9">
      <c r="A38" s="103"/>
      <c r="B38" s="245" t="str">
        <f>Input1!B41</f>
        <v>${FOP.T_DRAFT_EXT_INFO.sewage.F}</v>
      </c>
      <c r="C38" s="245"/>
      <c r="G38" s="86" t="s">
        <v>142</v>
      </c>
      <c r="H38" s="284" t="e">
        <f>ROUND(H37/H35*1000,1)&amp;"‰"</f>
        <v>#VALUE!</v>
      </c>
      <c r="I38" s="284"/>
    </row>
    <row r="39" spans="1:9">
      <c r="A39" s="103" t="s">
        <v>111</v>
      </c>
      <c r="B39" s="245"/>
      <c r="C39" s="245"/>
    </row>
    <row r="40" spans="1:9">
      <c r="A40" s="103"/>
      <c r="B40" s="245">
        <f>Input1!B42</f>
        <v>160</v>
      </c>
      <c r="C40" s="245"/>
    </row>
    <row r="41" spans="1:9">
      <c r="A41" s="103" t="s">
        <v>112</v>
      </c>
      <c r="B41" s="245"/>
      <c r="C41" s="245"/>
    </row>
    <row r="42" spans="1:9">
      <c r="A42" s="103"/>
      <c r="B42" s="245">
        <f>Input1!B43</f>
        <v>16198.5</v>
      </c>
      <c r="C42" s="245"/>
    </row>
    <row r="43" spans="1:9">
      <c r="A43" s="103" t="s">
        <v>113</v>
      </c>
      <c r="B43" s="245"/>
      <c r="C43" s="245"/>
      <c r="G43" s="86" t="s">
        <v>114</v>
      </c>
      <c r="H43" s="252" t="str">
        <f>Input1!F37&amp;"-"&amp;Input1!F38</f>
        <v>19:05-19:40</v>
      </c>
      <c r="I43" s="252"/>
    </row>
    <row r="44" spans="1:9">
      <c r="A44" s="103"/>
      <c r="B44" s="245" t="str">
        <f>Input1!B44</f>
        <v>${FOP.T_DRAFT_EXT_INFO.other.F}</v>
      </c>
      <c r="C44" s="245"/>
      <c r="H44" s="246"/>
      <c r="I44" s="246"/>
    </row>
    <row r="45" spans="1:9">
      <c r="A45" s="103" t="s">
        <v>115</v>
      </c>
      <c r="B45" s="245"/>
      <c r="C45" s="245"/>
      <c r="G45" s="86" t="s">
        <v>116</v>
      </c>
      <c r="H45" s="247"/>
      <c r="I45" s="247"/>
    </row>
    <row r="46" spans="1:9">
      <c r="A46" s="103"/>
      <c r="B46" s="248">
        <f>SUM(B34:C45)</f>
        <v>16358.5</v>
      </c>
      <c r="C46" s="248"/>
      <c r="E46" s="105"/>
      <c r="G46" s="106"/>
      <c r="H46" s="250"/>
      <c r="I46" s="250"/>
    </row>
    <row r="47" spans="1:9">
      <c r="A47" s="107" t="s">
        <v>117</v>
      </c>
      <c r="B47" s="249"/>
      <c r="C47" s="249"/>
      <c r="G47" s="106" t="s">
        <v>118</v>
      </c>
      <c r="H47" s="247"/>
      <c r="I47" s="247"/>
    </row>
  </sheetData>
  <mergeCells count="64">
    <mergeCell ref="G1:I1"/>
    <mergeCell ref="C4:F4"/>
    <mergeCell ref="K6:L6"/>
    <mergeCell ref="N6:O6"/>
    <mergeCell ref="K7:L7"/>
    <mergeCell ref="N7:O7"/>
    <mergeCell ref="K8:L8"/>
    <mergeCell ref="N8:O8"/>
    <mergeCell ref="K9:L9"/>
    <mergeCell ref="N9:O9"/>
    <mergeCell ref="H10:I10"/>
    <mergeCell ref="K10:L10"/>
    <mergeCell ref="M10:N10"/>
    <mergeCell ref="H12:I12"/>
    <mergeCell ref="B20:D20"/>
    <mergeCell ref="G20:H20"/>
    <mergeCell ref="B21:D21"/>
    <mergeCell ref="G21:H21"/>
    <mergeCell ref="H15:I16"/>
    <mergeCell ref="H17:I18"/>
    <mergeCell ref="B22:D22"/>
    <mergeCell ref="B23:D23"/>
    <mergeCell ref="G23:H23"/>
    <mergeCell ref="B24:D24"/>
    <mergeCell ref="G24:H24"/>
    <mergeCell ref="B25:D25"/>
    <mergeCell ref="B26:D26"/>
    <mergeCell ref="G26:H26"/>
    <mergeCell ref="B27:D27"/>
    <mergeCell ref="G27:H27"/>
    <mergeCell ref="B28:D28"/>
    <mergeCell ref="B29:D29"/>
    <mergeCell ref="G29:H29"/>
    <mergeCell ref="B30:D30"/>
    <mergeCell ref="G30:H30"/>
    <mergeCell ref="B31:D31"/>
    <mergeCell ref="G32:H32"/>
    <mergeCell ref="B33:C33"/>
    <mergeCell ref="G33:H33"/>
    <mergeCell ref="H35:I35"/>
    <mergeCell ref="B34:C35"/>
    <mergeCell ref="H37:I37"/>
    <mergeCell ref="H38:I38"/>
    <mergeCell ref="H43:I43"/>
    <mergeCell ref="A20:A21"/>
    <mergeCell ref="A22:A23"/>
    <mergeCell ref="A24:A25"/>
    <mergeCell ref="A26:A27"/>
    <mergeCell ref="A28:A29"/>
    <mergeCell ref="A30:A31"/>
    <mergeCell ref="E20:E21"/>
    <mergeCell ref="E22:E23"/>
    <mergeCell ref="E24:E25"/>
    <mergeCell ref="E26:E27"/>
    <mergeCell ref="E28:E29"/>
    <mergeCell ref="E30:E31"/>
    <mergeCell ref="B36:C37"/>
    <mergeCell ref="B46:C47"/>
    <mergeCell ref="H46:I47"/>
    <mergeCell ref="B38:C39"/>
    <mergeCell ref="B40:C41"/>
    <mergeCell ref="B42:C43"/>
    <mergeCell ref="B44:C45"/>
    <mergeCell ref="H44:I45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J19" sqref="J19"/>
    </sheetView>
  </sheetViews>
  <sheetFormatPr defaultColWidth="9" defaultRowHeight="13.5"/>
  <cols>
    <col min="1" max="1" width="13.625" customWidth="1"/>
    <col min="2" max="2" width="15.5" style="52" customWidth="1"/>
    <col min="3" max="4" width="13.625" customWidth="1"/>
    <col min="5" max="5" width="13.625" style="52" customWidth="1"/>
    <col min="6" max="6" width="16.875" customWidth="1"/>
  </cols>
  <sheetData>
    <row r="1" spans="1:6" ht="34.5" customHeight="1">
      <c r="A1" s="289" t="s">
        <v>119</v>
      </c>
      <c r="B1" s="289"/>
      <c r="C1" s="289"/>
      <c r="D1" s="289"/>
      <c r="E1" s="290" t="s">
        <v>120</v>
      </c>
      <c r="F1" s="280"/>
    </row>
    <row r="2" spans="1:6" ht="18.75" customHeight="1">
      <c r="A2" s="287" t="s">
        <v>121</v>
      </c>
      <c r="B2" s="288"/>
      <c r="C2" s="288"/>
      <c r="D2" s="288"/>
      <c r="E2" s="54"/>
      <c r="F2" s="54"/>
    </row>
    <row r="3" spans="1:6" ht="18.75" customHeight="1">
      <c r="A3" s="288"/>
      <c r="B3" s="288"/>
      <c r="C3" s="288"/>
      <c r="D3" s="288"/>
      <c r="E3" s="55"/>
      <c r="F3" s="56">
        <f>calculate!I4</f>
        <v>44163</v>
      </c>
    </row>
    <row r="4" spans="1:6" ht="28.5" customHeight="1">
      <c r="A4" s="57" t="s">
        <v>122</v>
      </c>
      <c r="B4" s="58" t="str">
        <f>Input!B5</f>
        <v>${FOP.T_DRAFT_REPORT_INFO.vesselName}</v>
      </c>
      <c r="C4" s="57" t="s">
        <v>123</v>
      </c>
      <c r="D4" s="58" t="str">
        <f>Input!B6</f>
        <v>${FOP.T_DRAFT_REPORT_INFO.mv}</v>
      </c>
      <c r="E4" s="59" t="s">
        <v>124</v>
      </c>
      <c r="F4" s="60" t="e">
        <f>calculate!I7&amp;"m"</f>
        <v>#VALUE!</v>
      </c>
    </row>
    <row r="5" spans="1:6" ht="15" customHeight="1">
      <c r="A5" s="117"/>
      <c r="B5" s="118"/>
      <c r="C5" s="119"/>
      <c r="D5" s="119"/>
      <c r="E5" s="120"/>
      <c r="F5" s="121"/>
    </row>
    <row r="6" spans="1:6" ht="18" customHeight="1">
      <c r="A6" s="61" t="s">
        <v>125</v>
      </c>
      <c r="B6" s="61" t="s">
        <v>126</v>
      </c>
      <c r="C6" s="61" t="s">
        <v>127</v>
      </c>
      <c r="D6" s="61" t="s">
        <v>128</v>
      </c>
      <c r="E6" s="61" t="s">
        <v>129</v>
      </c>
      <c r="F6" s="61" t="s">
        <v>130</v>
      </c>
    </row>
    <row r="7" spans="1:6" ht="18" customHeight="1">
      <c r="A7" s="68" t="s">
        <v>289</v>
      </c>
      <c r="B7" s="168" t="s">
        <v>281</v>
      </c>
      <c r="C7" s="169" t="s">
        <v>283</v>
      </c>
      <c r="D7" s="170" t="s">
        <v>285</v>
      </c>
      <c r="E7" s="171" t="s">
        <v>287</v>
      </c>
      <c r="F7" s="175" t="s">
        <v>291</v>
      </c>
    </row>
    <row r="8" spans="1:6" ht="4.5" customHeight="1">
      <c r="A8" s="62"/>
      <c r="B8" s="63"/>
      <c r="C8" s="122"/>
      <c r="D8" s="65"/>
      <c r="E8" s="66"/>
      <c r="F8" s="67"/>
    </row>
    <row r="9" spans="1:6" ht="18" customHeight="1">
      <c r="A9" s="291" t="s">
        <v>132</v>
      </c>
      <c r="B9" s="292"/>
      <c r="C9" s="69"/>
      <c r="D9" s="70"/>
      <c r="E9" s="71">
        <f>SUM(F7:F8)</f>
        <v>0</v>
      </c>
      <c r="F9" s="72" t="s">
        <v>133</v>
      </c>
    </row>
    <row r="10" spans="1:6" ht="24" customHeight="1">
      <c r="A10" s="71"/>
      <c r="B10" s="71"/>
      <c r="C10" s="71"/>
      <c r="D10" s="70"/>
      <c r="E10" s="71"/>
      <c r="F10" s="71"/>
    </row>
    <row r="11" spans="1:6" ht="18" customHeight="1">
      <c r="A11" s="68" t="s">
        <v>290</v>
      </c>
      <c r="B11" s="172" t="s">
        <v>282</v>
      </c>
      <c r="C11" s="68" t="s">
        <v>284</v>
      </c>
      <c r="D11" s="173" t="s">
        <v>286</v>
      </c>
      <c r="E11" s="174" t="s">
        <v>288</v>
      </c>
      <c r="F11" s="175" t="s">
        <v>292</v>
      </c>
    </row>
    <row r="12" spans="1:6" ht="4.5" customHeight="1">
      <c r="A12" s="62"/>
      <c r="B12" s="73"/>
      <c r="C12" s="62"/>
      <c r="D12" s="74"/>
      <c r="E12" s="79"/>
      <c r="F12" s="67"/>
    </row>
    <row r="13" spans="1:6" ht="18" customHeight="1">
      <c r="A13" s="291" t="s">
        <v>134</v>
      </c>
      <c r="B13" s="292"/>
      <c r="C13" s="69"/>
      <c r="D13" s="70"/>
      <c r="E13" s="71">
        <f>SUM(F11:F12)</f>
        <v>0</v>
      </c>
      <c r="F13" s="77" t="s">
        <v>133</v>
      </c>
    </row>
    <row r="14" spans="1:6" ht="24" customHeight="1">
      <c r="A14" s="71"/>
      <c r="B14" s="71"/>
      <c r="C14" s="71"/>
      <c r="D14" s="71"/>
      <c r="E14" s="71"/>
      <c r="F14" s="71"/>
    </row>
    <row r="15" spans="1:6" ht="18" customHeight="1">
      <c r="A15" s="78" t="s">
        <v>135</v>
      </c>
      <c r="B15" s="62" t="s">
        <v>131</v>
      </c>
      <c r="C15" s="62" t="s">
        <v>131</v>
      </c>
      <c r="D15" s="62" t="s">
        <v>131</v>
      </c>
      <c r="E15" s="62" t="s">
        <v>131</v>
      </c>
      <c r="F15" s="74" t="str">
        <f>Input!B39</f>
        <v>${FOP.T_DRAFT_EXT_INFO.fo.I}</v>
      </c>
    </row>
    <row r="16" spans="1:6" ht="18" customHeight="1">
      <c r="A16" s="78" t="s">
        <v>136</v>
      </c>
      <c r="B16" s="62" t="s">
        <v>131</v>
      </c>
      <c r="C16" s="62" t="s">
        <v>131</v>
      </c>
      <c r="D16" s="62" t="s">
        <v>131</v>
      </c>
      <c r="E16" s="62" t="s">
        <v>131</v>
      </c>
      <c r="F16" s="74" t="str">
        <f>Input!B40</f>
        <v>${FOP.T_DRAFT_EXT_INFO.doil.I}</v>
      </c>
    </row>
    <row r="17" spans="1:6" ht="18" customHeight="1">
      <c r="A17" s="78" t="s">
        <v>137</v>
      </c>
      <c r="B17" s="62" t="s">
        <v>131</v>
      </c>
      <c r="C17" s="62" t="s">
        <v>131</v>
      </c>
      <c r="D17" s="62" t="s">
        <v>131</v>
      </c>
      <c r="E17" s="62" t="s">
        <v>131</v>
      </c>
      <c r="F17" s="74" t="str">
        <f>Input!B41</f>
        <v>${FOP.T_DRAFT_EXT_INFO.sewage.I}</v>
      </c>
    </row>
    <row r="18" spans="1:6" ht="18" customHeight="1">
      <c r="A18" s="291" t="s">
        <v>138</v>
      </c>
      <c r="B18" s="292"/>
      <c r="C18" s="69"/>
      <c r="D18" s="70"/>
      <c r="E18" s="71">
        <f>SUM(F15:F17)</f>
        <v>0</v>
      </c>
      <c r="F18" s="77" t="s">
        <v>133</v>
      </c>
    </row>
    <row r="19" spans="1:6" ht="18" customHeight="1">
      <c r="A19" s="80"/>
      <c r="B19" s="80"/>
      <c r="C19" s="81"/>
      <c r="D19" s="80"/>
      <c r="E19" s="82"/>
      <c r="F19" s="83"/>
    </row>
    <row r="20" spans="1:6" ht="18" customHeight="1">
      <c r="D20" t="s">
        <v>139</v>
      </c>
      <c r="E20" s="84"/>
      <c r="F20" s="85"/>
    </row>
    <row r="21" spans="1:6" ht="18" customHeight="1">
      <c r="A21" s="286"/>
      <c r="B21" s="286"/>
      <c r="C21" s="286"/>
      <c r="D21" s="286"/>
      <c r="E21" s="286"/>
      <c r="F21" s="286"/>
    </row>
    <row r="22" spans="1:6" ht="18" customHeight="1"/>
    <row r="23" spans="1:6" ht="18" customHeight="1"/>
    <row r="24" spans="1:6" ht="18" customHeight="1"/>
    <row r="25" spans="1:6" ht="18" customHeight="1"/>
    <row r="26" spans="1:6" ht="18" customHeight="1"/>
    <row r="27" spans="1:6" ht="18" customHeight="1"/>
    <row r="28" spans="1:6" ht="18" customHeight="1"/>
    <row r="29" spans="1:6" ht="18" customHeight="1"/>
    <row r="30" spans="1:6" ht="18" customHeight="1"/>
    <row r="31" spans="1:6" ht="18" customHeight="1"/>
    <row r="32" spans="1:6" ht="18" customHeight="1"/>
    <row r="33" ht="18" customHeight="1"/>
    <row r="34" ht="12" customHeight="1"/>
    <row r="35" ht="18" customHeight="1"/>
    <row r="36" ht="18" customHeight="1"/>
    <row r="37" ht="18" customHeight="1"/>
    <row r="38" ht="18" customHeight="1"/>
    <row r="39" ht="20.25" customHeight="1"/>
  </sheetData>
  <mergeCells count="7">
    <mergeCell ref="A21:F21"/>
    <mergeCell ref="A2:D3"/>
    <mergeCell ref="A1:D1"/>
    <mergeCell ref="E1:F1"/>
    <mergeCell ref="A9:B9"/>
    <mergeCell ref="A13:B13"/>
    <mergeCell ref="A18:B18"/>
  </mergeCells>
  <phoneticPr fontId="53" type="noConversion"/>
  <printOptions verticalCentered="1"/>
  <pageMargins left="0.70833333333333304" right="0.70833333333333304" top="0.74791666666666701" bottom="0.74791666666666701" header="0.31458333333333299" footer="0.31458333333333299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13" sqref="A13:B13"/>
    </sheetView>
  </sheetViews>
  <sheetFormatPr defaultColWidth="9" defaultRowHeight="13.5"/>
  <cols>
    <col min="1" max="1" width="13.625" customWidth="1"/>
    <col min="2" max="2" width="15.5" style="52" customWidth="1"/>
    <col min="3" max="4" width="13.625" customWidth="1"/>
    <col min="5" max="5" width="13.625" style="52" customWidth="1"/>
    <col min="6" max="6" width="16.875" customWidth="1"/>
  </cols>
  <sheetData>
    <row r="1" spans="1:6" ht="34.5" customHeight="1">
      <c r="A1" s="289" t="s">
        <v>119</v>
      </c>
      <c r="B1" s="289"/>
      <c r="C1" s="289"/>
      <c r="D1" s="289"/>
      <c r="E1" s="290" t="s">
        <v>120</v>
      </c>
      <c r="F1" s="280"/>
    </row>
    <row r="2" spans="1:6" ht="18.75" customHeight="1">
      <c r="A2" s="287" t="s">
        <v>121</v>
      </c>
      <c r="B2" s="288"/>
      <c r="C2" s="288"/>
      <c r="D2" s="288"/>
      <c r="E2" s="54"/>
      <c r="F2" s="54"/>
    </row>
    <row r="3" spans="1:6" ht="18.75" customHeight="1">
      <c r="A3" s="288"/>
      <c r="B3" s="288"/>
      <c r="C3" s="288"/>
      <c r="D3" s="288"/>
      <c r="E3" s="55"/>
      <c r="F3" s="56">
        <f>calculate1!I4</f>
        <v>44163</v>
      </c>
    </row>
    <row r="4" spans="1:6" ht="28.5" customHeight="1">
      <c r="A4" s="57" t="s">
        <v>122</v>
      </c>
      <c r="B4" s="58" t="str">
        <f>Input1!B5</f>
        <v>${FOP.T_DRAFT_REPORT_INFO.vesselName}</v>
      </c>
      <c r="C4" s="57" t="s">
        <v>143</v>
      </c>
      <c r="D4" s="58" t="str">
        <f>Input1!B6</f>
        <v>${FOP.T_DRAFT_REPORT_INFO.mv}</v>
      </c>
      <c r="E4" s="59" t="s">
        <v>124</v>
      </c>
      <c r="F4" s="60" t="e">
        <f>calculate1!I7&amp;"m"</f>
        <v>#VALUE!</v>
      </c>
    </row>
    <row r="5" spans="1:6" ht="15" customHeight="1">
      <c r="A5" s="57"/>
      <c r="B5" s="58"/>
      <c r="C5" s="57"/>
      <c r="D5" s="58"/>
      <c r="E5" s="59"/>
      <c r="F5" s="60"/>
    </row>
    <row r="6" spans="1:6" ht="18" customHeight="1">
      <c r="A6" s="61" t="s">
        <v>125</v>
      </c>
      <c r="B6" s="61" t="s">
        <v>126</v>
      </c>
      <c r="C6" s="61" t="s">
        <v>127</v>
      </c>
      <c r="D6" s="61" t="s">
        <v>128</v>
      </c>
      <c r="E6" s="61" t="s">
        <v>129</v>
      </c>
      <c r="F6" s="61" t="s">
        <v>130</v>
      </c>
    </row>
    <row r="7" spans="1:6" ht="18" customHeight="1">
      <c r="A7" s="68" t="s">
        <v>293</v>
      </c>
      <c r="B7" s="168" t="s">
        <v>294</v>
      </c>
      <c r="C7" s="169" t="s">
        <v>295</v>
      </c>
      <c r="D7" s="170" t="s">
        <v>296</v>
      </c>
      <c r="E7" s="171" t="s">
        <v>297</v>
      </c>
      <c r="F7" s="175" t="s">
        <v>298</v>
      </c>
    </row>
    <row r="8" spans="1:6" ht="4.5" customHeight="1">
      <c r="A8" s="68"/>
      <c r="B8" s="63"/>
      <c r="C8" s="64"/>
      <c r="D8" s="65"/>
      <c r="E8" s="66"/>
      <c r="F8" s="67"/>
    </row>
    <row r="9" spans="1:6" ht="18" customHeight="1">
      <c r="A9" s="291" t="s">
        <v>132</v>
      </c>
      <c r="B9" s="292"/>
      <c r="C9" s="69"/>
      <c r="D9" s="70"/>
      <c r="E9" s="71">
        <f>SUM(F7:F8)</f>
        <v>0</v>
      </c>
      <c r="F9" s="72" t="s">
        <v>133</v>
      </c>
    </row>
    <row r="10" spans="1:6" ht="24" customHeight="1">
      <c r="A10" s="71"/>
      <c r="B10" s="70"/>
      <c r="C10" s="70"/>
      <c r="D10" s="70"/>
      <c r="E10" s="71"/>
      <c r="F10" s="71"/>
    </row>
    <row r="11" spans="1:6" ht="18" customHeight="1">
      <c r="A11" s="68" t="s">
        <v>299</v>
      </c>
      <c r="B11" s="172" t="s">
        <v>300</v>
      </c>
      <c r="C11" s="173" t="s">
        <v>301</v>
      </c>
      <c r="D11" s="170" t="s">
        <v>302</v>
      </c>
      <c r="E11" s="374" t="s">
        <v>303</v>
      </c>
      <c r="F11" s="375" t="s">
        <v>304</v>
      </c>
    </row>
    <row r="12" spans="1:6" ht="4.5" customHeight="1">
      <c r="A12" s="68"/>
      <c r="B12" s="73"/>
      <c r="C12" s="74"/>
      <c r="D12" s="65"/>
      <c r="E12" s="75"/>
      <c r="F12" s="76"/>
    </row>
    <row r="13" spans="1:6" ht="18" customHeight="1">
      <c r="A13" s="291" t="s">
        <v>134</v>
      </c>
      <c r="B13" s="292"/>
      <c r="C13" s="69"/>
      <c r="D13" s="70"/>
      <c r="E13" s="71">
        <f>SUM(F11:F12)</f>
        <v>0</v>
      </c>
      <c r="F13" s="77" t="s">
        <v>133</v>
      </c>
    </row>
    <row r="14" spans="1:6" ht="24" customHeight="1">
      <c r="A14" s="70"/>
      <c r="B14" s="70"/>
      <c r="C14" s="70"/>
      <c r="D14" s="70"/>
      <c r="E14" s="71"/>
      <c r="F14" s="70"/>
    </row>
    <row r="15" spans="1:6" ht="18" customHeight="1">
      <c r="A15" s="78" t="s">
        <v>135</v>
      </c>
      <c r="B15" s="62" t="s">
        <v>131</v>
      </c>
      <c r="C15" s="62" t="s">
        <v>131</v>
      </c>
      <c r="D15" s="74" t="s">
        <v>131</v>
      </c>
      <c r="E15" s="79" t="s">
        <v>131</v>
      </c>
      <c r="F15" s="74" t="str">
        <f>Input1!B39</f>
        <v>${FOP.T_DRAFT_EXT_INFO.fo.F}</v>
      </c>
    </row>
    <row r="16" spans="1:6" ht="18" customHeight="1">
      <c r="A16" s="78" t="s">
        <v>136</v>
      </c>
      <c r="B16" s="62" t="s">
        <v>131</v>
      </c>
      <c r="C16" s="62" t="s">
        <v>131</v>
      </c>
      <c r="D16" s="74" t="s">
        <v>131</v>
      </c>
      <c r="E16" s="79" t="s">
        <v>131</v>
      </c>
      <c r="F16" s="74" t="str">
        <f>Input1!B40</f>
        <v>${FOP.T_DRAFT_EXT_INFO.doil.F}</v>
      </c>
    </row>
    <row r="17" spans="1:6" ht="18" customHeight="1">
      <c r="A17" s="78" t="s">
        <v>137</v>
      </c>
      <c r="B17" s="62" t="s">
        <v>131</v>
      </c>
      <c r="C17" s="62" t="s">
        <v>131</v>
      </c>
      <c r="D17" s="74" t="s">
        <v>131</v>
      </c>
      <c r="E17" s="79" t="s">
        <v>131</v>
      </c>
      <c r="F17" s="74" t="str">
        <f>Input1!B41</f>
        <v>${FOP.T_DRAFT_EXT_INFO.sewage.F}</v>
      </c>
    </row>
    <row r="18" spans="1:6" ht="18" customHeight="1">
      <c r="A18" s="291" t="s">
        <v>138</v>
      </c>
      <c r="B18" s="292"/>
      <c r="C18" s="69"/>
      <c r="D18" s="70"/>
      <c r="E18" s="71">
        <f>SUM(F15:F17)</f>
        <v>0</v>
      </c>
      <c r="F18" s="77" t="s">
        <v>133</v>
      </c>
    </row>
    <row r="19" spans="1:6" ht="18" customHeight="1">
      <c r="A19" s="80"/>
      <c r="B19" s="80"/>
      <c r="C19" s="81"/>
      <c r="D19" s="80"/>
      <c r="E19" s="82"/>
      <c r="F19" s="83"/>
    </row>
    <row r="20" spans="1:6" ht="18" customHeight="1">
      <c r="D20" t="s">
        <v>139</v>
      </c>
      <c r="E20" s="84"/>
      <c r="F20" s="85"/>
    </row>
    <row r="21" spans="1:6" ht="18" customHeight="1">
      <c r="A21" s="286"/>
      <c r="B21" s="286"/>
      <c r="C21" s="286"/>
      <c r="D21" s="286"/>
      <c r="E21" s="286"/>
      <c r="F21" s="286"/>
    </row>
    <row r="22" spans="1:6" ht="18" customHeight="1"/>
    <row r="23" spans="1:6" ht="18" customHeight="1"/>
    <row r="24" spans="1:6" ht="18" customHeight="1"/>
    <row r="25" spans="1:6" ht="18" customHeight="1"/>
    <row r="26" spans="1:6" ht="18" customHeight="1"/>
    <row r="27" spans="1:6" ht="18" customHeight="1"/>
    <row r="28" spans="1:6" ht="18" customHeight="1"/>
    <row r="29" spans="1:6" ht="18" customHeight="1"/>
    <row r="30" spans="1:6" ht="18" customHeight="1"/>
    <row r="31" spans="1:6" ht="18" customHeight="1"/>
    <row r="32" spans="1:6" ht="18" customHeight="1"/>
    <row r="33" ht="18" customHeight="1"/>
    <row r="34" ht="18" customHeight="1"/>
    <row r="35" ht="18" customHeight="1"/>
    <row r="36" ht="12" customHeight="1"/>
    <row r="37" ht="18" customHeight="1"/>
    <row r="38" ht="18" customHeight="1"/>
    <row r="39" ht="18" customHeight="1"/>
    <row r="40" ht="18" customHeight="1"/>
    <row r="41" ht="20.25" customHeight="1"/>
  </sheetData>
  <mergeCells count="7">
    <mergeCell ref="A21:F21"/>
    <mergeCell ref="A2:D3"/>
    <mergeCell ref="A1:D1"/>
    <mergeCell ref="E1:F1"/>
    <mergeCell ref="A9:B9"/>
    <mergeCell ref="A13:B13"/>
    <mergeCell ref="A18:B18"/>
  </mergeCells>
  <phoneticPr fontId="53" type="noConversion"/>
  <printOptions verticalCentered="1"/>
  <pageMargins left="0.70833333333333304" right="0.70833333333333304" top="0.74791666666666701" bottom="0.74791666666666701" header="0.31458333333333299" footer="0.31458333333333299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2" workbookViewId="0">
      <selection activeCell="K29" sqref="K29"/>
    </sheetView>
  </sheetViews>
  <sheetFormatPr defaultColWidth="9" defaultRowHeight="13.5"/>
  <cols>
    <col min="9" max="9" width="17.25" customWidth="1"/>
  </cols>
  <sheetData>
    <row r="1" spans="1:9">
      <c r="A1" s="1"/>
      <c r="B1" s="2" t="s">
        <v>71</v>
      </c>
      <c r="C1" s="2"/>
      <c r="D1" s="2"/>
      <c r="E1" s="2"/>
      <c r="F1" s="2"/>
      <c r="G1" s="2"/>
      <c r="H1" s="2"/>
      <c r="I1" s="37"/>
    </row>
    <row r="2" spans="1:9">
      <c r="A2" s="3"/>
      <c r="B2" s="4" t="s">
        <v>73</v>
      </c>
      <c r="C2" s="4"/>
      <c r="D2" s="4"/>
      <c r="E2" s="4"/>
      <c r="F2" s="4"/>
      <c r="G2" s="4"/>
      <c r="H2" s="4"/>
      <c r="I2" s="38"/>
    </row>
    <row r="3" spans="1:9">
      <c r="A3" s="5"/>
      <c r="B3" s="6"/>
      <c r="C3" s="6"/>
      <c r="D3" s="6"/>
      <c r="E3" s="6"/>
      <c r="F3" s="6"/>
      <c r="G3" s="6"/>
      <c r="H3" s="6"/>
      <c r="I3" s="39"/>
    </row>
    <row r="4" spans="1:9">
      <c r="A4" s="7" t="s">
        <v>144</v>
      </c>
      <c r="B4" s="345"/>
      <c r="C4" s="345"/>
      <c r="D4" s="8"/>
      <c r="E4" s="8" t="s">
        <v>145</v>
      </c>
      <c r="F4" s="345"/>
      <c r="G4" s="345"/>
      <c r="H4" s="8"/>
      <c r="I4" s="40"/>
    </row>
    <row r="5" spans="1:9">
      <c r="A5" s="9" t="s">
        <v>146</v>
      </c>
      <c r="B5" s="324" t="s">
        <v>243</v>
      </c>
      <c r="C5" s="327"/>
      <c r="D5" s="6"/>
      <c r="E5" s="10" t="s">
        <v>147</v>
      </c>
      <c r="F5" s="346" t="s">
        <v>231</v>
      </c>
      <c r="G5" s="347"/>
      <c r="H5" s="6" t="s">
        <v>90</v>
      </c>
      <c r="I5" s="41"/>
    </row>
    <row r="6" spans="1:9">
      <c r="A6" s="9" t="s">
        <v>148</v>
      </c>
      <c r="B6" s="324" t="s">
        <v>227</v>
      </c>
      <c r="C6" s="327"/>
      <c r="D6" s="6"/>
      <c r="E6" s="10" t="s">
        <v>149</v>
      </c>
      <c r="F6" s="346" t="s">
        <v>241</v>
      </c>
      <c r="G6" s="347"/>
      <c r="H6" s="6" t="s">
        <v>150</v>
      </c>
      <c r="I6" s="41"/>
    </row>
    <row r="7" spans="1:9">
      <c r="A7" s="9" t="s">
        <v>151</v>
      </c>
      <c r="B7" s="326" t="s">
        <v>219</v>
      </c>
      <c r="C7" s="327"/>
      <c r="D7" s="6"/>
      <c r="E7" s="10" t="s">
        <v>152</v>
      </c>
      <c r="F7" s="343" t="s">
        <v>233</v>
      </c>
      <c r="G7" s="344"/>
      <c r="H7" s="6" t="s">
        <v>90</v>
      </c>
      <c r="I7" s="41"/>
    </row>
    <row r="8" spans="1:9">
      <c r="A8" s="11" t="s">
        <v>153</v>
      </c>
      <c r="B8" s="324" t="s">
        <v>229</v>
      </c>
      <c r="C8" s="327"/>
      <c r="D8" s="6"/>
      <c r="E8" s="12" t="s">
        <v>154</v>
      </c>
      <c r="F8" s="343" t="s">
        <v>235</v>
      </c>
      <c r="G8" s="344"/>
      <c r="H8" s="6" t="s">
        <v>90</v>
      </c>
      <c r="I8" s="41"/>
    </row>
    <row r="9" spans="1:9">
      <c r="A9" s="11" t="s">
        <v>155</v>
      </c>
      <c r="B9" s="335">
        <v>43400</v>
      </c>
      <c r="C9" s="336"/>
      <c r="D9" s="6"/>
      <c r="E9" s="12" t="s">
        <v>156</v>
      </c>
      <c r="F9" s="343" t="s">
        <v>237</v>
      </c>
      <c r="G9" s="344"/>
      <c r="H9" s="6" t="s">
        <v>90</v>
      </c>
      <c r="I9" s="41"/>
    </row>
    <row r="10" spans="1:9">
      <c r="A10" s="11" t="s">
        <v>157</v>
      </c>
      <c r="B10" s="335">
        <v>46087.92</v>
      </c>
      <c r="C10" s="336"/>
      <c r="D10" s="6"/>
      <c r="E10" s="10" t="s">
        <v>158</v>
      </c>
      <c r="F10" s="337" t="s">
        <v>239</v>
      </c>
      <c r="G10" s="338"/>
      <c r="H10" s="6" t="s">
        <v>150</v>
      </c>
      <c r="I10" s="41"/>
    </row>
    <row r="11" spans="1:9">
      <c r="A11" s="11" t="s">
        <v>159</v>
      </c>
      <c r="B11" s="324" t="s">
        <v>160</v>
      </c>
      <c r="C11" s="327"/>
      <c r="D11" s="6"/>
      <c r="E11" s="12" t="s">
        <v>161</v>
      </c>
      <c r="F11" s="339">
        <v>0</v>
      </c>
      <c r="G11" s="340"/>
      <c r="H11" s="6" t="s">
        <v>90</v>
      </c>
      <c r="I11" s="41"/>
    </row>
    <row r="12" spans="1:9" ht="15.75">
      <c r="A12" s="11" t="s">
        <v>162</v>
      </c>
      <c r="B12" s="326" t="s">
        <v>220</v>
      </c>
      <c r="C12" s="327"/>
      <c r="D12" s="6"/>
      <c r="E12" s="12" t="s">
        <v>163</v>
      </c>
      <c r="F12" s="341" t="s">
        <v>245</v>
      </c>
      <c r="G12" s="342"/>
      <c r="H12" s="6" t="s">
        <v>164</v>
      </c>
      <c r="I12" s="41"/>
    </row>
    <row r="13" spans="1:9">
      <c r="A13" s="11" t="s">
        <v>165</v>
      </c>
      <c r="B13" s="326" t="s">
        <v>225</v>
      </c>
      <c r="C13" s="327"/>
      <c r="D13" s="6"/>
      <c r="E13" s="12" t="s">
        <v>166</v>
      </c>
      <c r="F13" s="328" t="s">
        <v>167</v>
      </c>
      <c r="G13" s="329"/>
      <c r="H13" s="6"/>
      <c r="I13" s="41"/>
    </row>
    <row r="14" spans="1:9">
      <c r="A14" s="13" t="s">
        <v>168</v>
      </c>
      <c r="B14" s="330">
        <v>41564</v>
      </c>
      <c r="C14" s="331"/>
      <c r="D14" s="14"/>
      <c r="E14" s="15" t="s">
        <v>169</v>
      </c>
      <c r="F14" s="328" t="s">
        <v>170</v>
      </c>
      <c r="G14" s="329"/>
      <c r="H14" s="14"/>
      <c r="I14" s="42"/>
    </row>
    <row r="15" spans="1:9">
      <c r="A15" s="5"/>
      <c r="B15" s="6"/>
      <c r="C15" s="6"/>
      <c r="D15" s="6"/>
      <c r="E15" s="6"/>
      <c r="F15" s="6"/>
      <c r="G15" s="6"/>
      <c r="H15" s="6"/>
      <c r="I15" s="39"/>
    </row>
    <row r="16" spans="1:9">
      <c r="A16" s="16" t="s">
        <v>171</v>
      </c>
      <c r="B16" s="17"/>
      <c r="C16" s="17"/>
      <c r="D16" s="17"/>
      <c r="E16" s="18" t="s">
        <v>172</v>
      </c>
      <c r="F16" s="17"/>
      <c r="G16" s="17"/>
      <c r="H16" s="17"/>
      <c r="I16" s="43"/>
    </row>
    <row r="17" spans="1:9">
      <c r="A17" s="19"/>
      <c r="B17" s="20" t="s">
        <v>76</v>
      </c>
      <c r="C17" s="21" t="s">
        <v>82</v>
      </c>
      <c r="D17" s="22"/>
      <c r="E17" s="23"/>
      <c r="F17" s="24"/>
      <c r="G17" s="24"/>
      <c r="H17" s="24"/>
      <c r="I17" s="44"/>
    </row>
    <row r="18" spans="1:9">
      <c r="A18" s="19" t="s">
        <v>173</v>
      </c>
      <c r="B18" s="25"/>
      <c r="C18" s="25"/>
      <c r="D18" s="22" t="s">
        <v>174</v>
      </c>
      <c r="E18" s="26" t="s">
        <v>175</v>
      </c>
      <c r="F18" s="27"/>
      <c r="G18" s="28" t="e">
        <f>IF(A19-D19=0,"平衡",IF(A19-D19&gt;0,"左倾","右倾"))</f>
        <v>#VALUE!</v>
      </c>
      <c r="H18" s="29" t="e">
        <f>(A19-D19)*100</f>
        <v>#VALUE!</v>
      </c>
      <c r="I18" s="45" t="s">
        <v>176</v>
      </c>
    </row>
    <row r="19" spans="1:9">
      <c r="A19" s="295" t="s">
        <v>246</v>
      </c>
      <c r="B19" s="25"/>
      <c r="C19" s="25"/>
      <c r="D19" s="296" t="s">
        <v>247</v>
      </c>
      <c r="E19" s="23"/>
      <c r="F19" s="24"/>
      <c r="G19" s="30"/>
      <c r="H19" s="24"/>
      <c r="I19" s="44"/>
    </row>
    <row r="20" spans="1:9">
      <c r="A20" s="295"/>
      <c r="B20" s="25"/>
      <c r="C20" s="25"/>
      <c r="D20" s="296"/>
      <c r="E20" s="26" t="s">
        <v>177</v>
      </c>
      <c r="F20" s="27"/>
      <c r="G20" s="28" t="e">
        <f>IF(A23-D23=0,"平衡",IF(A23-D23&gt;0,"左倾","右倾"))</f>
        <v>#VALUE!</v>
      </c>
      <c r="H20" s="29" t="e">
        <f>(A23-D23)*100</f>
        <v>#VALUE!</v>
      </c>
      <c r="I20" s="45" t="s">
        <v>176</v>
      </c>
    </row>
    <row r="21" spans="1:9">
      <c r="A21" s="19"/>
      <c r="B21" s="25"/>
      <c r="C21" s="25"/>
      <c r="D21" s="22"/>
      <c r="E21" s="23"/>
      <c r="F21" s="24"/>
      <c r="G21" s="30"/>
      <c r="H21" s="24"/>
      <c r="I21" s="44"/>
    </row>
    <row r="22" spans="1:9">
      <c r="A22" s="19" t="s">
        <v>178</v>
      </c>
      <c r="B22" s="25"/>
      <c r="C22" s="25"/>
      <c r="D22" s="22" t="s">
        <v>179</v>
      </c>
      <c r="E22" s="26" t="s">
        <v>180</v>
      </c>
      <c r="F22" s="31"/>
      <c r="G22" s="28" t="e">
        <f>IF(A28-D28=0,"平衡",IF(A28-D28&gt;0,"左倾","右倾"))</f>
        <v>#VALUE!</v>
      </c>
      <c r="H22" s="29" t="e">
        <f>(A28-D28)*100</f>
        <v>#VALUE!</v>
      </c>
      <c r="I22" s="46" t="s">
        <v>176</v>
      </c>
    </row>
    <row r="23" spans="1:9">
      <c r="A23" s="295" t="s">
        <v>250</v>
      </c>
      <c r="B23" s="25"/>
      <c r="C23" s="25"/>
      <c r="D23" s="297" t="s">
        <v>251</v>
      </c>
      <c r="E23" s="23"/>
      <c r="F23" s="24"/>
      <c r="G23" s="24"/>
      <c r="H23" s="24"/>
      <c r="I23" s="44"/>
    </row>
    <row r="24" spans="1:9">
      <c r="A24" s="295"/>
      <c r="B24" s="25"/>
      <c r="C24" s="25"/>
      <c r="D24" s="297"/>
      <c r="E24" s="26" t="s">
        <v>181</v>
      </c>
      <c r="F24" s="31"/>
      <c r="G24" s="28" t="e">
        <f>IF(calculate!F15-(calculate!F7+calculate!F11)/2&gt;0,"中垂","中拱")</f>
        <v>#VALUE!</v>
      </c>
      <c r="H24" s="32" t="e">
        <f>(calculate!F15-(calculate!F7+calculate!F11)/2)*100</f>
        <v>#VALUE!</v>
      </c>
      <c r="I24" s="46" t="s">
        <v>176</v>
      </c>
    </row>
    <row r="25" spans="1:9">
      <c r="A25" s="19"/>
      <c r="B25" s="25"/>
      <c r="C25" s="25"/>
      <c r="D25" s="22"/>
      <c r="E25" s="23"/>
      <c r="F25" s="24"/>
      <c r="G25" s="24"/>
      <c r="H25" s="24"/>
      <c r="I25" s="44"/>
    </row>
    <row r="26" spans="1:9">
      <c r="A26" s="19"/>
      <c r="B26" s="25"/>
      <c r="C26" s="25"/>
      <c r="D26" s="22"/>
      <c r="E26" s="26" t="s">
        <v>182</v>
      </c>
      <c r="F26" s="31"/>
      <c r="G26" s="28" t="s">
        <v>183</v>
      </c>
      <c r="H26" s="32" t="e">
        <f>F5/800*100</f>
        <v>#VALUE!</v>
      </c>
      <c r="I26" s="46" t="s">
        <v>176</v>
      </c>
    </row>
    <row r="27" spans="1:9">
      <c r="A27" s="19" t="s">
        <v>184</v>
      </c>
      <c r="B27" s="25"/>
      <c r="C27" s="25"/>
      <c r="D27" s="22" t="s">
        <v>185</v>
      </c>
      <c r="E27" s="23"/>
      <c r="F27" s="24"/>
      <c r="G27" s="24"/>
      <c r="H27" s="24"/>
      <c r="I27" s="44"/>
    </row>
    <row r="28" spans="1:9">
      <c r="A28" s="295" t="s">
        <v>248</v>
      </c>
      <c r="B28" s="25"/>
      <c r="C28" s="25"/>
      <c r="D28" s="295" t="s">
        <v>249</v>
      </c>
      <c r="E28" s="26" t="s">
        <v>186</v>
      </c>
      <c r="F28" s="31"/>
      <c r="G28" s="28" t="s">
        <v>183</v>
      </c>
      <c r="H28" s="32" t="e">
        <f>F5/1200*100</f>
        <v>#VALUE!</v>
      </c>
      <c r="I28" s="46" t="s">
        <v>176</v>
      </c>
    </row>
    <row r="29" spans="1:9">
      <c r="A29" s="295"/>
      <c r="B29" s="25"/>
      <c r="C29" s="25"/>
      <c r="D29" s="295"/>
      <c r="E29" s="23"/>
      <c r="F29" s="24"/>
      <c r="G29" s="24"/>
      <c r="H29" s="24"/>
      <c r="I29" s="44"/>
    </row>
    <row r="30" spans="1:9">
      <c r="A30" s="19"/>
      <c r="B30" s="33" t="s">
        <v>87</v>
      </c>
      <c r="C30" s="34" t="e">
        <f>calculate!H12</f>
        <v>#VALUE!</v>
      </c>
      <c r="D30" s="22"/>
      <c r="E30" s="26" t="s">
        <v>181</v>
      </c>
      <c r="F30" s="31"/>
      <c r="G30" s="332" t="e">
        <f>IF(ABS(H26)&lt;ABS(H24),"拱垂异常！请复核船舶吃水！！","合理")</f>
        <v>#VALUE!</v>
      </c>
      <c r="H30" s="333"/>
      <c r="I30" s="334"/>
    </row>
    <row r="31" spans="1:9">
      <c r="A31" s="5"/>
      <c r="B31" s="6"/>
      <c r="C31" s="6"/>
      <c r="D31" s="6"/>
      <c r="E31" s="6"/>
      <c r="F31" s="6"/>
      <c r="G31" s="6"/>
      <c r="H31" s="6"/>
      <c r="I31" s="39"/>
    </row>
    <row r="32" spans="1:9">
      <c r="A32" s="8" t="s">
        <v>187</v>
      </c>
      <c r="B32" s="35"/>
      <c r="C32" s="35"/>
      <c r="D32" s="8"/>
      <c r="E32" s="8" t="s">
        <v>188</v>
      </c>
      <c r="F32" s="8"/>
      <c r="G32" s="8"/>
      <c r="H32" s="8"/>
      <c r="I32" s="8"/>
    </row>
    <row r="33" spans="1:10">
      <c r="A33" s="6" t="s">
        <v>189</v>
      </c>
      <c r="B33" s="302" t="s">
        <v>252</v>
      </c>
      <c r="C33" s="303"/>
      <c r="D33" s="6"/>
      <c r="E33" s="36" t="s">
        <v>190</v>
      </c>
      <c r="F33" s="319" t="s">
        <v>221</v>
      </c>
      <c r="G33" s="320"/>
      <c r="H33" s="321"/>
      <c r="I33" s="321"/>
    </row>
    <row r="34" spans="1:10">
      <c r="A34" s="6" t="s">
        <v>191</v>
      </c>
      <c r="B34" s="322" t="s">
        <v>254</v>
      </c>
      <c r="C34" s="323"/>
      <c r="D34" s="6"/>
      <c r="E34" s="36" t="s">
        <v>192</v>
      </c>
      <c r="F34" s="324" t="s">
        <v>193</v>
      </c>
      <c r="G34" s="325"/>
      <c r="H34" s="315"/>
      <c r="I34" s="315"/>
    </row>
    <row r="35" spans="1:10">
      <c r="A35" s="12" t="s">
        <v>93</v>
      </c>
      <c r="B35" s="302" t="s">
        <v>253</v>
      </c>
      <c r="C35" s="303"/>
      <c r="D35" s="6"/>
      <c r="E35" s="36" t="s">
        <v>194</v>
      </c>
      <c r="F35" s="326" t="s">
        <v>222</v>
      </c>
      <c r="G35" s="315"/>
      <c r="H35" s="315"/>
      <c r="I35" s="315"/>
    </row>
    <row r="36" spans="1:10">
      <c r="A36" s="12" t="s">
        <v>195</v>
      </c>
      <c r="B36" s="300" t="s">
        <v>255</v>
      </c>
      <c r="C36" s="301"/>
      <c r="D36" s="6"/>
      <c r="E36" s="36" t="s">
        <v>7</v>
      </c>
      <c r="F36" s="313">
        <v>44163</v>
      </c>
      <c r="G36" s="314"/>
      <c r="H36" s="315"/>
      <c r="I36" s="315"/>
    </row>
    <row r="37" spans="1:10">
      <c r="A37" s="12" t="s">
        <v>196</v>
      </c>
      <c r="B37" s="300" t="s">
        <v>256</v>
      </c>
      <c r="C37" s="301"/>
      <c r="D37" s="6"/>
      <c r="E37" s="36" t="s">
        <v>197</v>
      </c>
      <c r="F37" s="316" t="s">
        <v>223</v>
      </c>
      <c r="G37" s="317"/>
      <c r="H37" s="315"/>
      <c r="I37" s="318"/>
    </row>
    <row r="38" spans="1:10">
      <c r="A38" s="12" t="s">
        <v>198</v>
      </c>
      <c r="B38" s="300" t="s">
        <v>257</v>
      </c>
      <c r="C38" s="301"/>
      <c r="D38" s="6"/>
      <c r="E38" s="36" t="s">
        <v>199</v>
      </c>
      <c r="F38" s="316" t="s">
        <v>224</v>
      </c>
      <c r="G38" s="317"/>
      <c r="H38" s="315"/>
      <c r="I38" s="318"/>
    </row>
    <row r="39" spans="1:10">
      <c r="A39" s="12" t="s">
        <v>200</v>
      </c>
      <c r="B39" s="298" t="s">
        <v>258</v>
      </c>
      <c r="C39" s="299"/>
      <c r="D39" s="6"/>
      <c r="E39" s="308" t="s">
        <v>201</v>
      </c>
      <c r="F39" s="254"/>
      <c r="G39" s="309"/>
    </row>
    <row r="40" spans="1:10">
      <c r="A40" s="12" t="s">
        <v>202</v>
      </c>
      <c r="B40" s="298" t="s">
        <v>259</v>
      </c>
      <c r="C40" s="299"/>
      <c r="D40" s="6"/>
      <c r="E40" s="6" t="s">
        <v>203</v>
      </c>
      <c r="F40" s="310">
        <f ca="1">(TODAY()-B14)/365</f>
        <v>7.2739726027397262</v>
      </c>
      <c r="G40" s="311"/>
    </row>
    <row r="41" spans="1:10">
      <c r="A41" s="12" t="s">
        <v>204</v>
      </c>
      <c r="B41" s="298" t="s">
        <v>261</v>
      </c>
      <c r="C41" s="299"/>
      <c r="D41" s="6"/>
      <c r="E41" s="6" t="s">
        <v>205</v>
      </c>
      <c r="F41" s="312">
        <f ca="1">ROUND((F40*0.025+0.5)/100*B10,1)</f>
        <v>314.3</v>
      </c>
      <c r="G41" s="305"/>
      <c r="H41" s="6"/>
      <c r="I41" s="6"/>
      <c r="J41" s="6"/>
    </row>
    <row r="42" spans="1:10">
      <c r="A42" s="12" t="s">
        <v>206</v>
      </c>
      <c r="B42" s="298">
        <v>160</v>
      </c>
      <c r="C42" s="299"/>
      <c r="D42" s="6"/>
      <c r="E42" s="6" t="s">
        <v>158</v>
      </c>
      <c r="F42" s="304" t="str">
        <f>F10</f>
        <v>${FOP.T_DRAFT_REPORT_INFO.shipConstant}</v>
      </c>
      <c r="G42" s="305"/>
      <c r="H42" s="6"/>
      <c r="I42" s="6"/>
      <c r="J42" s="6"/>
    </row>
    <row r="43" spans="1:10">
      <c r="A43" s="12" t="s">
        <v>207</v>
      </c>
      <c r="B43" s="298">
        <v>16198.5</v>
      </c>
      <c r="C43" s="299"/>
      <c r="D43" s="6"/>
      <c r="E43" s="6" t="s">
        <v>208</v>
      </c>
      <c r="F43" s="304" t="e">
        <f ca="1">F42-F41</f>
        <v>#VALUE!</v>
      </c>
      <c r="G43" s="305"/>
      <c r="H43" s="6"/>
      <c r="I43" s="6"/>
      <c r="J43" s="6"/>
    </row>
    <row r="44" spans="1:10">
      <c r="A44" s="12" t="s">
        <v>209</v>
      </c>
      <c r="B44" s="298" t="s">
        <v>260</v>
      </c>
      <c r="C44" s="299"/>
      <c r="D44" s="6"/>
      <c r="E44" s="6" t="s">
        <v>210</v>
      </c>
      <c r="F44" s="306" t="e">
        <f ca="1">ROUND(F43/F42*100,1)&amp;"%"</f>
        <v>#VALUE!</v>
      </c>
      <c r="G44" s="307"/>
      <c r="H44" s="6"/>
      <c r="I44" s="6"/>
      <c r="J44" s="6"/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</row>
    <row r="46" spans="1:10">
      <c r="A46" s="5"/>
      <c r="B46" s="6"/>
      <c r="C46" s="6"/>
      <c r="D46" s="6"/>
      <c r="E46" s="6"/>
      <c r="F46" s="6"/>
      <c r="G46" s="6"/>
      <c r="H46" s="6"/>
      <c r="I46" s="39"/>
    </row>
    <row r="47" spans="1:10">
      <c r="A47" s="1"/>
      <c r="B47" s="2"/>
      <c r="C47" s="2"/>
      <c r="D47" s="2"/>
      <c r="E47" s="2"/>
      <c r="F47" s="2"/>
      <c r="G47" s="2"/>
      <c r="H47" s="2"/>
      <c r="I47" s="37"/>
    </row>
    <row r="48" spans="1:10">
      <c r="A48" s="293" t="s">
        <v>211</v>
      </c>
      <c r="B48" s="294"/>
      <c r="C48" s="294"/>
      <c r="D48" s="6"/>
      <c r="E48" s="6"/>
      <c r="F48" s="6"/>
      <c r="G48" s="6"/>
      <c r="H48" s="6"/>
      <c r="I48" s="39"/>
    </row>
    <row r="49" spans="1:9">
      <c r="A49" s="293"/>
      <c r="B49" s="294"/>
      <c r="C49" s="294"/>
      <c r="D49" s="6"/>
      <c r="E49" s="6"/>
      <c r="F49" s="6"/>
      <c r="G49" s="6"/>
      <c r="H49" s="6"/>
      <c r="I49" s="39"/>
    </row>
    <row r="50" spans="1:9">
      <c r="A50" s="293"/>
      <c r="B50" s="294"/>
      <c r="C50" s="294"/>
      <c r="D50" s="6"/>
      <c r="E50" s="6"/>
      <c r="F50" s="6"/>
      <c r="G50" s="6"/>
      <c r="H50" s="6"/>
      <c r="I50" s="39"/>
    </row>
    <row r="51" spans="1:9">
      <c r="A51" s="293"/>
      <c r="B51" s="294"/>
      <c r="C51" s="294"/>
      <c r="D51" s="6"/>
      <c r="E51" s="6"/>
      <c r="F51" s="6"/>
      <c r="G51" s="6"/>
      <c r="H51" s="6"/>
      <c r="I51" s="39"/>
    </row>
    <row r="52" spans="1:9">
      <c r="A52" s="293"/>
      <c r="B52" s="294"/>
      <c r="C52" s="294"/>
      <c r="D52" s="6"/>
      <c r="E52" s="6"/>
      <c r="F52" s="6"/>
      <c r="G52" s="6"/>
      <c r="H52" s="6"/>
      <c r="I52" s="39"/>
    </row>
    <row r="53" spans="1:9">
      <c r="A53" s="3"/>
      <c r="B53" s="4"/>
      <c r="C53" s="4"/>
      <c r="D53" s="4"/>
      <c r="E53" s="4"/>
      <c r="F53" s="4"/>
      <c r="G53" s="4"/>
      <c r="H53" s="4"/>
      <c r="I53" s="38"/>
    </row>
  </sheetData>
  <mergeCells count="54"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G30:I30"/>
    <mergeCell ref="F33:I33"/>
    <mergeCell ref="B34:C34"/>
    <mergeCell ref="F34:I34"/>
    <mergeCell ref="B35:C35"/>
    <mergeCell ref="F35:I35"/>
    <mergeCell ref="F36:I36"/>
    <mergeCell ref="B37:C37"/>
    <mergeCell ref="F37:I37"/>
    <mergeCell ref="B38:C38"/>
    <mergeCell ref="F38:I38"/>
    <mergeCell ref="E39:G39"/>
    <mergeCell ref="B40:C40"/>
    <mergeCell ref="F40:G40"/>
    <mergeCell ref="B41:C41"/>
    <mergeCell ref="F41:G41"/>
    <mergeCell ref="F42:G42"/>
    <mergeCell ref="B43:C43"/>
    <mergeCell ref="F43:G43"/>
    <mergeCell ref="B44:C44"/>
    <mergeCell ref="F44:G44"/>
    <mergeCell ref="A48:C52"/>
    <mergeCell ref="A19:A20"/>
    <mergeCell ref="A23:A24"/>
    <mergeCell ref="A28:A29"/>
    <mergeCell ref="D19:D20"/>
    <mergeCell ref="D23:D24"/>
    <mergeCell ref="D28:D29"/>
    <mergeCell ref="B42:C42"/>
    <mergeCell ref="B39:C39"/>
    <mergeCell ref="B36:C36"/>
    <mergeCell ref="B33:C33"/>
  </mergeCells>
  <phoneticPr fontId="53" type="noConversion"/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4" workbookViewId="0">
      <selection activeCell="B38" sqref="B38:C38"/>
    </sheetView>
  </sheetViews>
  <sheetFormatPr defaultColWidth="9" defaultRowHeight="13.5"/>
  <cols>
    <col min="9" max="9" width="17.25" customWidth="1"/>
  </cols>
  <sheetData>
    <row r="1" spans="1:9">
      <c r="A1" s="1"/>
      <c r="B1" s="2" t="s">
        <v>71</v>
      </c>
      <c r="C1" s="2"/>
      <c r="D1" s="2"/>
      <c r="E1" s="2"/>
      <c r="F1" s="2"/>
      <c r="G1" s="2"/>
      <c r="H1" s="2"/>
      <c r="I1" s="37"/>
    </row>
    <row r="2" spans="1:9">
      <c r="A2" s="3"/>
      <c r="B2" s="4" t="s">
        <v>73</v>
      </c>
      <c r="C2" s="4"/>
      <c r="D2" s="4"/>
      <c r="E2" s="4"/>
      <c r="F2" s="4"/>
      <c r="G2" s="4"/>
      <c r="H2" s="4"/>
      <c r="I2" s="38"/>
    </row>
    <row r="3" spans="1:9">
      <c r="A3" s="5"/>
      <c r="B3" s="6"/>
      <c r="C3" s="6"/>
      <c r="D3" s="6"/>
      <c r="E3" s="6"/>
      <c r="F3" s="6"/>
      <c r="G3" s="6"/>
      <c r="H3" s="6"/>
      <c r="I3" s="39"/>
    </row>
    <row r="4" spans="1:9">
      <c r="A4" s="7" t="s">
        <v>144</v>
      </c>
      <c r="B4" s="345"/>
      <c r="C4" s="345"/>
      <c r="D4" s="8"/>
      <c r="E4" s="8" t="s">
        <v>145</v>
      </c>
      <c r="F4" s="345"/>
      <c r="G4" s="345"/>
      <c r="H4" s="8"/>
      <c r="I4" s="40"/>
    </row>
    <row r="5" spans="1:9">
      <c r="A5" s="9" t="s">
        <v>146</v>
      </c>
      <c r="B5" s="358" t="s">
        <v>242</v>
      </c>
      <c r="C5" s="359"/>
      <c r="D5" s="6"/>
      <c r="E5" s="10" t="s">
        <v>147</v>
      </c>
      <c r="F5" s="372" t="s">
        <v>230</v>
      </c>
      <c r="G5" s="373"/>
      <c r="H5" s="6" t="s">
        <v>90</v>
      </c>
      <c r="I5" s="41"/>
    </row>
    <row r="6" spans="1:9">
      <c r="A6" s="9" t="s">
        <v>148</v>
      </c>
      <c r="B6" s="358" t="s">
        <v>226</v>
      </c>
      <c r="C6" s="359"/>
      <c r="D6" s="6"/>
      <c r="E6" s="10" t="s">
        <v>149</v>
      </c>
      <c r="F6" s="372" t="s">
        <v>240</v>
      </c>
      <c r="G6" s="373"/>
      <c r="H6" s="6" t="s">
        <v>150</v>
      </c>
      <c r="I6" s="41"/>
    </row>
    <row r="7" spans="1:9">
      <c r="A7" s="9" t="s">
        <v>151</v>
      </c>
      <c r="B7" s="358" t="s">
        <v>262</v>
      </c>
      <c r="C7" s="359"/>
      <c r="D7" s="6"/>
      <c r="E7" s="10" t="s">
        <v>152</v>
      </c>
      <c r="F7" s="352" t="s">
        <v>232</v>
      </c>
      <c r="G7" s="353"/>
      <c r="H7" s="6" t="s">
        <v>90</v>
      </c>
      <c r="I7" s="41"/>
    </row>
    <row r="8" spans="1:9">
      <c r="A8" s="11" t="s">
        <v>153</v>
      </c>
      <c r="B8" s="358" t="s">
        <v>228</v>
      </c>
      <c r="C8" s="359"/>
      <c r="D8" s="6"/>
      <c r="E8" s="12" t="s">
        <v>154</v>
      </c>
      <c r="F8" s="352" t="s">
        <v>234</v>
      </c>
      <c r="G8" s="353"/>
      <c r="H8" s="6" t="s">
        <v>90</v>
      </c>
      <c r="I8" s="41"/>
    </row>
    <row r="9" spans="1:9">
      <c r="A9" s="11" t="s">
        <v>155</v>
      </c>
      <c r="B9" s="358">
        <v>43400</v>
      </c>
      <c r="C9" s="359"/>
      <c r="D9" s="6"/>
      <c r="E9" s="12" t="s">
        <v>156</v>
      </c>
      <c r="F9" s="370" t="s">
        <v>236</v>
      </c>
      <c r="G9" s="371"/>
      <c r="H9" s="6" t="s">
        <v>90</v>
      </c>
      <c r="I9" s="41"/>
    </row>
    <row r="10" spans="1:9">
      <c r="A10" s="11" t="s">
        <v>157</v>
      </c>
      <c r="B10" s="358">
        <v>46087.92</v>
      </c>
      <c r="C10" s="359"/>
      <c r="D10" s="6"/>
      <c r="E10" s="10" t="s">
        <v>158</v>
      </c>
      <c r="F10" s="364" t="s">
        <v>238</v>
      </c>
      <c r="G10" s="365"/>
      <c r="H10" s="6" t="s">
        <v>150</v>
      </c>
      <c r="I10" s="41"/>
    </row>
    <row r="11" spans="1:9">
      <c r="A11" s="11" t="s">
        <v>11</v>
      </c>
      <c r="B11" s="358" t="s">
        <v>160</v>
      </c>
      <c r="C11" s="359"/>
      <c r="D11" s="6"/>
      <c r="E11" s="12" t="s">
        <v>161</v>
      </c>
      <c r="F11" s="366">
        <v>0</v>
      </c>
      <c r="G11" s="367"/>
      <c r="H11" s="6" t="s">
        <v>90</v>
      </c>
      <c r="I11" s="41"/>
    </row>
    <row r="12" spans="1:9" ht="15.75">
      <c r="A12" s="11" t="s">
        <v>212</v>
      </c>
      <c r="B12" s="358" t="s">
        <v>263</v>
      </c>
      <c r="C12" s="359"/>
      <c r="D12" s="6"/>
      <c r="E12" s="12" t="s">
        <v>163</v>
      </c>
      <c r="F12" s="368" t="s">
        <v>244</v>
      </c>
      <c r="G12" s="369"/>
      <c r="H12" s="6" t="s">
        <v>164</v>
      </c>
      <c r="I12" s="41"/>
    </row>
    <row r="13" spans="1:9">
      <c r="A13" s="11" t="s">
        <v>165</v>
      </c>
      <c r="B13" s="358" t="s">
        <v>264</v>
      </c>
      <c r="C13" s="359"/>
      <c r="D13" s="6"/>
      <c r="E13" s="12" t="s">
        <v>166</v>
      </c>
      <c r="F13" s="360" t="s">
        <v>167</v>
      </c>
      <c r="G13" s="361"/>
      <c r="H13" s="6"/>
      <c r="I13" s="41"/>
    </row>
    <row r="14" spans="1:9">
      <c r="A14" s="13" t="s">
        <v>168</v>
      </c>
      <c r="B14" s="362">
        <v>41564</v>
      </c>
      <c r="C14" s="363"/>
      <c r="D14" s="14"/>
      <c r="E14" s="15" t="s">
        <v>169</v>
      </c>
      <c r="F14" s="360" t="s">
        <v>170</v>
      </c>
      <c r="G14" s="361"/>
      <c r="H14" s="14"/>
      <c r="I14" s="42"/>
    </row>
    <row r="15" spans="1:9">
      <c r="A15" s="5"/>
      <c r="B15" s="6"/>
      <c r="C15" s="6"/>
      <c r="D15" s="6"/>
      <c r="E15" s="6"/>
      <c r="F15" s="6"/>
      <c r="G15" s="6"/>
      <c r="H15" s="6"/>
      <c r="I15" s="39"/>
    </row>
    <row r="16" spans="1:9">
      <c r="A16" s="16" t="s">
        <v>171</v>
      </c>
      <c r="B16" s="17"/>
      <c r="C16" s="17"/>
      <c r="D16" s="17"/>
      <c r="E16" s="18" t="s">
        <v>172</v>
      </c>
      <c r="F16" s="17"/>
      <c r="G16" s="17"/>
      <c r="H16" s="17"/>
      <c r="I16" s="43"/>
    </row>
    <row r="17" spans="1:9">
      <c r="A17" s="19"/>
      <c r="B17" s="20" t="s">
        <v>76</v>
      </c>
      <c r="C17" s="21" t="s">
        <v>82</v>
      </c>
      <c r="D17" s="22"/>
      <c r="E17" s="23"/>
      <c r="F17" s="24"/>
      <c r="G17" s="24"/>
      <c r="H17" s="24"/>
      <c r="I17" s="44"/>
    </row>
    <row r="18" spans="1:9">
      <c r="A18" s="19" t="s">
        <v>173</v>
      </c>
      <c r="B18" s="25"/>
      <c r="C18" s="25"/>
      <c r="D18" s="22" t="s">
        <v>174</v>
      </c>
      <c r="E18" s="26" t="s">
        <v>175</v>
      </c>
      <c r="F18" s="27"/>
      <c r="G18" s="28" t="e">
        <f>IF(A19-D19=0,"平衡",IF(A19-D19&gt;0,"左倾","右倾"))</f>
        <v>#VALUE!</v>
      </c>
      <c r="H18" s="29" t="e">
        <f>(A19-D19)*100</f>
        <v>#VALUE!</v>
      </c>
      <c r="I18" s="45" t="s">
        <v>176</v>
      </c>
    </row>
    <row r="19" spans="1:9">
      <c r="A19" s="295" t="s">
        <v>265</v>
      </c>
      <c r="B19" s="25"/>
      <c r="C19" s="25"/>
      <c r="D19" s="295" t="s">
        <v>268</v>
      </c>
      <c r="E19" s="23"/>
      <c r="F19" s="24"/>
      <c r="G19" s="30"/>
      <c r="H19" s="24"/>
      <c r="I19" s="44"/>
    </row>
    <row r="20" spans="1:9">
      <c r="A20" s="295"/>
      <c r="B20" s="25"/>
      <c r="C20" s="25"/>
      <c r="D20" s="295"/>
      <c r="E20" s="26" t="s">
        <v>177</v>
      </c>
      <c r="F20" s="27"/>
      <c r="G20" s="28" t="e">
        <f>IF(A23-D23=0,"平衡",IF(A23-D23&gt;0,"左倾","右倾"))</f>
        <v>#VALUE!</v>
      </c>
      <c r="H20" s="29" t="e">
        <f>(A23-D23)*100</f>
        <v>#VALUE!</v>
      </c>
      <c r="I20" s="45" t="s">
        <v>176</v>
      </c>
    </row>
    <row r="21" spans="1:9">
      <c r="A21" s="19"/>
      <c r="B21" s="25"/>
      <c r="C21" s="25"/>
      <c r="D21" s="22"/>
      <c r="E21" s="23"/>
      <c r="F21" s="24"/>
      <c r="G21" s="30"/>
      <c r="H21" s="24"/>
      <c r="I21" s="44"/>
    </row>
    <row r="22" spans="1:9">
      <c r="A22" s="19" t="s">
        <v>178</v>
      </c>
      <c r="B22" s="25"/>
      <c r="C22" s="25"/>
      <c r="D22" s="22" t="s">
        <v>178</v>
      </c>
      <c r="E22" s="26" t="s">
        <v>180</v>
      </c>
      <c r="F22" s="31"/>
      <c r="G22" s="28" t="e">
        <f>IF(A28-D28=0,"平衡",IF(A28-D28&gt;0,"左倾","右倾"))</f>
        <v>#VALUE!</v>
      </c>
      <c r="H22" s="29" t="e">
        <f>(A28-D28)*100</f>
        <v>#VALUE!</v>
      </c>
      <c r="I22" s="46" t="s">
        <v>176</v>
      </c>
    </row>
    <row r="23" spans="1:9">
      <c r="A23" s="295" t="s">
        <v>266</v>
      </c>
      <c r="B23" s="25"/>
      <c r="C23" s="25"/>
      <c r="D23" s="297" t="s">
        <v>269</v>
      </c>
      <c r="E23" s="23"/>
      <c r="F23" s="24"/>
      <c r="G23" s="24"/>
      <c r="H23" s="24"/>
      <c r="I23" s="44"/>
    </row>
    <row r="24" spans="1:9">
      <c r="A24" s="295"/>
      <c r="B24" s="25"/>
      <c r="C24" s="25"/>
      <c r="D24" s="297"/>
      <c r="E24" s="26" t="s">
        <v>181</v>
      </c>
      <c r="F24" s="31"/>
      <c r="G24" s="28" t="e">
        <f>IF(calculate!F15-(calculate!F7+calculate!F11)/2&gt;0,"中垂","中拱")</f>
        <v>#VALUE!</v>
      </c>
      <c r="H24" s="32" t="e">
        <f>(calculate!F15-(calculate!F7+calculate!F11)/2)*100</f>
        <v>#VALUE!</v>
      </c>
      <c r="I24" s="46" t="s">
        <v>176</v>
      </c>
    </row>
    <row r="25" spans="1:9">
      <c r="A25" s="19"/>
      <c r="B25" s="25"/>
      <c r="C25" s="25"/>
      <c r="D25" s="22"/>
      <c r="E25" s="23"/>
      <c r="F25" s="24"/>
      <c r="G25" s="24"/>
      <c r="H25" s="24"/>
      <c r="I25" s="44"/>
    </row>
    <row r="26" spans="1:9">
      <c r="A26" s="19"/>
      <c r="B26" s="25"/>
      <c r="C26" s="25"/>
      <c r="D26" s="22"/>
      <c r="E26" s="26" t="s">
        <v>182</v>
      </c>
      <c r="F26" s="31"/>
      <c r="G26" s="28" t="s">
        <v>183</v>
      </c>
      <c r="H26" s="32" t="e">
        <f>F5/800*100</f>
        <v>#VALUE!</v>
      </c>
      <c r="I26" s="46" t="s">
        <v>176</v>
      </c>
    </row>
    <row r="27" spans="1:9">
      <c r="A27" s="19" t="s">
        <v>184</v>
      </c>
      <c r="B27" s="25"/>
      <c r="C27" s="25"/>
      <c r="D27" s="22" t="s">
        <v>184</v>
      </c>
      <c r="E27" s="23"/>
      <c r="F27" s="24"/>
      <c r="G27" s="24"/>
      <c r="H27" s="24"/>
      <c r="I27" s="44"/>
    </row>
    <row r="28" spans="1:9">
      <c r="A28" s="295" t="s">
        <v>267</v>
      </c>
      <c r="B28" s="25"/>
      <c r="C28" s="25"/>
      <c r="D28" s="295" t="s">
        <v>270</v>
      </c>
      <c r="E28" s="26" t="s">
        <v>186</v>
      </c>
      <c r="F28" s="31"/>
      <c r="G28" s="28" t="s">
        <v>183</v>
      </c>
      <c r="H28" s="32" t="e">
        <f>F5/1200*100</f>
        <v>#VALUE!</v>
      </c>
      <c r="I28" s="46" t="s">
        <v>176</v>
      </c>
    </row>
    <row r="29" spans="1:9">
      <c r="A29" s="295"/>
      <c r="B29" s="25"/>
      <c r="C29" s="25"/>
      <c r="D29" s="295"/>
      <c r="E29" s="23"/>
      <c r="F29" s="24"/>
      <c r="G29" s="24"/>
      <c r="H29" s="24"/>
      <c r="I29" s="44"/>
    </row>
    <row r="30" spans="1:9">
      <c r="A30" s="19"/>
      <c r="B30" s="33" t="s">
        <v>87</v>
      </c>
      <c r="C30" s="34" t="e">
        <f>calculate1!H12</f>
        <v>#VALUE!</v>
      </c>
      <c r="D30" s="22"/>
      <c r="E30" s="26" t="s">
        <v>181</v>
      </c>
      <c r="F30" s="31"/>
      <c r="G30" s="332" t="e">
        <f>IF(ABS(H26)&lt;ABS(H24),"拱垂异常！请复核船舶吃水！！","合理")</f>
        <v>#VALUE!</v>
      </c>
      <c r="H30" s="333"/>
      <c r="I30" s="334"/>
    </row>
    <row r="31" spans="1:9">
      <c r="A31" s="5"/>
      <c r="B31" s="6"/>
      <c r="C31" s="6"/>
      <c r="D31" s="6"/>
      <c r="E31" s="6"/>
      <c r="F31" s="6"/>
      <c r="G31" s="6"/>
      <c r="H31" s="6"/>
      <c r="I31" s="39"/>
    </row>
    <row r="32" spans="1:9">
      <c r="A32" s="8" t="s">
        <v>187</v>
      </c>
      <c r="B32" s="35"/>
      <c r="C32" s="35"/>
      <c r="D32" s="8"/>
      <c r="E32" s="8" t="s">
        <v>188</v>
      </c>
      <c r="F32" s="8"/>
      <c r="G32" s="8"/>
      <c r="H32" s="8"/>
      <c r="I32" s="8"/>
    </row>
    <row r="33" spans="1:10">
      <c r="A33" s="6" t="s">
        <v>189</v>
      </c>
      <c r="B33" s="339" t="s">
        <v>271</v>
      </c>
      <c r="C33" s="340"/>
      <c r="D33" s="6"/>
      <c r="E33" s="36" t="s">
        <v>190</v>
      </c>
      <c r="F33" s="355" t="str">
        <f>Input!F33</f>
        <v>神华销售集团有限公司</v>
      </c>
      <c r="G33" s="356"/>
      <c r="H33" s="315"/>
      <c r="I33" s="318"/>
    </row>
    <row r="34" spans="1:10">
      <c r="A34" s="6" t="s">
        <v>191</v>
      </c>
      <c r="B34" s="348" t="s">
        <v>272</v>
      </c>
      <c r="C34" s="349"/>
      <c r="D34" s="6"/>
      <c r="E34" s="36" t="s">
        <v>192</v>
      </c>
      <c r="F34" s="355" t="str">
        <f>Input!F34</f>
        <v>CCIC-2018-2-0010</v>
      </c>
      <c r="G34" s="356"/>
      <c r="H34" s="315"/>
      <c r="I34" s="318"/>
    </row>
    <row r="35" spans="1:10">
      <c r="A35" s="12" t="s">
        <v>93</v>
      </c>
      <c r="B35" s="339" t="s">
        <v>273</v>
      </c>
      <c r="C35" s="340"/>
      <c r="D35" s="6"/>
      <c r="E35" s="36" t="s">
        <v>194</v>
      </c>
      <c r="F35" s="357" t="s">
        <v>216</v>
      </c>
      <c r="G35" s="315"/>
      <c r="H35" s="315"/>
      <c r="I35" s="318"/>
    </row>
    <row r="36" spans="1:10">
      <c r="A36" s="12" t="s">
        <v>195</v>
      </c>
      <c r="B36" s="352" t="s">
        <v>274</v>
      </c>
      <c r="C36" s="353"/>
      <c r="D36" s="6"/>
      <c r="E36" s="36" t="s">
        <v>7</v>
      </c>
      <c r="F36" s="354">
        <v>44163</v>
      </c>
      <c r="G36" s="314"/>
      <c r="H36" s="315"/>
      <c r="I36" s="318"/>
    </row>
    <row r="37" spans="1:10">
      <c r="A37" s="12" t="s">
        <v>196</v>
      </c>
      <c r="B37" s="339" t="s">
        <v>275</v>
      </c>
      <c r="C37" s="340"/>
      <c r="D37" s="6"/>
      <c r="E37" s="36" t="s">
        <v>197</v>
      </c>
      <c r="F37" s="316" t="s">
        <v>217</v>
      </c>
      <c r="G37" s="317"/>
      <c r="H37" s="315"/>
      <c r="I37" s="318"/>
    </row>
    <row r="38" spans="1:10">
      <c r="A38" s="12" t="s">
        <v>198</v>
      </c>
      <c r="B38" s="339" t="s">
        <v>280</v>
      </c>
      <c r="C38" s="340"/>
      <c r="D38" s="6"/>
      <c r="E38" s="36" t="s">
        <v>199</v>
      </c>
      <c r="F38" s="316" t="s">
        <v>218</v>
      </c>
      <c r="G38" s="317"/>
      <c r="H38" s="315"/>
      <c r="I38" s="318"/>
    </row>
    <row r="39" spans="1:10">
      <c r="A39" s="12" t="s">
        <v>200</v>
      </c>
      <c r="B39" s="348" t="s">
        <v>276</v>
      </c>
      <c r="C39" s="349"/>
      <c r="D39" s="6"/>
      <c r="E39" s="308" t="s">
        <v>201</v>
      </c>
      <c r="F39" s="254"/>
      <c r="G39" s="309"/>
      <c r="H39" s="351" t="s">
        <v>213</v>
      </c>
      <c r="I39" s="254"/>
    </row>
    <row r="40" spans="1:10">
      <c r="A40" s="12" t="s">
        <v>202</v>
      </c>
      <c r="B40" s="348" t="s">
        <v>277</v>
      </c>
      <c r="C40" s="349"/>
      <c r="D40" s="6"/>
      <c r="E40" s="6" t="s">
        <v>203</v>
      </c>
      <c r="F40" s="310">
        <f ca="1">(TODAY()-B14)/365</f>
        <v>7.2739726027397262</v>
      </c>
      <c r="G40" s="311"/>
      <c r="H40" s="6" t="s">
        <v>155</v>
      </c>
      <c r="I40" s="47">
        <f>B9</f>
        <v>43400</v>
      </c>
    </row>
    <row r="41" spans="1:10">
      <c r="A41" s="12" t="s">
        <v>204</v>
      </c>
      <c r="B41" s="348" t="s">
        <v>278</v>
      </c>
      <c r="C41" s="349"/>
      <c r="D41" s="6"/>
      <c r="E41" s="6" t="s">
        <v>205</v>
      </c>
      <c r="F41" s="312">
        <f ca="1">ROUND((F40*0.025+0.5)/100*B10,1)</f>
        <v>314.3</v>
      </c>
      <c r="G41" s="305"/>
      <c r="H41" s="6" t="s">
        <v>214</v>
      </c>
      <c r="I41" s="48" t="e">
        <f>ABS((calculate!G26-calculate!B46)-(calculate1!G26-calculate1!B46))</f>
        <v>#VALUE!</v>
      </c>
    </row>
    <row r="42" spans="1:10">
      <c r="A42" s="12" t="s">
        <v>206</v>
      </c>
      <c r="B42" s="348">
        <v>160</v>
      </c>
      <c r="C42" s="349"/>
      <c r="D42" s="6"/>
      <c r="E42" s="6" t="s">
        <v>158</v>
      </c>
      <c r="F42" s="304" t="str">
        <f>F10</f>
        <v>${FOP.T_DRAFT_REPORT_INFO.shipConstant}</v>
      </c>
      <c r="G42" s="305"/>
      <c r="H42" s="6" t="s">
        <v>215</v>
      </c>
      <c r="I42" s="49">
        <v>0</v>
      </c>
      <c r="J42" s="50"/>
    </row>
    <row r="43" spans="1:10">
      <c r="A43" s="12" t="s">
        <v>207</v>
      </c>
      <c r="B43" s="350">
        <v>16198.5</v>
      </c>
      <c r="C43" s="349"/>
      <c r="D43" s="6"/>
      <c r="E43" s="6" t="s">
        <v>208</v>
      </c>
      <c r="F43" s="304" t="e">
        <f ca="1">F42-F41</f>
        <v>#VALUE!</v>
      </c>
      <c r="G43" s="305"/>
      <c r="H43" s="6" t="s">
        <v>208</v>
      </c>
      <c r="I43" s="51" t="e">
        <f>IF(I42&gt;0,ROUND((I41-I42),1),ROUND((I41-I40),1))</f>
        <v>#VALUE!</v>
      </c>
    </row>
    <row r="44" spans="1:10">
      <c r="A44" s="12" t="s">
        <v>209</v>
      </c>
      <c r="B44" s="348" t="s">
        <v>279</v>
      </c>
      <c r="C44" s="349"/>
      <c r="D44" s="6"/>
      <c r="E44" s="6" t="s">
        <v>210</v>
      </c>
      <c r="F44" s="306" t="e">
        <f ca="1">ROUND(F43/F42*100,1)&amp;"%"</f>
        <v>#VALUE!</v>
      </c>
      <c r="G44" s="307"/>
      <c r="H44" s="6" t="s">
        <v>210</v>
      </c>
      <c r="I44" s="51" t="e">
        <f>IF(I42&gt;0,ROUND(I43/I42*1000,1)&amp;"‰",ROUND((I43/I40)*1000,1)&amp;"‰")</f>
        <v>#VALUE!</v>
      </c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</row>
    <row r="46" spans="1:10">
      <c r="A46" s="5"/>
      <c r="B46" s="6"/>
      <c r="C46" s="6"/>
      <c r="D46" s="6"/>
      <c r="E46" s="6"/>
      <c r="F46" s="6"/>
      <c r="G46" s="6"/>
      <c r="H46" s="6"/>
      <c r="I46" s="39"/>
    </row>
    <row r="47" spans="1:10">
      <c r="A47" s="1"/>
      <c r="B47" s="2"/>
      <c r="C47" s="2"/>
      <c r="D47" s="2"/>
      <c r="E47" s="2"/>
      <c r="F47" s="2"/>
      <c r="G47" s="2"/>
      <c r="H47" s="2"/>
      <c r="I47" s="37"/>
    </row>
    <row r="48" spans="1:10">
      <c r="A48" s="293" t="s">
        <v>211</v>
      </c>
      <c r="B48" s="294"/>
      <c r="C48" s="294"/>
      <c r="D48" s="6"/>
      <c r="E48" s="6"/>
      <c r="F48" s="6"/>
      <c r="G48" s="6"/>
      <c r="H48" s="6"/>
      <c r="I48" s="39"/>
    </row>
    <row r="49" spans="1:9">
      <c r="A49" s="293"/>
      <c r="B49" s="294"/>
      <c r="C49" s="294"/>
      <c r="D49" s="6"/>
      <c r="E49" s="6"/>
      <c r="F49" s="6"/>
      <c r="G49" s="6"/>
      <c r="H49" s="6"/>
      <c r="I49" s="39"/>
    </row>
    <row r="50" spans="1:9">
      <c r="A50" s="293"/>
      <c r="B50" s="294"/>
      <c r="C50" s="294"/>
      <c r="D50" s="6"/>
      <c r="E50" s="6"/>
      <c r="F50" s="6"/>
      <c r="G50" s="6"/>
      <c r="H50" s="6"/>
      <c r="I50" s="39"/>
    </row>
    <row r="51" spans="1:9">
      <c r="A51" s="293"/>
      <c r="B51" s="294"/>
      <c r="C51" s="294"/>
      <c r="D51" s="6"/>
      <c r="E51" s="6"/>
      <c r="F51" s="6"/>
      <c r="G51" s="6"/>
      <c r="H51" s="6"/>
      <c r="I51" s="39"/>
    </row>
    <row r="52" spans="1:9">
      <c r="A52" s="293"/>
      <c r="B52" s="294"/>
      <c r="C52" s="294"/>
      <c r="D52" s="6"/>
      <c r="E52" s="6"/>
      <c r="F52" s="6"/>
      <c r="G52" s="6"/>
      <c r="H52" s="6"/>
      <c r="I52" s="39"/>
    </row>
    <row r="53" spans="1:9">
      <c r="A53" s="3"/>
      <c r="B53" s="4"/>
      <c r="C53" s="4"/>
      <c r="D53" s="4"/>
      <c r="E53" s="4"/>
      <c r="F53" s="4"/>
      <c r="G53" s="4"/>
      <c r="H53" s="4"/>
      <c r="I53" s="38"/>
    </row>
  </sheetData>
  <mergeCells count="55"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G30:I30"/>
    <mergeCell ref="B33:C33"/>
    <mergeCell ref="F33:I33"/>
    <mergeCell ref="B34:C34"/>
    <mergeCell ref="F34:I34"/>
    <mergeCell ref="B35:C35"/>
    <mergeCell ref="F35:I35"/>
    <mergeCell ref="E39:G39"/>
    <mergeCell ref="H39:I39"/>
    <mergeCell ref="B40:C40"/>
    <mergeCell ref="F40:G40"/>
    <mergeCell ref="B36:C36"/>
    <mergeCell ref="F36:I36"/>
    <mergeCell ref="B37:C37"/>
    <mergeCell ref="F37:I37"/>
    <mergeCell ref="B38:C38"/>
    <mergeCell ref="F38:I38"/>
    <mergeCell ref="A48:C52"/>
    <mergeCell ref="B44:C44"/>
    <mergeCell ref="F44:G44"/>
    <mergeCell ref="A19:A20"/>
    <mergeCell ref="A23:A24"/>
    <mergeCell ref="A28:A29"/>
    <mergeCell ref="D19:D20"/>
    <mergeCell ref="D23:D24"/>
    <mergeCell ref="D28:D29"/>
    <mergeCell ref="B41:C41"/>
    <mergeCell ref="F41:G41"/>
    <mergeCell ref="B42:C42"/>
    <mergeCell ref="F42:G42"/>
    <mergeCell ref="B43:C43"/>
    <mergeCell ref="F43:G43"/>
    <mergeCell ref="B39:C39"/>
  </mergeCells>
  <phoneticPr fontId="53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Draft Report</vt:lpstr>
      <vt:lpstr>calculate</vt:lpstr>
      <vt:lpstr>calculate1</vt:lpstr>
      <vt:lpstr>BW</vt:lpstr>
      <vt:lpstr>BW1</vt:lpstr>
      <vt:lpstr>Input</vt:lpstr>
      <vt:lpstr>Input1</vt:lpstr>
      <vt:lpstr>BW!Print_Area</vt:lpstr>
      <vt:lpstr>'BW1'!Print_Area</vt:lpstr>
      <vt:lpstr>calculate!Print_Area</vt:lpstr>
      <vt:lpstr>calculate1!Print_Area</vt:lpstr>
      <vt:lpstr>'Draft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INSPECTION</dc:creator>
  <cp:lastModifiedBy>Sun YuHong</cp:lastModifiedBy>
  <dcterms:created xsi:type="dcterms:W3CDTF">2006-09-13T11:21:00Z</dcterms:created>
  <dcterms:modified xsi:type="dcterms:W3CDTF">2021-01-23T11:09:11Z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