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Git_Clone_Files\Asset-Management-ERP-MBA\Final Internship Report\"/>
    </mc:Choice>
  </mc:AlternateContent>
  <bookViews>
    <workbookView minimized="1" xWindow="0" yWindow="0" windowWidth="28800" windowHeight="12585" firstSheet="1" activeTab="1"/>
  </bookViews>
  <sheets>
    <sheet name="Main Assumptions" sheetId="3" state="hidden" r:id="rId1"/>
    <sheet name="Historical" sheetId="1" r:id="rId2"/>
    <sheet name="Interface" sheetId="4" r:id="rId3"/>
  </sheets>
  <externalReferences>
    <externalReference r:id="rId4"/>
  </externalReferences>
  <definedNames>
    <definedName name="_xlnm.Print_Area" localSheetId="1">Historical!$A$1:$K$197</definedName>
    <definedName name="_xlnm.Print_Titles" localSheetId="1">Historical!$3:$3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8" i="1" l="1"/>
  <c r="K120" i="1"/>
  <c r="K110" i="1"/>
  <c r="J110" i="1"/>
  <c r="K99" i="1"/>
  <c r="K96" i="1" s="1"/>
  <c r="K97" i="1"/>
  <c r="J97" i="1"/>
  <c r="K76" i="1"/>
  <c r="K67" i="1"/>
  <c r="K71" i="1"/>
  <c r="K66" i="1"/>
  <c r="K65" i="1"/>
  <c r="J66" i="1"/>
  <c r="J64" i="1"/>
  <c r="J65" i="1"/>
  <c r="J63" i="1"/>
  <c r="J69" i="1"/>
  <c r="K43" i="1"/>
  <c r="K32" i="1"/>
  <c r="K30" i="1"/>
  <c r="K27" i="1"/>
  <c r="K24" i="1"/>
  <c r="K17" i="1"/>
  <c r="K13" i="1"/>
  <c r="K11" i="1"/>
  <c r="K10" i="1"/>
  <c r="J120" i="1"/>
  <c r="J99" i="1"/>
  <c r="J96" i="1" s="1"/>
  <c r="J76" i="1"/>
  <c r="J70" i="1" s="1"/>
  <c r="J43" i="1"/>
  <c r="J30" i="1"/>
  <c r="J32" i="1" s="1"/>
  <c r="J27" i="1"/>
  <c r="J24" i="1"/>
  <c r="J17" i="1"/>
  <c r="J10" i="1"/>
  <c r="I110" i="1"/>
  <c r="I97" i="1"/>
  <c r="I99" i="1" s="1"/>
  <c r="I96" i="1" s="1"/>
  <c r="I92" i="1"/>
  <c r="I70" i="1"/>
  <c r="H70" i="1"/>
  <c r="I63" i="1"/>
  <c r="I64" i="1"/>
  <c r="I30" i="1"/>
  <c r="I32" i="1" s="1"/>
  <c r="I27" i="1"/>
  <c r="I10" i="1"/>
  <c r="I17" i="1"/>
  <c r="K70" i="1" l="1"/>
  <c r="K69" i="1" s="1"/>
  <c r="K63" i="1"/>
  <c r="L63" i="1" s="1"/>
  <c r="K64" i="1"/>
  <c r="D6" i="4"/>
  <c r="D18" i="4"/>
  <c r="H186" i="3" l="1"/>
  <c r="H176" i="3"/>
  <c r="H147" i="3"/>
  <c r="H137" i="3"/>
  <c r="H110" i="3"/>
  <c r="H100" i="3"/>
  <c r="G100" i="3"/>
  <c r="F100" i="3"/>
  <c r="E100" i="3"/>
  <c r="H97" i="3"/>
  <c r="H99" i="3" s="1"/>
  <c r="H96" i="3" s="1"/>
  <c r="G96" i="3"/>
  <c r="F96" i="3"/>
  <c r="E96" i="3"/>
  <c r="H92" i="3"/>
  <c r="H70" i="3"/>
  <c r="G70" i="3"/>
  <c r="F70" i="3"/>
  <c r="E70" i="3"/>
  <c r="H68" i="3"/>
  <c r="H63" i="3" s="1"/>
  <c r="H64" i="3"/>
  <c r="G64" i="3"/>
  <c r="F64" i="3"/>
  <c r="E64" i="3"/>
  <c r="G63" i="3"/>
  <c r="G60" i="3" s="1"/>
  <c r="F63" i="3"/>
  <c r="F60" i="3" s="1"/>
  <c r="E63" i="3"/>
  <c r="E32" i="3"/>
  <c r="H30" i="3"/>
  <c r="F29" i="3"/>
  <c r="F32" i="3" s="1"/>
  <c r="G29" i="3" s="1"/>
  <c r="G32" i="3" s="1"/>
  <c r="H29" i="3" s="1"/>
  <c r="H32" i="3" s="1"/>
  <c r="H27" i="3"/>
  <c r="F26" i="3"/>
  <c r="G26" i="3" s="1"/>
  <c r="H26" i="3" s="1"/>
  <c r="I17" i="3"/>
  <c r="E17" i="3"/>
  <c r="F13" i="3" s="1"/>
  <c r="F17" i="3" s="1"/>
  <c r="G13" i="3" s="1"/>
  <c r="G17" i="3" s="1"/>
  <c r="H13" i="3" s="1"/>
  <c r="H17" i="3" s="1"/>
  <c r="E17" i="1"/>
  <c r="F13" i="1" s="1"/>
  <c r="F17" i="1" s="1"/>
  <c r="G13" i="1" s="1"/>
  <c r="G17" i="1" s="1"/>
  <c r="H13" i="1" s="1"/>
  <c r="H17" i="1" s="1"/>
  <c r="F26" i="1"/>
  <c r="G26" i="1" s="1"/>
  <c r="H26" i="1" s="1"/>
  <c r="E32" i="1"/>
  <c r="F29" i="1" s="1"/>
  <c r="F32" i="1" s="1"/>
  <c r="G29" i="1" s="1"/>
  <c r="G32" i="1" s="1"/>
  <c r="H29" i="1" s="1"/>
  <c r="E63" i="1"/>
  <c r="F63" i="1"/>
  <c r="F60" i="1" s="1"/>
  <c r="G63" i="1"/>
  <c r="G60" i="1" s="1"/>
  <c r="E64" i="1"/>
  <c r="F64" i="1"/>
  <c r="G64" i="1"/>
  <c r="E70" i="1"/>
  <c r="F70" i="1"/>
  <c r="G70" i="1"/>
  <c r="E96" i="1"/>
  <c r="F96" i="1"/>
  <c r="G96" i="1"/>
  <c r="E100" i="1"/>
  <c r="F100" i="1"/>
  <c r="G100" i="1"/>
  <c r="H27" i="1"/>
  <c r="H64" i="1"/>
  <c r="H68" i="1"/>
  <c r="H63" i="1" s="1"/>
  <c r="H92" i="1"/>
  <c r="H97" i="1"/>
  <c r="H99" i="1" s="1"/>
  <c r="H96" i="1" s="1"/>
  <c r="H100" i="1"/>
  <c r="H110" i="1"/>
  <c r="H138" i="1"/>
  <c r="H151" i="1"/>
  <c r="H181" i="1"/>
  <c r="H191" i="1"/>
  <c r="H32" i="1" l="1"/>
</calcChain>
</file>

<file path=xl/sharedStrings.xml><?xml version="1.0" encoding="utf-8"?>
<sst xmlns="http://schemas.openxmlformats.org/spreadsheetml/2006/main" count="406" uniqueCount="175">
  <si>
    <t>Property Plant and Equipment</t>
  </si>
  <si>
    <t>Opening Balance</t>
  </si>
  <si>
    <t xml:space="preserve"> - Gross Block</t>
  </si>
  <si>
    <t>Breakup provided below at row 180</t>
  </si>
  <si>
    <t xml:space="preserve"> - Accumulated Depreciation</t>
  </si>
  <si>
    <t>Modifications during the year</t>
  </si>
  <si>
    <t xml:space="preserve"> - Asset purchases during the year (addition to the Gross Block)</t>
  </si>
  <si>
    <t xml:space="preserve"> - Depreciation during the year</t>
  </si>
  <si>
    <t>Capital Work in Progress</t>
  </si>
  <si>
    <t>Additions during the year</t>
  </si>
  <si>
    <t>Adjustments during the year</t>
  </si>
  <si>
    <t>Transferred to Property, Plant and Equipment</t>
  </si>
  <si>
    <t>Closing Balance</t>
  </si>
  <si>
    <t>Rate Receivables (Debtors)</t>
  </si>
  <si>
    <t>Opening Balance - Gross</t>
  </si>
  <si>
    <t>Add: Billling during the year (revenue)</t>
  </si>
  <si>
    <t>Less: Collection during the year</t>
  </si>
  <si>
    <t>Provision for bad debts on rates receivables</t>
  </si>
  <si>
    <t xml:space="preserve">Opening Balance </t>
  </si>
  <si>
    <t>Add: Provision for the year</t>
  </si>
  <si>
    <t>Grant and other funds</t>
  </si>
  <si>
    <t>Add: Grant received during the year</t>
  </si>
  <si>
    <t>Loan and borrowings</t>
  </si>
  <si>
    <t>Additions</t>
  </si>
  <si>
    <t>Repayment</t>
  </si>
  <si>
    <t>Closing balance</t>
  </si>
  <si>
    <t>Balance Sheet</t>
  </si>
  <si>
    <t>Assets</t>
  </si>
  <si>
    <t xml:space="preserve"> - Intangible Assets</t>
  </si>
  <si>
    <t xml:space="preserve"> - Receivables from ICB Islamic Bank</t>
  </si>
  <si>
    <t xml:space="preserve"> - Material and Supplies</t>
  </si>
  <si>
    <t xml:space="preserve"> - Advances, deposits and prepayments</t>
  </si>
  <si>
    <t xml:space="preserve"> - Investments</t>
  </si>
  <si>
    <t xml:space="preserve"> - Other receivables</t>
  </si>
  <si>
    <t xml:space="preserve"> - Advance income tax</t>
  </si>
  <si>
    <t>Liabilities</t>
  </si>
  <si>
    <t xml:space="preserve"> - Capital Fund</t>
  </si>
  <si>
    <t xml:space="preserve"> - Revaluation Surplus</t>
  </si>
  <si>
    <t xml:space="preserve"> - Accumulated Profit / (-Loss)</t>
  </si>
  <si>
    <t xml:space="preserve"> - Government grants </t>
  </si>
  <si>
    <t xml:space="preserve"> - Deferred tax liabilities</t>
  </si>
  <si>
    <t xml:space="preserve"> - Loan and borrowings (Non-current)</t>
  </si>
  <si>
    <t xml:space="preserve"> - Loan and borrowings (Current)</t>
  </si>
  <si>
    <t xml:space="preserve"> - Liabilities for expenses</t>
  </si>
  <si>
    <t xml:space="preserve"> - Liabilities for other finance</t>
  </si>
  <si>
    <t xml:space="preserve"> - Provision for audit fees</t>
  </si>
  <si>
    <t xml:space="preserve"> - Provision for govt. commission</t>
  </si>
  <si>
    <t xml:space="preserve"> - Provision for taxation</t>
  </si>
  <si>
    <t>Income Statement</t>
  </si>
  <si>
    <t>Revenue</t>
  </si>
  <si>
    <t xml:space="preserve"> - Water</t>
  </si>
  <si>
    <t xml:space="preserve"> - Sewer</t>
  </si>
  <si>
    <t xml:space="preserve"> - Street Hydrant</t>
  </si>
  <si>
    <t xml:space="preserve"> - Other Income</t>
  </si>
  <si>
    <t>Breakup of other income</t>
  </si>
  <si>
    <t>Income from connection</t>
  </si>
  <si>
    <t>Water</t>
  </si>
  <si>
    <t>Sewer</t>
  </si>
  <si>
    <t>Water sale</t>
  </si>
  <si>
    <t>Government grants for drainage maintenance income</t>
  </si>
  <si>
    <t>Miscellaneous income</t>
  </si>
  <si>
    <t>Misc. income</t>
  </si>
  <si>
    <t>Sale of materials connection</t>
  </si>
  <si>
    <t xml:space="preserve">Sale of tender documents </t>
  </si>
  <si>
    <t>Interest income (interest on STD a/c and FDR investment)</t>
  </si>
  <si>
    <t>Licence fee</t>
  </si>
  <si>
    <t>Royalty of deep tube-well</t>
  </si>
  <si>
    <t xml:space="preserve">Other income </t>
  </si>
  <si>
    <t>Water and sewerage charge from salary</t>
  </si>
  <si>
    <t>House building interest</t>
  </si>
  <si>
    <t>House maintenance income</t>
  </si>
  <si>
    <t>Supervision income</t>
  </si>
  <si>
    <t>Office building rent</t>
  </si>
  <si>
    <t>Sur-charge</t>
  </si>
  <si>
    <t>High rise building permission</t>
  </si>
  <si>
    <t>Meter testing</t>
  </si>
  <si>
    <t>Bus fare</t>
  </si>
  <si>
    <t>Penalty</t>
  </si>
  <si>
    <t>Renewal fee</t>
  </si>
  <si>
    <t>Computer loan interest</t>
  </si>
  <si>
    <t>Salary and wages</t>
  </si>
  <si>
    <t>Provision for pension</t>
  </si>
  <si>
    <t>Repairs and Maintenance</t>
  </si>
  <si>
    <t xml:space="preserve"> - Power</t>
  </si>
  <si>
    <t xml:space="preserve"> - Repairs and Maintenance (incl. chemical, drainage, WTP, STP expenses)</t>
  </si>
  <si>
    <t xml:space="preserve"> - Procurement (Revenue purchase)</t>
  </si>
  <si>
    <t>Operational expenses - WTP  (Excl. power and manpower costs)</t>
  </si>
  <si>
    <t>Operational  &amp; distribution expenses (Excl. power and manpower costs)</t>
  </si>
  <si>
    <t>Breakup of operational expenses</t>
  </si>
  <si>
    <t>Others</t>
  </si>
  <si>
    <t xml:space="preserve"> - Administrative &amp; Contingencies expenditure</t>
  </si>
  <si>
    <t xml:space="preserve"> - Commission for Lease out for Revenue Zones</t>
  </si>
  <si>
    <t xml:space="preserve"> - Amortisation</t>
  </si>
  <si>
    <t xml:space="preserve"> - Interest (DSL)</t>
  </si>
  <si>
    <t>Income Tax Expenses</t>
  </si>
  <si>
    <t>Gross Block Breakup</t>
  </si>
  <si>
    <t>Water:</t>
  </si>
  <si>
    <t>Land</t>
  </si>
  <si>
    <t>Building</t>
  </si>
  <si>
    <t>Deep Tube-well</t>
  </si>
  <si>
    <t>Plant and machinery</t>
  </si>
  <si>
    <t>Service equipment</t>
  </si>
  <si>
    <t>Steel overhead tank</t>
  </si>
  <si>
    <t>Boundary wall</t>
  </si>
  <si>
    <t>Water Main line</t>
  </si>
  <si>
    <t>Water distribution line</t>
  </si>
  <si>
    <t>Saidabad water treatment plant 1</t>
  </si>
  <si>
    <t>Saidabad water treatment plant 2</t>
  </si>
  <si>
    <t>S.W.P (plant and machinery)</t>
  </si>
  <si>
    <t>Plant (crash program)</t>
  </si>
  <si>
    <t>S.T.P (plant and machinery)</t>
  </si>
  <si>
    <t>Sewer Main Line</t>
  </si>
  <si>
    <t>Sub sewer line</t>
  </si>
  <si>
    <t>Drainage line</t>
  </si>
  <si>
    <t>S.W.D Line/IFPP</t>
  </si>
  <si>
    <t>S.S. Line/IFPP</t>
  </si>
  <si>
    <t>S. Pump/IFPP</t>
  </si>
  <si>
    <t>Common:</t>
  </si>
  <si>
    <t>Furniture and office equipment</t>
  </si>
  <si>
    <t>Vehicle</t>
  </si>
  <si>
    <t>Generator</t>
  </si>
  <si>
    <t>Electric sub station</t>
  </si>
  <si>
    <t>Air conditioner</t>
  </si>
  <si>
    <t>Computer</t>
  </si>
  <si>
    <t>Accumulated Depreciation</t>
  </si>
  <si>
    <t>% assumptions</t>
  </si>
  <si>
    <t>DWASA HISTORICAL DATA</t>
  </si>
  <si>
    <t>DWASA MODEL INPUT SHEET</t>
  </si>
  <si>
    <t>Finance &amp; Accounts Department</t>
  </si>
  <si>
    <t>Note 4 on PPE of Draft FS</t>
  </si>
  <si>
    <t>Note 6 of Draft FS</t>
  </si>
  <si>
    <t>Note 9 of Draft FS</t>
  </si>
  <si>
    <t>Note 14 of Draft FS</t>
  </si>
  <si>
    <t>Note 16 of Draft FS and DSL</t>
  </si>
  <si>
    <t>Statement of Financial Position of Draft FS</t>
  </si>
  <si>
    <t>Statement of Comprehensive Income of Draft FS</t>
  </si>
  <si>
    <t>Breakup provided below at row 116</t>
  </si>
  <si>
    <t>All units are in Million Taka - so kindly divide FS data by 1000000</t>
  </si>
  <si>
    <t>Water ATM booth</t>
  </si>
  <si>
    <t>Note 4 (Column H)</t>
  </si>
  <si>
    <t>Sewer Main Line(IUSCRP-2)</t>
  </si>
  <si>
    <t>Drainage Pumping Station(DWSSP)</t>
  </si>
  <si>
    <t>Check Column B --&gt; Check past year data --&gt; Copy and Paste here</t>
  </si>
  <si>
    <t>Manhole Construction sewer</t>
  </si>
  <si>
    <t>Elevator</t>
  </si>
  <si>
    <t>ColumnD</t>
  </si>
  <si>
    <t>Column J</t>
  </si>
  <si>
    <t>Column E + Column F + Column G</t>
  </si>
  <si>
    <t>Column K + Column L</t>
  </si>
  <si>
    <t>Prev. year total</t>
  </si>
  <si>
    <t>Difference</t>
  </si>
  <si>
    <t>Basis difference</t>
  </si>
  <si>
    <t>Note 20</t>
  </si>
  <si>
    <t>Data required for Year</t>
  </si>
  <si>
    <t>FY 2016</t>
  </si>
  <si>
    <t>FY 2015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</si>
  <si>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</si>
  <si>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</si>
  <si>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</si>
  <si>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</si>
  <si>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</si>
  <si>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</si>
  <si>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</si>
  <si>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</si>
  <si>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FY 2025</t>
  </si>
  <si>
    <t>FY 2026</t>
  </si>
  <si>
    <t>FY 2027</t>
  </si>
  <si>
    <t>FY 2028</t>
  </si>
  <si>
    <t>C:\Users\sreepradhaacv\Desktop\Work\Project\DWASA\AFD_ModelHandover\Inputs\Source\Fin data</t>
  </si>
  <si>
    <t>Source data destination</t>
  </si>
  <si>
    <t>Source file name</t>
  </si>
  <si>
    <t>FS of DWASA 2018-19.xls</t>
  </si>
  <si>
    <t>Start</t>
  </si>
  <si>
    <t>End</t>
  </si>
  <si>
    <t>Total equity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</si>
</sst>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4" fillId="3" borderId="0" xfId="0" applyFont="1" applyFill="1"/>
    <xf numFmtId="1" fontId="4" fillId="3" borderId="0" xfId="0" applyNumberFormat="1" applyFont="1" applyFill="1"/>
    <xf numFmtId="165" fontId="0" fillId="3" borderId="0" xfId="1" applyNumberFormat="1" applyFont="1" applyFill="1"/>
    <xf numFmtId="165" fontId="0" fillId="3" borderId="0" xfId="0" applyNumberFormat="1" applyFill="1"/>
    <xf numFmtId="0" fontId="6" fillId="0" borderId="0" xfId="0" applyFont="1" applyFill="1" applyBorder="1"/>
    <xf numFmtId="0" fontId="5" fillId="0" borderId="1" xfId="0" applyFont="1" applyBorder="1"/>
    <xf numFmtId="165" fontId="2" fillId="0" borderId="0" xfId="1" applyNumberFormat="1" applyFont="1"/>
    <xf numFmtId="0" fontId="7" fillId="0" borderId="0" xfId="0" applyFont="1" applyBorder="1"/>
    <xf numFmtId="0" fontId="0" fillId="3" borderId="0" xfId="0" applyFill="1"/>
    <xf numFmtId="165" fontId="2" fillId="0" borderId="0" xfId="1" applyNumberFormat="1" applyFont="1" applyFill="1"/>
    <xf numFmtId="164" fontId="2" fillId="0" borderId="0" xfId="1" applyNumberFormat="1" applyFont="1" applyFill="1"/>
    <xf numFmtId="0" fontId="8" fillId="2" borderId="0" xfId="0" applyFont="1" applyFill="1"/>
    <xf numFmtId="0" fontId="9" fillId="0" borderId="0" xfId="0" applyFont="1"/>
    <xf numFmtId="0" fontId="10" fillId="0" borderId="0" xfId="0" applyFont="1" applyFill="1" applyBorder="1" applyAlignment="1">
      <alignment horizontal="left" vertical="center"/>
    </xf>
    <xf numFmtId="0" fontId="5" fillId="0" borderId="0" xfId="0" applyFont="1"/>
    <xf numFmtId="2" fontId="4" fillId="3" borderId="0" xfId="0" applyNumberFormat="1" applyFont="1" applyFill="1"/>
    <xf numFmtId="0" fontId="4" fillId="0" borderId="0" xfId="0" applyFont="1" applyFill="1"/>
    <xf numFmtId="0" fontId="11" fillId="0" borderId="0" xfId="0" applyFont="1" applyFill="1" applyBorder="1" applyAlignment="1">
      <alignment horizontal="left" vertical="center"/>
    </xf>
    <xf numFmtId="2" fontId="4" fillId="0" borderId="0" xfId="0" applyNumberFormat="1" applyFont="1" applyFill="1"/>
    <xf numFmtId="166" fontId="4" fillId="0" borderId="0" xfId="0" applyNumberFormat="1" applyFont="1" applyFill="1"/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/>
    <xf numFmtId="0" fontId="7" fillId="0" borderId="0" xfId="0" applyFont="1"/>
    <xf numFmtId="0" fontId="12" fillId="0" borderId="0" xfId="0" applyFont="1"/>
    <xf numFmtId="0" fontId="4" fillId="3" borderId="0" xfId="0" applyFont="1" applyFill="1" applyAlignment="1">
      <alignment horizontal="center" vertical="center"/>
    </xf>
    <xf numFmtId="2" fontId="4" fillId="0" borderId="0" xfId="0" applyNumberFormat="1" applyFont="1"/>
    <xf numFmtId="9" fontId="4" fillId="0" borderId="0" xfId="2" applyFont="1"/>
    <xf numFmtId="0" fontId="0" fillId="5" borderId="0" xfId="0" applyFill="1"/>
    <xf numFmtId="0" fontId="2" fillId="5" borderId="0" xfId="0" applyFont="1" applyFill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0" fillId="6" borderId="0" xfId="0" applyFill="1"/>
    <xf numFmtId="0" fontId="14" fillId="6" borderId="0" xfId="0" applyFont="1" applyFill="1"/>
    <xf numFmtId="0" fontId="4" fillId="7" borderId="0" xfId="0" applyFont="1" applyFill="1"/>
    <xf numFmtId="1" fontId="4" fillId="7" borderId="0" xfId="0" applyNumberFormat="1" applyFont="1" applyFill="1"/>
    <xf numFmtId="165" fontId="0" fillId="7" borderId="0" xfId="0" applyNumberFormat="1" applyFill="1"/>
    <xf numFmtId="165" fontId="0" fillId="7" borderId="0" xfId="1" applyNumberFormat="1" applyFont="1" applyFill="1"/>
    <xf numFmtId="165" fontId="2" fillId="7" borderId="0" xfId="1" applyNumberFormat="1" applyFont="1" applyFill="1"/>
    <xf numFmtId="164" fontId="2" fillId="7" borderId="0" xfId="1" applyNumberFormat="1" applyFont="1" applyFill="1"/>
    <xf numFmtId="2" fontId="4" fillId="7" borderId="0" xfId="0" applyNumberFormat="1" applyFont="1" applyFill="1"/>
    <xf numFmtId="166" fontId="4" fillId="7" borderId="0" xfId="0" applyNumberFormat="1" applyFont="1" applyFill="1"/>
    <xf numFmtId="0" fontId="4" fillId="7" borderId="0" xfId="0" applyFont="1" applyFill="1" applyAlignment="1">
      <alignment horizontal="center" vertical="center"/>
    </xf>
    <xf numFmtId="0" fontId="0" fillId="0" borderId="0" xfId="0" applyAlignment="1"/>
    <xf numFmtId="0" fontId="12" fillId="8" borderId="0" xfId="0" applyFont="1" applyFill="1"/>
    <xf numFmtId="0" fontId="4" fillId="8" borderId="0" xfId="0" applyFont="1" applyFill="1"/>
    <xf numFmtId="2" fontId="4" fillId="8" borderId="0" xfId="0" applyNumberFormat="1" applyFont="1" applyFill="1"/>
    <xf numFmtId="0" fontId="0" fillId="8" borderId="0" xfId="0" applyFill="1"/>
    <xf numFmtId="0" fontId="2" fillId="6" borderId="0" xfId="0" applyFont="1" applyFill="1"/>
    <xf numFmtId="0" fontId="4" fillId="9" borderId="0" xfId="0" applyFont="1" applyFill="1"/>
    <xf numFmtId="165" fontId="0" fillId="0" borderId="0" xfId="1" applyNumberFormat="1" applyFont="1" applyFill="1"/>
    <xf numFmtId="0" fontId="11" fillId="8" borderId="0" xfId="0" applyFont="1" applyFill="1" applyBorder="1" applyAlignment="1">
      <alignment horizontal="left" vertical="center"/>
    </xf>
    <xf numFmtId="0" fontId="9" fillId="8" borderId="0" xfId="0" applyFont="1" applyFill="1"/>
    <xf numFmtId="0" fontId="0" fillId="10" borderId="2" xfId="0" applyFill="1" applyBorder="1"/>
    <xf numFmtId="0" fontId="0" fillId="10" borderId="0" xfId="0" applyFill="1"/>
    <xf numFmtId="0" fontId="16" fillId="2" borderId="0" xfId="0" applyFont="1" applyFill="1"/>
    <xf numFmtId="2" fontId="0" fillId="8" borderId="0" xfId="0" applyNumberFormat="1" applyFill="1"/>
    <xf numFmtId="165" fontId="0" fillId="0" borderId="0" xfId="0" applyNumberFormat="1"/>
    <xf numFmtId="2" fontId="0" fillId="0" borderId="0" xfId="0" applyNumberFormat="1"/>
    <xf numFmtId="0" fontId="17" fillId="0" borderId="0" xfId="0" applyFont="1"/>
    <xf numFmtId="0" fontId="4" fillId="11" borderId="0" xfId="0" applyFont="1" applyFill="1"/>
    <xf numFmtId="165" fontId="0" fillId="11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42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eepradhaacv\Desktop\Work\Project\DWASA\AFD_ModelHandover\Inputs\Source\Fin%20data\FS%20of%20DWASA%20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P"/>
      <sheetName val="SCI"/>
      <sheetName val="SCE"/>
      <sheetName val="SCF"/>
      <sheetName val="Note 1-3"/>
      <sheetName val="Note 4 PPE"/>
      <sheetName val="Note 5 Intangible assets"/>
      <sheetName val="Note 6-27"/>
      <sheetName val="Loan Annexure H"/>
      <sheetName val="FDR schedule 18-19"/>
      <sheetName val="Collection Bank Accounts"/>
      <sheetName val="Surcharge Bank Accounts"/>
      <sheetName val="Vat Collection Bank Accounts"/>
      <sheetName val="Mother Bank Accounts"/>
      <sheetName val="Rates Receivable Account"/>
      <sheetName val="Admin Exp"/>
      <sheetName val="Rep &amp; Maint Exp."/>
      <sheetName val="Salary and Wages"/>
      <sheetName val="Income Statement"/>
      <sheetName val="BS"/>
      <sheetName val="other fin."/>
      <sheetName val="Security Deposit"/>
      <sheetName val="Cash-in-hand"/>
      <sheetName val="Bank Accounts"/>
      <sheetName val="Adv for other finance"/>
      <sheetName val="Advance prepayment deposit"/>
      <sheetName val="VAT &amp; Tax Payable"/>
      <sheetName val="Temporary Advance"/>
      <sheetName val="Advance Income Tax"/>
      <sheetName val="Materials and Supplies"/>
      <sheetName val="Capital Work-in-Progress"/>
      <sheetName val="Grants and Other Funds"/>
      <sheetName val="Balance Sheet"/>
      <sheetName val="Misc Income"/>
      <sheetName val="CL"/>
      <sheetName val="Liabilities for Expeses"/>
      <sheetName val="Liabilities for Other Finance"/>
      <sheetName val="Provision for Taxation"/>
      <sheetName val="Long- Term Liabilities"/>
      <sheetName val="Receivable ICB"/>
      <sheetName val="Property,Plant and Equipment"/>
      <sheetName val="Intangible Asset"/>
      <sheetName val="Work-In-Progress(W I P)-Revenue"/>
    </sheetNames>
    <sheetDataSet>
      <sheetData sheetId="0">
        <row r="1">
          <cell r="A1" t="str">
            <v>Dhaka Water Supply and Sewerage Authority</v>
          </cell>
        </row>
        <row r="2">
          <cell r="A2" t="str">
            <v>Statement of Financial Position</v>
          </cell>
        </row>
        <row r="3">
          <cell r="A3" t="str">
            <v>As at 30 June 2019</v>
          </cell>
        </row>
        <row r="5">
          <cell r="G5" t="str">
            <v xml:space="preserve">As at </v>
          </cell>
          <cell r="I5" t="str">
            <v xml:space="preserve">As at </v>
          </cell>
        </row>
        <row r="6">
          <cell r="G6" t="str">
            <v>30 June 2019</v>
          </cell>
          <cell r="I6" t="str">
            <v>30 June 2018</v>
          </cell>
        </row>
        <row r="7">
          <cell r="E7" t="str">
            <v>Note</v>
          </cell>
          <cell r="G7" t="str">
            <v>Taka</v>
          </cell>
          <cell r="I7" t="str">
            <v>Taka</v>
          </cell>
        </row>
        <row r="8">
          <cell r="A8" t="str">
            <v>ASSETS</v>
          </cell>
        </row>
        <row r="9">
          <cell r="A9" t="str">
            <v>Non-current assets</v>
          </cell>
        </row>
        <row r="10">
          <cell r="B10" t="str">
            <v>Property, plant and equipment</v>
          </cell>
          <cell r="E10">
            <v>4</v>
          </cell>
          <cell r="G10">
            <v>64940513884</v>
          </cell>
          <cell r="I10">
            <v>61995061944</v>
          </cell>
        </row>
        <row r="11">
          <cell r="B11" t="str">
            <v>Intangible assets</v>
          </cell>
          <cell r="E11">
            <v>5</v>
          </cell>
          <cell r="G11">
            <v>108829110</v>
          </cell>
          <cell r="I11">
            <v>1361600</v>
          </cell>
        </row>
        <row r="12">
          <cell r="B12" t="str">
            <v>Capital work-in-progress</v>
          </cell>
          <cell r="E12" t="str">
            <v>6</v>
          </cell>
          <cell r="G12">
            <v>29389760614</v>
          </cell>
          <cell r="I12">
            <v>21612925338</v>
          </cell>
        </row>
        <row r="13">
          <cell r="B13" t="str">
            <v>Receivables from ICB Islamic Bank Limited</v>
          </cell>
          <cell r="E13" t="str">
            <v>7</v>
          </cell>
          <cell r="G13">
            <v>21026785</v>
          </cell>
          <cell r="H13">
            <v>0</v>
          </cell>
          <cell r="I13">
            <v>21039015</v>
          </cell>
        </row>
        <row r="14">
          <cell r="A14" t="str">
            <v>Total non-current assets</v>
          </cell>
          <cell r="G14">
            <v>94460130393</v>
          </cell>
          <cell r="I14">
            <v>83630387897</v>
          </cell>
        </row>
        <row r="16">
          <cell r="A16" t="str">
            <v>Current assets</v>
          </cell>
        </row>
        <row r="17">
          <cell r="B17" t="str">
            <v>Materials and supplies</v>
          </cell>
          <cell r="E17" t="str">
            <v>8</v>
          </cell>
          <cell r="G17">
            <v>3066827154</v>
          </cell>
          <cell r="I17">
            <v>2505840938</v>
          </cell>
        </row>
        <row r="18">
          <cell r="B18" t="str">
            <v>Rates receivable</v>
          </cell>
          <cell r="E18" t="str">
            <v>9</v>
          </cell>
          <cell r="G18">
            <v>6827739017</v>
          </cell>
          <cell r="I18">
            <v>6475470049</v>
          </cell>
        </row>
        <row r="19">
          <cell r="B19" t="str">
            <v>Advances, deposits and prepayments</v>
          </cell>
          <cell r="E19" t="str">
            <v>10</v>
          </cell>
          <cell r="G19">
            <v>2167934979</v>
          </cell>
          <cell r="I19">
            <v>2341710461</v>
          </cell>
        </row>
        <row r="20">
          <cell r="B20" t="str">
            <v>Investment</v>
          </cell>
          <cell r="E20" t="str">
            <v>11</v>
          </cell>
          <cell r="G20">
            <v>3164215664.5700002</v>
          </cell>
          <cell r="I20">
            <v>1891831393</v>
          </cell>
        </row>
        <row r="21">
          <cell r="B21" t="str">
            <v>Other receivables</v>
          </cell>
          <cell r="E21" t="str">
            <v>12</v>
          </cell>
          <cell r="G21">
            <v>56109.86</v>
          </cell>
          <cell r="H21">
            <v>0</v>
          </cell>
          <cell r="I21">
            <v>56109.86</v>
          </cell>
        </row>
        <row r="22">
          <cell r="B22" t="str">
            <v>Advance income tax</v>
          </cell>
          <cell r="G22">
            <v>182969831.56999999</v>
          </cell>
          <cell r="I22">
            <v>171864404.41999999</v>
          </cell>
        </row>
        <row r="23">
          <cell r="B23" t="str">
            <v>Cash and cash equivalents</v>
          </cell>
          <cell r="E23" t="str">
            <v>13</v>
          </cell>
          <cell r="G23">
            <v>3256235820</v>
          </cell>
          <cell r="I23">
            <v>2751856386</v>
          </cell>
        </row>
        <row r="24">
          <cell r="A24" t="str">
            <v>Total current assets</v>
          </cell>
          <cell r="G24">
            <v>18665978576</v>
          </cell>
          <cell r="I24">
            <v>16138629741.280001</v>
          </cell>
        </row>
        <row r="25">
          <cell r="A25" t="str">
            <v>Total assets</v>
          </cell>
          <cell r="G25">
            <v>113126108969</v>
          </cell>
          <cell r="I25">
            <v>99769017638.279999</v>
          </cell>
        </row>
        <row r="27">
          <cell r="A27" t="str">
            <v>EQUITY AND LIABILITIES</v>
          </cell>
        </row>
        <row r="28">
          <cell r="A28" t="str">
            <v>Capital and reserve</v>
          </cell>
        </row>
        <row r="29">
          <cell r="B29" t="str">
            <v>Capital fund</v>
          </cell>
          <cell r="G29">
            <v>47393000</v>
          </cell>
          <cell r="I29">
            <v>47393000</v>
          </cell>
        </row>
        <row r="30">
          <cell r="B30" t="str">
            <v>Revaluation surplus</v>
          </cell>
          <cell r="G30">
            <v>23362510432</v>
          </cell>
          <cell r="I30">
            <v>23362510432</v>
          </cell>
        </row>
        <row r="31">
          <cell r="B31" t="str">
            <v>Accumulated loss</v>
          </cell>
          <cell r="G31">
            <v>-1492016926</v>
          </cell>
          <cell r="I31">
            <v>-1890785733</v>
          </cell>
        </row>
        <row r="32">
          <cell r="B32" t="str">
            <v>Total equity</v>
          </cell>
          <cell r="G32">
            <v>21917886506</v>
          </cell>
          <cell r="I32">
            <v>21519117699</v>
          </cell>
        </row>
        <row r="34">
          <cell r="A34" t="str">
            <v>Non-current liabilities</v>
          </cell>
        </row>
        <row r="35">
          <cell r="B35" t="str">
            <v>Grants and other funds</v>
          </cell>
          <cell r="E35" t="str">
            <v>14</v>
          </cell>
          <cell r="G35">
            <v>71784095295</v>
          </cell>
          <cell r="I35">
            <v>62430018992</v>
          </cell>
        </row>
        <row r="36">
          <cell r="B36" t="str">
            <v>Government grants for drainage maintenance</v>
          </cell>
          <cell r="E36" t="str">
            <v>15</v>
          </cell>
          <cell r="G36">
            <v>0</v>
          </cell>
          <cell r="I36">
            <v>0</v>
          </cell>
        </row>
        <row r="37">
          <cell r="B37" t="str">
            <v>Deferred tax liability on revaluation surplus</v>
          </cell>
          <cell r="G37">
            <v>7787503478</v>
          </cell>
          <cell r="I37">
            <v>7787503478</v>
          </cell>
        </row>
        <row r="38">
          <cell r="B38" t="str">
            <v>Loans and borrowings (Annexure-H)</v>
          </cell>
          <cell r="E38" t="str">
            <v>16</v>
          </cell>
          <cell r="G38">
            <v>407206912</v>
          </cell>
          <cell r="H38">
            <v>0</v>
          </cell>
          <cell r="I38">
            <v>729377952</v>
          </cell>
        </row>
        <row r="39">
          <cell r="B39" t="str">
            <v>Total non-current liabilities</v>
          </cell>
          <cell r="G39">
            <v>79978805685</v>
          </cell>
          <cell r="I39">
            <v>70946900422</v>
          </cell>
        </row>
        <row r="41">
          <cell r="A41" t="str">
            <v>Current liabilities</v>
          </cell>
        </row>
        <row r="42">
          <cell r="B42" t="str">
            <v>Loans and borrowings (Annexure-H)</v>
          </cell>
          <cell r="G42">
            <v>2019500000</v>
          </cell>
          <cell r="H42">
            <v>0</v>
          </cell>
          <cell r="I42">
            <v>0</v>
          </cell>
        </row>
        <row r="43">
          <cell r="B43" t="str">
            <v>Liabilities for expenses</v>
          </cell>
          <cell r="E43" t="str">
            <v>17</v>
          </cell>
          <cell r="G43">
            <v>7489039661</v>
          </cell>
          <cell r="I43">
            <v>5923470888</v>
          </cell>
        </row>
        <row r="44">
          <cell r="B44" t="str">
            <v>Liabilities for other finance</v>
          </cell>
          <cell r="E44" t="str">
            <v>18</v>
          </cell>
          <cell r="G44">
            <v>1459363167</v>
          </cell>
          <cell r="I44">
            <v>1193839673</v>
          </cell>
        </row>
        <row r="45">
          <cell r="B45" t="str">
            <v>Provision for audit fee</v>
          </cell>
          <cell r="G45">
            <v>747500</v>
          </cell>
          <cell r="I45">
            <v>690000</v>
          </cell>
        </row>
        <row r="46">
          <cell r="B46" t="str">
            <v>Provision for government commission</v>
          </cell>
          <cell r="G46">
            <v>5000000</v>
          </cell>
          <cell r="I46">
            <v>5000000</v>
          </cell>
        </row>
        <row r="47">
          <cell r="B47" t="str">
            <v>Provision for taxation</v>
          </cell>
          <cell r="E47" t="str">
            <v>19</v>
          </cell>
          <cell r="G47">
            <v>255766450</v>
          </cell>
          <cell r="I47">
            <v>179998956</v>
          </cell>
        </row>
        <row r="48">
          <cell r="A48" t="str">
            <v>Total current liabilities</v>
          </cell>
          <cell r="G48">
            <v>11229416778</v>
          </cell>
          <cell r="I48">
            <v>7302999517</v>
          </cell>
        </row>
        <row r="49">
          <cell r="A49" t="str">
            <v xml:space="preserve">Total liabilities </v>
          </cell>
          <cell r="G49">
            <v>91208222463</v>
          </cell>
          <cell r="I49">
            <v>78249899939</v>
          </cell>
        </row>
        <row r="50">
          <cell r="A50" t="str">
            <v>Total equity and liabilities</v>
          </cell>
          <cell r="G50">
            <v>113126108969</v>
          </cell>
          <cell r="I50">
            <v>99769017638</v>
          </cell>
        </row>
        <row r="52">
          <cell r="A52" t="str">
            <v>These statements should be read in conjunction with the annnexed notes</v>
          </cell>
        </row>
        <row r="54">
          <cell r="B54" t="str">
            <v>____________________</v>
          </cell>
          <cell r="D54" t="str">
            <v>______________________</v>
          </cell>
          <cell r="G54" t="str">
            <v>____________________</v>
          </cell>
          <cell r="I54" t="str">
            <v>____________________</v>
          </cell>
        </row>
        <row r="55">
          <cell r="B55" t="str">
            <v>Chairman</v>
          </cell>
          <cell r="D55" t="str">
            <v>Member</v>
          </cell>
          <cell r="G55" t="str">
            <v>Managing Director</v>
          </cell>
          <cell r="I55" t="str">
            <v>Deputy Managing Director</v>
          </cell>
        </row>
        <row r="56">
          <cell r="B56" t="str">
            <v>DWASA Board</v>
          </cell>
          <cell r="D56" t="str">
            <v>DWASA Board</v>
          </cell>
          <cell r="I56" t="str">
            <v>(Finance)</v>
          </cell>
        </row>
        <row r="58">
          <cell r="A58" t="str">
            <v>Auditors' Report to the Shareholders</v>
          </cell>
        </row>
        <row r="59">
          <cell r="A59" t="str">
            <v>See annexed report of date</v>
          </cell>
        </row>
        <row r="60">
          <cell r="G60">
            <v>0</v>
          </cell>
        </row>
        <row r="62">
          <cell r="A62" t="str">
            <v>Dhaka,                                                                                                                              Chartered Accountants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2"/>
  <sheetViews>
    <sheetView view="pageBreakPreview" zoomScale="6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3" sqref="B33"/>
    </sheetView>
  </sheetViews>
  <sheetFormatPr defaultRowHeight="15" x14ac:dyDescent="0.25"/>
  <cols>
    <col min="2" max="2" width="70.42578125" bestFit="1" customWidth="1"/>
    <col min="5" max="7" width="0" hidden="1" customWidth="1"/>
  </cols>
  <sheetData>
    <row r="1" spans="1:9" s="35" customFormat="1" ht="21.6" customHeight="1" x14ac:dyDescent="0.3">
      <c r="B1" s="36" t="s">
        <v>127</v>
      </c>
    </row>
    <row r="2" spans="1:9" s="35" customFormat="1" x14ac:dyDescent="0.25">
      <c r="B2" s="35" t="s">
        <v>128</v>
      </c>
    </row>
    <row r="3" spans="1:9" s="34" customFormat="1" ht="28.7" customHeight="1" x14ac:dyDescent="0.25">
      <c r="H3" s="34">
        <v>2018</v>
      </c>
      <c r="I3" s="34">
        <v>2019</v>
      </c>
    </row>
    <row r="4" spans="1:9" s="32" customFormat="1" ht="25.7" customHeight="1" x14ac:dyDescent="0.25">
      <c r="B4" s="33" t="s">
        <v>126</v>
      </c>
    </row>
    <row r="5" spans="1:9" x14ac:dyDescent="0.25">
      <c r="A5" s="65"/>
      <c r="B5" s="1" t="s">
        <v>0</v>
      </c>
      <c r="C5" s="2"/>
      <c r="D5" s="2"/>
      <c r="E5" s="2"/>
      <c r="F5" s="2"/>
      <c r="G5" s="2"/>
      <c r="H5" s="2"/>
    </row>
    <row r="6" spans="1:9" x14ac:dyDescent="0.25">
      <c r="A6" s="65"/>
      <c r="B6" s="3" t="s">
        <v>1</v>
      </c>
      <c r="C6" s="2"/>
      <c r="D6" s="2"/>
      <c r="E6" s="2"/>
      <c r="F6" s="2"/>
      <c r="G6" s="2"/>
      <c r="H6" s="2"/>
    </row>
    <row r="7" spans="1:9" x14ac:dyDescent="0.25">
      <c r="A7" s="65"/>
      <c r="B7" s="4" t="s">
        <v>2</v>
      </c>
      <c r="C7" s="2" t="s">
        <v>3</v>
      </c>
      <c r="D7" s="2"/>
      <c r="E7" s="5">
        <v>59912</v>
      </c>
      <c r="F7" s="5">
        <v>64896</v>
      </c>
      <c r="G7" s="5">
        <v>76577</v>
      </c>
      <c r="H7" s="37">
        <v>76768</v>
      </c>
      <c r="I7" s="5"/>
    </row>
    <row r="8" spans="1:9" x14ac:dyDescent="0.25">
      <c r="A8" s="65"/>
      <c r="B8" s="4" t="s">
        <v>4</v>
      </c>
      <c r="C8" s="2"/>
      <c r="D8" s="2"/>
      <c r="E8" s="5">
        <v>10294</v>
      </c>
      <c r="F8" s="5">
        <v>11396</v>
      </c>
      <c r="G8" s="5">
        <v>12755</v>
      </c>
      <c r="H8" s="38">
        <v>14234.226000000001</v>
      </c>
      <c r="I8" s="6"/>
    </row>
    <row r="9" spans="1:9" x14ac:dyDescent="0.25">
      <c r="A9" s="65"/>
      <c r="B9" s="3" t="s">
        <v>5</v>
      </c>
      <c r="C9" s="2"/>
      <c r="D9" s="2"/>
      <c r="E9" s="2"/>
      <c r="F9" s="2"/>
      <c r="G9" s="2"/>
      <c r="H9" s="37"/>
      <c r="I9" s="2"/>
    </row>
    <row r="10" spans="1:9" x14ac:dyDescent="0.25">
      <c r="A10" s="65"/>
      <c r="B10" s="4" t="s">
        <v>6</v>
      </c>
      <c r="C10" s="2"/>
      <c r="D10" s="2"/>
      <c r="E10" s="5">
        <v>117</v>
      </c>
      <c r="F10" s="5">
        <v>33</v>
      </c>
      <c r="G10" s="5">
        <v>191</v>
      </c>
      <c r="H10" s="37">
        <v>994.45</v>
      </c>
      <c r="I10" s="5"/>
    </row>
    <row r="11" spans="1:9" x14ac:dyDescent="0.25">
      <c r="A11" s="65"/>
      <c r="B11" s="4" t="s">
        <v>7</v>
      </c>
      <c r="C11" s="2"/>
      <c r="D11" s="2"/>
      <c r="E11" s="5">
        <v>1102</v>
      </c>
      <c r="F11" s="5">
        <v>1359</v>
      </c>
      <c r="G11" s="5">
        <v>1479</v>
      </c>
      <c r="H11" s="37">
        <v>1533.5429999999999</v>
      </c>
      <c r="I11" s="5"/>
    </row>
    <row r="12" spans="1:9" x14ac:dyDescent="0.25">
      <c r="A12" s="65"/>
      <c r="B12" s="1" t="s">
        <v>8</v>
      </c>
      <c r="C12" s="2"/>
      <c r="D12" s="2"/>
      <c r="E12" s="2"/>
      <c r="F12" s="2"/>
      <c r="G12" s="2"/>
      <c r="H12" s="37"/>
      <c r="I12" s="2"/>
    </row>
    <row r="13" spans="1:9" x14ac:dyDescent="0.25">
      <c r="A13" s="65"/>
      <c r="B13" s="4" t="s">
        <v>1</v>
      </c>
      <c r="C13" s="2"/>
      <c r="D13" s="2"/>
      <c r="E13" s="7">
        <v>20515</v>
      </c>
      <c r="F13" s="8">
        <f>E17</f>
        <v>22817</v>
      </c>
      <c r="G13" s="8">
        <f>F17</f>
        <v>16111</v>
      </c>
      <c r="H13" s="39">
        <f>G17</f>
        <v>19136</v>
      </c>
      <c r="I13" s="8"/>
    </row>
    <row r="14" spans="1:9" x14ac:dyDescent="0.25">
      <c r="A14" s="65"/>
      <c r="B14" s="9" t="s">
        <v>9</v>
      </c>
      <c r="C14" s="2"/>
      <c r="D14" s="2"/>
      <c r="E14" s="7">
        <v>7202</v>
      </c>
      <c r="F14" s="7">
        <v>4985</v>
      </c>
      <c r="G14" s="7">
        <v>3038</v>
      </c>
      <c r="H14" s="40">
        <v>3339.18</v>
      </c>
      <c r="I14" s="7"/>
    </row>
    <row r="15" spans="1:9" x14ac:dyDescent="0.25">
      <c r="A15" s="65"/>
      <c r="B15" s="4" t="s">
        <v>10</v>
      </c>
      <c r="C15" s="2"/>
      <c r="D15" s="2"/>
      <c r="E15" s="7">
        <v>-33</v>
      </c>
      <c r="F15" s="7">
        <v>-43</v>
      </c>
      <c r="G15" s="7">
        <v>-13</v>
      </c>
      <c r="H15" s="40"/>
      <c r="I15" s="7"/>
    </row>
    <row r="16" spans="1:9" x14ac:dyDescent="0.25">
      <c r="A16" s="65"/>
      <c r="B16" s="9" t="s">
        <v>11</v>
      </c>
      <c r="C16" s="2"/>
      <c r="D16" s="2"/>
      <c r="E16" s="7">
        <v>-4867</v>
      </c>
      <c r="F16" s="7">
        <v>-11648</v>
      </c>
      <c r="G16" s="7">
        <v>0</v>
      </c>
      <c r="H16" s="40">
        <v>-862.62199999999996</v>
      </c>
      <c r="I16" s="7"/>
    </row>
    <row r="17" spans="1:9" x14ac:dyDescent="0.25">
      <c r="A17" s="65"/>
      <c r="B17" s="10" t="s">
        <v>12</v>
      </c>
      <c r="C17" s="2"/>
      <c r="D17" s="2"/>
      <c r="E17" s="11">
        <f>SUM(E13:E16)</f>
        <v>22817</v>
      </c>
      <c r="F17" s="11">
        <f>SUM(F13:F16)</f>
        <v>16111</v>
      </c>
      <c r="G17" s="11">
        <f>SUM(G13:G16)</f>
        <v>19136</v>
      </c>
      <c r="H17" s="41">
        <f>SUM(H13:H16)</f>
        <v>21612.558000000001</v>
      </c>
      <c r="I17" s="41">
        <f>SUM(I13:I16)</f>
        <v>0</v>
      </c>
    </row>
    <row r="18" spans="1:9" x14ac:dyDescent="0.25">
      <c r="A18" s="65"/>
      <c r="B18" s="1" t="s">
        <v>13</v>
      </c>
      <c r="C18" s="2"/>
      <c r="D18" s="2"/>
      <c r="E18" s="2"/>
      <c r="F18" s="2"/>
      <c r="G18" s="2"/>
      <c r="H18" s="37"/>
      <c r="I18" s="2"/>
    </row>
    <row r="19" spans="1:9" x14ac:dyDescent="0.25">
      <c r="A19" s="65"/>
      <c r="B19" s="4" t="s">
        <v>14</v>
      </c>
      <c r="C19" s="2"/>
      <c r="D19" s="2"/>
      <c r="E19" s="5">
        <v>4584</v>
      </c>
      <c r="F19" s="5">
        <v>5086</v>
      </c>
      <c r="G19" s="5">
        <v>5546</v>
      </c>
      <c r="H19" s="37">
        <v>6458</v>
      </c>
      <c r="I19" s="5"/>
    </row>
    <row r="20" spans="1:9" x14ac:dyDescent="0.25">
      <c r="A20" s="65"/>
      <c r="B20" s="4" t="s">
        <v>15</v>
      </c>
      <c r="C20" s="2"/>
      <c r="D20" s="2"/>
      <c r="E20" s="5">
        <v>8066</v>
      </c>
      <c r="F20" s="5">
        <v>8916</v>
      </c>
      <c r="G20" s="5">
        <v>10633</v>
      </c>
      <c r="H20" s="37">
        <v>11836.352999999999</v>
      </c>
      <c r="I20" s="5"/>
    </row>
    <row r="21" spans="1:9" x14ac:dyDescent="0.25">
      <c r="A21" s="65"/>
      <c r="B21" s="4" t="s">
        <v>16</v>
      </c>
      <c r="C21" s="2"/>
      <c r="D21" s="2"/>
      <c r="E21" s="5">
        <v>-7564</v>
      </c>
      <c r="F21" s="5">
        <v>-8456</v>
      </c>
      <c r="G21" s="5">
        <v>-9721</v>
      </c>
      <c r="H21" s="37">
        <v>-11478.056</v>
      </c>
      <c r="I21" s="5"/>
    </row>
    <row r="22" spans="1:9" x14ac:dyDescent="0.25">
      <c r="A22" s="65"/>
      <c r="B22" s="12" t="s">
        <v>17</v>
      </c>
      <c r="C22" s="2"/>
      <c r="D22" s="2"/>
      <c r="E22" s="2"/>
      <c r="F22" s="2"/>
      <c r="G22" s="2"/>
      <c r="H22" s="37"/>
      <c r="I22" s="2"/>
    </row>
    <row r="23" spans="1:9" x14ac:dyDescent="0.25">
      <c r="A23" s="65"/>
      <c r="B23" s="4" t="s">
        <v>18</v>
      </c>
      <c r="C23" s="2"/>
      <c r="D23" s="2"/>
      <c r="E23" s="5">
        <v>229</v>
      </c>
      <c r="F23" s="5">
        <v>254</v>
      </c>
      <c r="G23" s="5">
        <v>277</v>
      </c>
      <c r="H23" s="37">
        <v>322.899</v>
      </c>
      <c r="I23" s="5"/>
    </row>
    <row r="24" spans="1:9" x14ac:dyDescent="0.25">
      <c r="A24" s="65"/>
      <c r="B24" s="4" t="s">
        <v>19</v>
      </c>
      <c r="C24" s="2"/>
      <c r="D24" s="2"/>
      <c r="E24" s="5">
        <v>25</v>
      </c>
      <c r="F24" s="5">
        <v>23</v>
      </c>
      <c r="G24" s="5">
        <v>46</v>
      </c>
      <c r="H24" s="37">
        <v>17.914000000000001</v>
      </c>
      <c r="I24" s="5"/>
    </row>
    <row r="25" spans="1:9" x14ac:dyDescent="0.25">
      <c r="A25" s="65"/>
      <c r="B25" s="1" t="s">
        <v>20</v>
      </c>
      <c r="C25" s="2"/>
      <c r="D25" s="2"/>
      <c r="E25" s="2"/>
      <c r="F25" s="2"/>
      <c r="G25" s="2"/>
      <c r="H25" s="37"/>
      <c r="I25" s="2"/>
    </row>
    <row r="26" spans="1:9" x14ac:dyDescent="0.25">
      <c r="A26" s="65"/>
      <c r="B26" s="4" t="s">
        <v>18</v>
      </c>
      <c r="C26" s="2"/>
      <c r="D26" s="2"/>
      <c r="E26" s="5">
        <v>44019</v>
      </c>
      <c r="F26" s="5">
        <f>E26+E27</f>
        <v>50420</v>
      </c>
      <c r="G26" s="5">
        <f>F26+F27</f>
        <v>56878</v>
      </c>
      <c r="H26" s="37">
        <f>G26+G27</f>
        <v>59167</v>
      </c>
      <c r="I26" s="5"/>
    </row>
    <row r="27" spans="1:9" x14ac:dyDescent="0.25">
      <c r="A27" s="65"/>
      <c r="B27" s="9" t="s">
        <v>21</v>
      </c>
      <c r="C27" s="2"/>
      <c r="D27" s="2"/>
      <c r="E27" s="5">
        <v>6401</v>
      </c>
      <c r="F27" s="5">
        <v>6458</v>
      </c>
      <c r="G27" s="5">
        <v>2289</v>
      </c>
      <c r="H27" s="38">
        <f>62430.018-59167.052</f>
        <v>3262.9659999999931</v>
      </c>
      <c r="I27" s="6"/>
    </row>
    <row r="28" spans="1:9" x14ac:dyDescent="0.25">
      <c r="A28" s="65"/>
      <c r="B28" s="1" t="s">
        <v>22</v>
      </c>
      <c r="C28" s="2"/>
      <c r="D28" s="2"/>
      <c r="E28" s="2"/>
      <c r="F28" s="2"/>
      <c r="G28" s="2"/>
      <c r="H28" s="37"/>
      <c r="I28" s="2"/>
    </row>
    <row r="29" spans="1:9" x14ac:dyDescent="0.25">
      <c r="A29" s="65"/>
      <c r="B29" s="4" t="s">
        <v>1</v>
      </c>
      <c r="C29" s="2"/>
      <c r="D29" s="2"/>
      <c r="E29" s="7">
        <v>4127</v>
      </c>
      <c r="F29" s="7">
        <f>E32</f>
        <v>3919</v>
      </c>
      <c r="G29" s="7">
        <f>F32</f>
        <v>3697</v>
      </c>
      <c r="H29" s="40">
        <f>G32</f>
        <v>2749</v>
      </c>
      <c r="I29" s="7"/>
    </row>
    <row r="30" spans="1:9" x14ac:dyDescent="0.25">
      <c r="A30" s="65"/>
      <c r="B30" s="9" t="s">
        <v>23</v>
      </c>
      <c r="C30" s="2"/>
      <c r="D30" s="2"/>
      <c r="E30" s="7">
        <v>-208</v>
      </c>
      <c r="F30" s="7">
        <v>-222</v>
      </c>
      <c r="G30" s="7">
        <v>-948</v>
      </c>
      <c r="H30" s="40">
        <f>-2749+729.377</f>
        <v>-2019.623</v>
      </c>
      <c r="I30" s="7"/>
    </row>
    <row r="31" spans="1:9" x14ac:dyDescent="0.25">
      <c r="A31" s="65"/>
      <c r="B31" s="9" t="s">
        <v>24</v>
      </c>
      <c r="C31" s="2"/>
      <c r="D31" s="2"/>
      <c r="E31" s="13"/>
      <c r="F31" s="7"/>
      <c r="G31" s="7"/>
      <c r="H31" s="40"/>
      <c r="I31" s="7"/>
    </row>
    <row r="32" spans="1:9" x14ac:dyDescent="0.25">
      <c r="A32" s="65"/>
      <c r="B32" s="4" t="s">
        <v>25</v>
      </c>
      <c r="C32" s="2"/>
      <c r="D32" s="2"/>
      <c r="E32" s="14">
        <f>SUM(E29:E30)</f>
        <v>3919</v>
      </c>
      <c r="F32" s="14">
        <f>SUM(F29:F30)</f>
        <v>3697</v>
      </c>
      <c r="G32" s="14">
        <f>SUM(G29:G30)</f>
        <v>2749</v>
      </c>
      <c r="H32" s="42">
        <f>SUM(H29:H30)</f>
        <v>729.37699999999995</v>
      </c>
      <c r="I32" s="15"/>
    </row>
    <row r="33" spans="1:9" x14ac:dyDescent="0.25">
      <c r="A33" s="65"/>
      <c r="B33" s="16" t="s">
        <v>26</v>
      </c>
      <c r="C33" s="2"/>
      <c r="D33" s="2"/>
      <c r="E33" s="2"/>
      <c r="F33" s="2"/>
      <c r="G33" s="2"/>
      <c r="H33" s="37"/>
      <c r="I33" s="2"/>
    </row>
    <row r="34" spans="1:9" x14ac:dyDescent="0.25">
      <c r="A34" s="65"/>
      <c r="B34" s="17" t="s">
        <v>27</v>
      </c>
      <c r="C34" s="2"/>
      <c r="D34" s="2"/>
      <c r="E34" s="2"/>
      <c r="F34" s="2"/>
      <c r="G34" s="2"/>
      <c r="H34" s="37"/>
      <c r="I34" s="2"/>
    </row>
    <row r="35" spans="1:9" ht="15.75" x14ac:dyDescent="0.25">
      <c r="A35" s="65"/>
      <c r="B35" s="18" t="s">
        <v>28</v>
      </c>
      <c r="C35" s="2"/>
      <c r="D35" s="2"/>
      <c r="E35" s="5">
        <v>4</v>
      </c>
      <c r="F35" s="5">
        <v>2</v>
      </c>
      <c r="G35" s="5">
        <v>0.81200000000000006</v>
      </c>
      <c r="H35" s="37">
        <v>1.361</v>
      </c>
      <c r="I35" s="5"/>
    </row>
    <row r="36" spans="1:9" ht="15.75" x14ac:dyDescent="0.25">
      <c r="A36" s="65"/>
      <c r="B36" s="18" t="s">
        <v>29</v>
      </c>
      <c r="C36" s="2"/>
      <c r="D36" s="2"/>
      <c r="E36" s="5">
        <v>34</v>
      </c>
      <c r="F36" s="5">
        <v>28</v>
      </c>
      <c r="G36" s="5">
        <v>21.050999999999998</v>
      </c>
      <c r="H36" s="37">
        <v>21.039000000000001</v>
      </c>
      <c r="I36" s="5"/>
    </row>
    <row r="37" spans="1:9" ht="15.75" x14ac:dyDescent="0.25">
      <c r="A37" s="65"/>
      <c r="B37" s="18" t="s">
        <v>30</v>
      </c>
      <c r="C37" s="2"/>
      <c r="D37" s="2"/>
      <c r="E37" s="5">
        <v>1285</v>
      </c>
      <c r="F37" s="5">
        <v>1683</v>
      </c>
      <c r="G37" s="5">
        <v>2017.827</v>
      </c>
      <c r="H37" s="37">
        <v>2505.84</v>
      </c>
      <c r="I37" s="5"/>
    </row>
    <row r="38" spans="1:9" ht="15.75" x14ac:dyDescent="0.25">
      <c r="A38" s="65"/>
      <c r="B38" s="18" t="s">
        <v>31</v>
      </c>
      <c r="C38" s="2"/>
      <c r="D38" s="2"/>
      <c r="E38" s="5">
        <v>1629</v>
      </c>
      <c r="F38" s="5">
        <v>2191</v>
      </c>
      <c r="G38" s="5">
        <v>2525</v>
      </c>
      <c r="H38" s="37">
        <v>2341.71</v>
      </c>
      <c r="I38" s="5"/>
    </row>
    <row r="39" spans="1:9" ht="15.75" x14ac:dyDescent="0.25">
      <c r="A39" s="65"/>
      <c r="B39" s="18" t="s">
        <v>32</v>
      </c>
      <c r="C39" s="2"/>
      <c r="D39" s="2"/>
      <c r="E39" s="5">
        <v>691</v>
      </c>
      <c r="F39" s="5">
        <v>1136</v>
      </c>
      <c r="G39" s="5">
        <v>1263</v>
      </c>
      <c r="H39" s="37">
        <v>1891.8309999999999</v>
      </c>
      <c r="I39" s="5"/>
    </row>
    <row r="40" spans="1:9" ht="15.75" x14ac:dyDescent="0.25">
      <c r="A40" s="65"/>
      <c r="B40" s="18" t="s">
        <v>33</v>
      </c>
      <c r="C40" s="2"/>
      <c r="D40" s="2"/>
      <c r="E40" s="5">
        <v>0.06</v>
      </c>
      <c r="F40" s="5">
        <v>0.06</v>
      </c>
      <c r="G40" s="5">
        <v>0.06</v>
      </c>
      <c r="H40" s="37">
        <v>0.06</v>
      </c>
      <c r="I40" s="5"/>
    </row>
    <row r="41" spans="1:9" ht="15.75" x14ac:dyDescent="0.25">
      <c r="A41" s="65"/>
      <c r="B41" s="18" t="s">
        <v>34</v>
      </c>
      <c r="C41" s="2"/>
      <c r="D41" s="2"/>
      <c r="E41" s="5">
        <v>146</v>
      </c>
      <c r="F41" s="5">
        <v>158</v>
      </c>
      <c r="G41" s="5">
        <v>170</v>
      </c>
      <c r="H41" s="37">
        <v>171.864</v>
      </c>
      <c r="I41" s="5"/>
    </row>
    <row r="42" spans="1:9" x14ac:dyDescent="0.25">
      <c r="A42" s="65"/>
      <c r="B42" s="17" t="s">
        <v>35</v>
      </c>
      <c r="C42" s="2"/>
      <c r="D42" s="2"/>
      <c r="E42" s="2"/>
      <c r="F42" s="2"/>
      <c r="G42" s="2"/>
      <c r="H42" s="37"/>
      <c r="I42" s="2"/>
    </row>
    <row r="43" spans="1:9" ht="15.75" x14ac:dyDescent="0.25">
      <c r="A43" s="65"/>
      <c r="B43" s="18" t="s">
        <v>36</v>
      </c>
      <c r="C43" s="2"/>
      <c r="D43" s="2"/>
      <c r="E43" s="5">
        <v>47.393000000000001</v>
      </c>
      <c r="F43" s="5">
        <v>47.393000000000001</v>
      </c>
      <c r="G43" s="5">
        <v>47.393000000000001</v>
      </c>
      <c r="H43" s="37">
        <v>47.393000000000001</v>
      </c>
      <c r="I43" s="5"/>
    </row>
    <row r="44" spans="1:9" ht="15.75" x14ac:dyDescent="0.25">
      <c r="A44" s="65"/>
      <c r="B44" s="18" t="s">
        <v>37</v>
      </c>
      <c r="C44" s="2"/>
      <c r="D44" s="2"/>
      <c r="E44" s="5">
        <v>23362</v>
      </c>
      <c r="F44" s="5">
        <v>23362</v>
      </c>
      <c r="G44" s="5">
        <v>23362</v>
      </c>
      <c r="H44" s="37">
        <v>23362</v>
      </c>
      <c r="I44" s="5"/>
    </row>
    <row r="45" spans="1:9" ht="15.75" x14ac:dyDescent="0.25">
      <c r="A45" s="65"/>
      <c r="B45" s="18" t="s">
        <v>38</v>
      </c>
      <c r="C45" s="2"/>
      <c r="D45" s="2"/>
      <c r="E45" s="5">
        <v>-2588</v>
      </c>
      <c r="F45" s="5">
        <v>-2398</v>
      </c>
      <c r="G45" s="5">
        <v>-2172</v>
      </c>
      <c r="H45" s="37">
        <v>-1890.7850000000001</v>
      </c>
      <c r="I45" s="5"/>
    </row>
    <row r="46" spans="1:9" ht="15.75" x14ac:dyDescent="0.25">
      <c r="A46" s="65"/>
      <c r="B46" s="18" t="s">
        <v>39</v>
      </c>
      <c r="C46" s="2"/>
      <c r="D46" s="2"/>
      <c r="E46" s="5">
        <v>7</v>
      </c>
      <c r="F46" s="5">
        <v>7</v>
      </c>
      <c r="G46" s="5">
        <v>7</v>
      </c>
      <c r="H46" s="37"/>
      <c r="I46" s="5"/>
    </row>
    <row r="47" spans="1:9" ht="15.75" x14ac:dyDescent="0.25">
      <c r="A47" s="65"/>
      <c r="B47" s="18" t="s">
        <v>40</v>
      </c>
      <c r="C47" s="2"/>
      <c r="D47" s="2"/>
      <c r="E47" s="5">
        <v>7787</v>
      </c>
      <c r="F47" s="5">
        <v>7787</v>
      </c>
      <c r="G47" s="5">
        <v>7787</v>
      </c>
      <c r="H47" s="37">
        <v>7787</v>
      </c>
      <c r="I47" s="5"/>
    </row>
    <row r="48" spans="1:9" ht="15.75" x14ac:dyDescent="0.25">
      <c r="A48" s="65"/>
      <c r="B48" s="18" t="s">
        <v>41</v>
      </c>
      <c r="C48" s="2"/>
      <c r="D48" s="2"/>
      <c r="E48" s="5">
        <v>3604</v>
      </c>
      <c r="F48" s="5">
        <v>3382</v>
      </c>
      <c r="G48" s="5">
        <v>1742</v>
      </c>
      <c r="H48" s="37">
        <v>729.37699999999995</v>
      </c>
      <c r="I48" s="5"/>
    </row>
    <row r="49" spans="1:9" ht="15.75" x14ac:dyDescent="0.25">
      <c r="A49" s="65"/>
      <c r="B49" s="18" t="s">
        <v>42</v>
      </c>
      <c r="C49" s="2"/>
      <c r="D49" s="2"/>
      <c r="E49" s="5">
        <v>315</v>
      </c>
      <c r="F49" s="5">
        <v>315</v>
      </c>
      <c r="G49" s="5">
        <v>1008</v>
      </c>
      <c r="H49" s="37"/>
      <c r="I49" s="5"/>
    </row>
    <row r="50" spans="1:9" ht="15.75" x14ac:dyDescent="0.25">
      <c r="A50" s="65"/>
      <c r="B50" s="18" t="s">
        <v>43</v>
      </c>
      <c r="C50" s="2"/>
      <c r="D50" s="2"/>
      <c r="E50" s="5">
        <v>2519</v>
      </c>
      <c r="F50" s="5">
        <v>3223</v>
      </c>
      <c r="G50" s="5">
        <v>4243</v>
      </c>
      <c r="H50" s="37">
        <v>5923.47</v>
      </c>
      <c r="I50" s="5"/>
    </row>
    <row r="51" spans="1:9" ht="15.75" x14ac:dyDescent="0.25">
      <c r="A51" s="65"/>
      <c r="B51" s="18" t="s">
        <v>44</v>
      </c>
      <c r="C51" s="2"/>
      <c r="D51" s="2"/>
      <c r="E51" s="5">
        <v>523</v>
      </c>
      <c r="F51" s="5">
        <v>623</v>
      </c>
      <c r="G51" s="5">
        <v>736</v>
      </c>
      <c r="H51" s="37">
        <v>1193.8389999999999</v>
      </c>
      <c r="I51" s="5"/>
    </row>
    <row r="52" spans="1:9" ht="15.75" x14ac:dyDescent="0.25">
      <c r="A52" s="65"/>
      <c r="B52" s="18" t="s">
        <v>45</v>
      </c>
      <c r="C52" s="2"/>
      <c r="D52" s="2"/>
      <c r="E52" s="5">
        <v>1</v>
      </c>
      <c r="F52" s="5">
        <v>1</v>
      </c>
      <c r="G52" s="5">
        <v>0.63200000000000001</v>
      </c>
      <c r="H52" s="37">
        <v>0.69</v>
      </c>
      <c r="I52" s="5"/>
    </row>
    <row r="53" spans="1:9" ht="15.75" x14ac:dyDescent="0.25">
      <c r="A53" s="65"/>
      <c r="B53" s="18" t="s">
        <v>46</v>
      </c>
      <c r="C53" s="2"/>
      <c r="D53" s="2"/>
      <c r="E53" s="5">
        <v>5</v>
      </c>
      <c r="F53" s="5">
        <v>5</v>
      </c>
      <c r="G53" s="5">
        <v>5</v>
      </c>
      <c r="H53" s="37">
        <v>5</v>
      </c>
      <c r="I53" s="5"/>
    </row>
    <row r="54" spans="1:9" ht="15.75" x14ac:dyDescent="0.25">
      <c r="A54" s="65"/>
      <c r="B54" s="18" t="s">
        <v>47</v>
      </c>
      <c r="C54" s="2"/>
      <c r="D54" s="2"/>
      <c r="E54" s="5">
        <v>53</v>
      </c>
      <c r="F54" s="5">
        <v>95</v>
      </c>
      <c r="G54" s="5">
        <v>139</v>
      </c>
      <c r="H54" s="37">
        <v>179.99799999999999</v>
      </c>
      <c r="I54" s="5"/>
    </row>
    <row r="55" spans="1:9" x14ac:dyDescent="0.25">
      <c r="A55" s="65"/>
      <c r="B55" s="16" t="s">
        <v>48</v>
      </c>
      <c r="C55" s="2"/>
      <c r="D55" s="2"/>
      <c r="E55" s="2"/>
      <c r="F55" s="2"/>
      <c r="G55" s="2"/>
      <c r="H55" s="37"/>
      <c r="I55" s="2"/>
    </row>
    <row r="56" spans="1:9" x14ac:dyDescent="0.25">
      <c r="B56" s="19" t="s">
        <v>49</v>
      </c>
      <c r="C56" s="2"/>
      <c r="D56" s="2"/>
      <c r="E56" s="2"/>
      <c r="F56" s="2"/>
      <c r="G56" s="2"/>
      <c r="H56" s="37"/>
      <c r="I56" s="2"/>
    </row>
    <row r="57" spans="1:9" ht="15.75" x14ac:dyDescent="0.25">
      <c r="B57" s="18" t="s">
        <v>50</v>
      </c>
      <c r="C57" s="2"/>
      <c r="D57" s="2"/>
      <c r="E57" s="5">
        <v>5815</v>
      </c>
      <c r="F57" s="5">
        <v>6525</v>
      </c>
      <c r="G57" s="5">
        <v>7865</v>
      </c>
      <c r="H57" s="37">
        <v>8782.8719999999994</v>
      </c>
      <c r="I57" s="5"/>
    </row>
    <row r="58" spans="1:9" ht="15.75" x14ac:dyDescent="0.25">
      <c r="B58" s="18" t="s">
        <v>51</v>
      </c>
      <c r="C58" s="2"/>
      <c r="D58" s="2"/>
      <c r="E58" s="5">
        <v>2189</v>
      </c>
      <c r="F58" s="5">
        <v>2383</v>
      </c>
      <c r="G58" s="5">
        <v>2768</v>
      </c>
      <c r="H58" s="37">
        <v>3053.4810000000002</v>
      </c>
      <c r="I58" s="5"/>
    </row>
    <row r="59" spans="1:9" ht="15.75" x14ac:dyDescent="0.25">
      <c r="B59" s="18" t="s">
        <v>52</v>
      </c>
      <c r="C59" s="2"/>
      <c r="D59" s="2"/>
      <c r="E59" s="5">
        <v>62</v>
      </c>
      <c r="F59" s="5">
        <v>8</v>
      </c>
      <c r="G59" s="5">
        <v>0</v>
      </c>
      <c r="H59" s="37">
        <v>0</v>
      </c>
      <c r="I59" s="5"/>
    </row>
    <row r="60" spans="1:9" ht="15.75" x14ac:dyDescent="0.25">
      <c r="B60" s="18" t="s">
        <v>53</v>
      </c>
      <c r="C60" s="2"/>
      <c r="D60" s="2"/>
      <c r="E60" s="5">
        <v>1046</v>
      </c>
      <c r="F60" s="20">
        <f>F63</f>
        <v>797.00331600000004</v>
      </c>
      <c r="G60" s="20">
        <f>G63</f>
        <v>921.16824051000003</v>
      </c>
      <c r="H60" s="37">
        <v>1187.203</v>
      </c>
      <c r="I60" s="5"/>
    </row>
    <row r="61" spans="1:9" ht="15.75" x14ac:dyDescent="0.25">
      <c r="B61" s="18"/>
      <c r="C61" s="2"/>
      <c r="D61" s="2"/>
      <c r="E61" s="5"/>
      <c r="F61" s="20"/>
      <c r="G61" s="20"/>
      <c r="H61" s="37"/>
      <c r="I61" s="5"/>
    </row>
    <row r="62" spans="1:9" ht="15.75" x14ac:dyDescent="0.25">
      <c r="B62" s="18"/>
      <c r="C62" s="21"/>
      <c r="D62" s="21"/>
      <c r="E62" s="21"/>
      <c r="F62" s="21"/>
      <c r="G62" s="21"/>
      <c r="H62" s="37"/>
      <c r="I62" s="21"/>
    </row>
    <row r="63" spans="1:9" ht="15.75" x14ac:dyDescent="0.25">
      <c r="B63" s="22" t="s">
        <v>54</v>
      </c>
      <c r="C63" s="21"/>
      <c r="D63" s="21"/>
      <c r="E63" s="23">
        <f>SUM(E65:E69)</f>
        <v>0</v>
      </c>
      <c r="F63" s="23">
        <f>SUM(F65:F69)</f>
        <v>797.00331600000004</v>
      </c>
      <c r="G63" s="23">
        <f>SUM(G65:G69)</f>
        <v>921.16824051000003</v>
      </c>
      <c r="H63" s="43">
        <f>SUM(H65:H69)</f>
        <v>1187.201</v>
      </c>
      <c r="I63" s="23"/>
    </row>
    <row r="64" spans="1:9" ht="15.75" x14ac:dyDescent="0.25">
      <c r="B64" s="18" t="s">
        <v>55</v>
      </c>
      <c r="C64" s="21"/>
      <c r="D64" s="21"/>
      <c r="E64" s="24">
        <f>SUM(E65:E66)</f>
        <v>0</v>
      </c>
      <c r="F64" s="24">
        <f>SUM(F65:F66)</f>
        <v>141.310248</v>
      </c>
      <c r="G64" s="24">
        <f>SUM(G65:G66)</f>
        <v>114.56693669999999</v>
      </c>
      <c r="H64" s="44">
        <f>SUM(H65:H66)</f>
        <v>109.095</v>
      </c>
      <c r="I64" s="24"/>
    </row>
    <row r="65" spans="2:9" x14ac:dyDescent="0.25">
      <c r="B65" s="25" t="s">
        <v>56</v>
      </c>
      <c r="C65" s="21"/>
      <c r="D65" s="21"/>
      <c r="E65" s="5"/>
      <c r="F65" s="20">
        <v>134.24473599999999</v>
      </c>
      <c r="G65" s="20">
        <v>108.83858986499999</v>
      </c>
      <c r="H65" s="37">
        <v>103.64100000000001</v>
      </c>
      <c r="I65" s="5"/>
    </row>
    <row r="66" spans="2:9" x14ac:dyDescent="0.25">
      <c r="B66" s="25" t="s">
        <v>57</v>
      </c>
      <c r="C66" s="21"/>
      <c r="D66" s="21"/>
      <c r="E66" s="5"/>
      <c r="F66" s="20">
        <v>7.065512</v>
      </c>
      <c r="G66" s="20">
        <v>5.7283468350000009</v>
      </c>
      <c r="H66" s="37">
        <v>5.4539999999999997</v>
      </c>
      <c r="I66" s="5"/>
    </row>
    <row r="67" spans="2:9" ht="15.75" x14ac:dyDescent="0.25">
      <c r="B67" s="18" t="s">
        <v>58</v>
      </c>
      <c r="C67" s="21"/>
      <c r="D67" s="21"/>
      <c r="E67" s="5"/>
      <c r="F67" s="20">
        <v>43.881106000000003</v>
      </c>
      <c r="G67" s="20">
        <v>44.51935881</v>
      </c>
      <c r="H67" s="37">
        <v>53.46</v>
      </c>
      <c r="I67" s="5"/>
    </row>
    <row r="68" spans="2:9" ht="15.75" x14ac:dyDescent="0.25">
      <c r="B68" s="18" t="s">
        <v>59</v>
      </c>
      <c r="C68" s="21"/>
      <c r="D68" s="21"/>
      <c r="E68" s="5"/>
      <c r="F68" s="20">
        <v>55</v>
      </c>
      <c r="G68" s="20">
        <v>55</v>
      </c>
      <c r="H68" s="37">
        <f>262.07+8.626</f>
        <v>270.69599999999997</v>
      </c>
      <c r="I68" s="5"/>
    </row>
    <row r="69" spans="2:9" ht="15.75" x14ac:dyDescent="0.25">
      <c r="B69" s="18" t="s">
        <v>60</v>
      </c>
      <c r="C69" s="21"/>
      <c r="D69" s="21"/>
      <c r="E69" s="5"/>
      <c r="F69" s="20">
        <v>556.81196199999999</v>
      </c>
      <c r="G69" s="20">
        <v>707.08194500000002</v>
      </c>
      <c r="H69" s="37">
        <v>753.95</v>
      </c>
      <c r="I69" s="5"/>
    </row>
    <row r="70" spans="2:9" ht="15.75" x14ac:dyDescent="0.25">
      <c r="B70" s="22" t="s">
        <v>61</v>
      </c>
      <c r="C70" s="2"/>
      <c r="D70" s="2"/>
      <c r="E70" s="21">
        <f>SUM(E71:E88)</f>
        <v>0</v>
      </c>
      <c r="F70" s="21">
        <f>SUM(F71:F88)</f>
        <v>556.81196200000011</v>
      </c>
      <c r="G70" s="21">
        <f>SUM(G71:G88)</f>
        <v>707.08194492000007</v>
      </c>
      <c r="H70" s="37">
        <f>SUM(H71:H88)</f>
        <v>753.95400000000006</v>
      </c>
      <c r="I70" s="21"/>
    </row>
    <row r="71" spans="2:9" ht="15.75" x14ac:dyDescent="0.25">
      <c r="B71" s="18" t="s">
        <v>62</v>
      </c>
      <c r="C71" s="2"/>
      <c r="D71" s="2"/>
      <c r="E71" s="5"/>
      <c r="F71" s="20">
        <v>0.22689200000000001</v>
      </c>
      <c r="G71" s="20">
        <v>0.81100000000000005</v>
      </c>
      <c r="H71" s="37">
        <v>14.537000000000001</v>
      </c>
      <c r="I71" s="5"/>
    </row>
    <row r="72" spans="2:9" ht="15.75" x14ac:dyDescent="0.25">
      <c r="B72" s="18" t="s">
        <v>63</v>
      </c>
      <c r="C72" s="2"/>
      <c r="D72" s="2"/>
      <c r="E72" s="5"/>
      <c r="F72" s="20">
        <v>29.60819</v>
      </c>
      <c r="G72" s="20">
        <v>3.2025932000000004</v>
      </c>
      <c r="H72" s="37">
        <v>2.8839999999999999</v>
      </c>
      <c r="I72" s="5"/>
    </row>
    <row r="73" spans="2:9" ht="15.75" x14ac:dyDescent="0.25">
      <c r="B73" s="18" t="s">
        <v>64</v>
      </c>
      <c r="C73" s="2"/>
      <c r="D73" s="2"/>
      <c r="E73" s="5"/>
      <c r="F73" s="20">
        <v>119.75221999999999</v>
      </c>
      <c r="G73" s="20">
        <v>216.84612777999999</v>
      </c>
      <c r="H73" s="37">
        <v>156.66999999999999</v>
      </c>
      <c r="I73" s="5"/>
    </row>
    <row r="74" spans="2:9" ht="15.75" x14ac:dyDescent="0.25">
      <c r="B74" s="18" t="s">
        <v>65</v>
      </c>
      <c r="C74" s="2"/>
      <c r="D74" s="2"/>
      <c r="E74" s="5"/>
      <c r="F74" s="20">
        <v>0.6825</v>
      </c>
      <c r="G74" s="20">
        <v>0.94562500000000005</v>
      </c>
      <c r="H74" s="37">
        <v>1.21</v>
      </c>
      <c r="I74" s="5"/>
    </row>
    <row r="75" spans="2:9" ht="15.75" x14ac:dyDescent="0.25">
      <c r="B75" s="18" t="s">
        <v>66</v>
      </c>
      <c r="C75" s="2"/>
      <c r="D75" s="2"/>
      <c r="E75" s="5"/>
      <c r="F75" s="20">
        <v>151.858878</v>
      </c>
      <c r="G75" s="20">
        <v>167.41439199999999</v>
      </c>
      <c r="H75" s="37">
        <v>195.03</v>
      </c>
      <c r="I75" s="5"/>
    </row>
    <row r="76" spans="2:9" ht="15.75" x14ac:dyDescent="0.25">
      <c r="B76" s="18" t="s">
        <v>67</v>
      </c>
      <c r="C76" s="2"/>
      <c r="D76" s="2"/>
      <c r="E76" s="5"/>
      <c r="F76" s="20">
        <v>29.812211999999999</v>
      </c>
      <c r="G76" s="20">
        <v>32.675167829999999</v>
      </c>
      <c r="H76" s="37">
        <v>55.86</v>
      </c>
      <c r="I76" s="5"/>
    </row>
    <row r="77" spans="2:9" ht="15.75" x14ac:dyDescent="0.25">
      <c r="B77" s="18" t="s">
        <v>68</v>
      </c>
      <c r="C77" s="2"/>
      <c r="D77" s="2"/>
      <c r="E77" s="5"/>
      <c r="F77" s="20">
        <v>6.3972000000000001E-2</v>
      </c>
      <c r="G77" s="20">
        <v>6.5171069999999998E-2</v>
      </c>
      <c r="H77" s="37">
        <v>5.8999999999999997E-2</v>
      </c>
      <c r="I77" s="5"/>
    </row>
    <row r="78" spans="2:9" ht="15.75" x14ac:dyDescent="0.25">
      <c r="B78" s="18" t="s">
        <v>69</v>
      </c>
      <c r="C78" s="2"/>
      <c r="D78" s="2"/>
      <c r="E78" s="5"/>
      <c r="F78" s="20">
        <v>4.5885980000000002</v>
      </c>
      <c r="G78" s="20">
        <v>9.6836366799999993</v>
      </c>
      <c r="H78" s="37">
        <v>8.3290000000000006</v>
      </c>
      <c r="I78" s="5"/>
    </row>
    <row r="79" spans="2:9" ht="15.75" x14ac:dyDescent="0.25">
      <c r="B79" s="18" t="s">
        <v>70</v>
      </c>
      <c r="C79" s="2"/>
      <c r="D79" s="2"/>
      <c r="E79" s="5"/>
      <c r="F79" s="20">
        <v>3.0702579999999999</v>
      </c>
      <c r="G79" s="20">
        <v>0.761513</v>
      </c>
      <c r="H79" s="37">
        <v>9.0839999999999996</v>
      </c>
      <c r="I79" s="5"/>
    </row>
    <row r="80" spans="2:9" ht="15.75" x14ac:dyDescent="0.25">
      <c r="B80" s="18" t="s">
        <v>71</v>
      </c>
      <c r="C80" s="2"/>
      <c r="D80" s="2"/>
      <c r="E80" s="5"/>
      <c r="F80" s="20">
        <v>3.7709830000000002</v>
      </c>
      <c r="G80" s="20">
        <v>3.6303100000000001</v>
      </c>
      <c r="H80" s="37">
        <v>19.135999999999999</v>
      </c>
      <c r="I80" s="5"/>
    </row>
    <row r="81" spans="2:9" ht="15.75" x14ac:dyDescent="0.25">
      <c r="B81" s="18" t="s">
        <v>72</v>
      </c>
      <c r="C81" s="2"/>
      <c r="D81" s="2"/>
      <c r="E81" s="5"/>
      <c r="F81" s="20">
        <v>28.026481</v>
      </c>
      <c r="G81" s="20">
        <v>21.353843699999999</v>
      </c>
      <c r="H81" s="37">
        <v>16.318999999999999</v>
      </c>
      <c r="I81" s="5"/>
    </row>
    <row r="82" spans="2:9" ht="15.75" x14ac:dyDescent="0.25">
      <c r="B82" s="18" t="s">
        <v>73</v>
      </c>
      <c r="C82" s="2"/>
      <c r="D82" s="2"/>
      <c r="E82" s="5"/>
      <c r="F82" s="20">
        <v>181.11890600000001</v>
      </c>
      <c r="G82" s="20">
        <v>243.11363115999998</v>
      </c>
      <c r="H82" s="37">
        <v>265.70499999999998</v>
      </c>
      <c r="I82" s="5"/>
    </row>
    <row r="83" spans="2:9" ht="15.75" x14ac:dyDescent="0.25">
      <c r="B83" s="18" t="s">
        <v>74</v>
      </c>
      <c r="C83" s="2"/>
      <c r="D83" s="2"/>
      <c r="E83" s="5"/>
      <c r="F83" s="20">
        <v>0.89900000000000002</v>
      </c>
      <c r="G83" s="20">
        <v>0.51364900000000002</v>
      </c>
      <c r="H83" s="37">
        <v>3.4350000000000001</v>
      </c>
      <c r="I83" s="5"/>
    </row>
    <row r="84" spans="2:9" ht="15.75" x14ac:dyDescent="0.25">
      <c r="B84" s="18" t="s">
        <v>75</v>
      </c>
      <c r="C84" s="2"/>
      <c r="D84" s="2"/>
      <c r="E84" s="5"/>
      <c r="F84" s="20">
        <v>0.96250000000000002</v>
      </c>
      <c r="G84" s="20">
        <v>0.40379999999999999</v>
      </c>
      <c r="H84" s="37">
        <v>1.181</v>
      </c>
      <c r="I84" s="5"/>
    </row>
    <row r="85" spans="2:9" ht="15.75" x14ac:dyDescent="0.25">
      <c r="B85" s="18" t="s">
        <v>76</v>
      </c>
      <c r="C85" s="2"/>
      <c r="D85" s="2"/>
      <c r="E85" s="5"/>
      <c r="F85" s="20">
        <v>0.25634000000000001</v>
      </c>
      <c r="G85" s="20">
        <v>0.28283950000000002</v>
      </c>
      <c r="H85" s="37">
        <v>0.27300000000000002</v>
      </c>
      <c r="I85" s="5"/>
    </row>
    <row r="86" spans="2:9" ht="15.75" x14ac:dyDescent="0.25">
      <c r="B86" s="18" t="s">
        <v>77</v>
      </c>
      <c r="C86" s="2"/>
      <c r="D86" s="2"/>
      <c r="E86" s="5"/>
      <c r="F86" s="20">
        <v>1.9184319999999999</v>
      </c>
      <c r="G86" s="20">
        <v>5.2110789999999998</v>
      </c>
      <c r="H86" s="37">
        <v>2.3519999999999999</v>
      </c>
      <c r="I86" s="5"/>
    </row>
    <row r="87" spans="2:9" ht="15.75" x14ac:dyDescent="0.25">
      <c r="B87" s="18" t="s">
        <v>78</v>
      </c>
      <c r="C87" s="2"/>
      <c r="D87" s="2"/>
      <c r="E87" s="5"/>
      <c r="F87" s="20">
        <v>1E-3</v>
      </c>
      <c r="G87" s="20">
        <v>0.15210000000000001</v>
      </c>
      <c r="H87" s="37">
        <v>1.885</v>
      </c>
      <c r="I87" s="5"/>
    </row>
    <row r="88" spans="2:9" ht="15.75" x14ac:dyDescent="0.25">
      <c r="B88" s="18" t="s">
        <v>79</v>
      </c>
      <c r="C88" s="2"/>
      <c r="D88" s="2"/>
      <c r="E88" s="5"/>
      <c r="F88" s="20">
        <v>0.1946</v>
      </c>
      <c r="G88" s="20">
        <v>1.5466000000000001E-2</v>
      </c>
      <c r="H88" s="37">
        <v>5.0000000000000001E-3</v>
      </c>
      <c r="I88" s="5"/>
    </row>
    <row r="89" spans="2:9" x14ac:dyDescent="0.25">
      <c r="B89" s="2"/>
      <c r="C89" s="2"/>
      <c r="D89" s="2"/>
      <c r="E89" s="2"/>
      <c r="F89" s="2"/>
      <c r="G89" s="2"/>
      <c r="H89" s="37"/>
      <c r="I89" s="2"/>
    </row>
    <row r="90" spans="2:9" ht="15.75" x14ac:dyDescent="0.25">
      <c r="B90" s="22" t="s">
        <v>80</v>
      </c>
      <c r="C90" s="2"/>
      <c r="D90" s="2"/>
      <c r="E90" s="21"/>
      <c r="F90" s="21"/>
      <c r="G90" s="21"/>
      <c r="H90" s="37"/>
      <c r="I90" s="21"/>
    </row>
    <row r="91" spans="2:9" ht="15.75" x14ac:dyDescent="0.25">
      <c r="B91" s="18" t="s">
        <v>81</v>
      </c>
      <c r="C91" s="2"/>
      <c r="D91" s="2"/>
      <c r="E91" s="5">
        <v>1650</v>
      </c>
      <c r="F91" s="5">
        <v>1180</v>
      </c>
      <c r="G91" s="5">
        <v>1691</v>
      </c>
      <c r="H91" s="37">
        <v>2318.1880000000001</v>
      </c>
      <c r="I91" s="5"/>
    </row>
    <row r="92" spans="2:9" ht="15.75" x14ac:dyDescent="0.25">
      <c r="B92" s="18" t="s">
        <v>80</v>
      </c>
      <c r="C92" s="2"/>
      <c r="D92" s="2"/>
      <c r="E92" s="5">
        <v>1305</v>
      </c>
      <c r="F92" s="5">
        <v>1792</v>
      </c>
      <c r="G92" s="5">
        <v>2154</v>
      </c>
      <c r="H92" s="37">
        <f>4837.748-2318.188</f>
        <v>2519.5599999999995</v>
      </c>
      <c r="I92" s="5"/>
    </row>
    <row r="93" spans="2:9" ht="15.75" x14ac:dyDescent="0.25">
      <c r="B93" s="22"/>
      <c r="C93" s="21"/>
      <c r="D93" s="21"/>
      <c r="E93" s="21"/>
      <c r="F93" s="21"/>
      <c r="G93" s="21"/>
      <c r="H93" s="37"/>
      <c r="I93" s="21"/>
    </row>
    <row r="94" spans="2:9" ht="15.75" x14ac:dyDescent="0.25">
      <c r="B94" s="22" t="s">
        <v>82</v>
      </c>
      <c r="C94" s="2"/>
      <c r="D94" s="2"/>
      <c r="E94" s="21"/>
      <c r="F94" s="21"/>
      <c r="G94" s="21"/>
      <c r="H94" s="37"/>
      <c r="I94" s="21"/>
    </row>
    <row r="95" spans="2:9" ht="15.75" x14ac:dyDescent="0.25">
      <c r="B95" s="18" t="s">
        <v>83</v>
      </c>
      <c r="C95" s="2"/>
      <c r="D95" s="2"/>
      <c r="E95" s="5">
        <v>2755.2</v>
      </c>
      <c r="F95" s="5">
        <v>3042.4</v>
      </c>
      <c r="G95" s="5">
        <v>3176.9</v>
      </c>
      <c r="H95" s="37">
        <v>3465.6</v>
      </c>
      <c r="I95" s="5"/>
    </row>
    <row r="96" spans="2:9" ht="15.75" x14ac:dyDescent="0.25">
      <c r="B96" s="18" t="s">
        <v>84</v>
      </c>
      <c r="C96" s="2"/>
      <c r="D96" s="2"/>
      <c r="E96" s="21">
        <f>E98+E99</f>
        <v>1063</v>
      </c>
      <c r="F96" s="21">
        <f>F98+F99</f>
        <v>1029.0999999999999</v>
      </c>
      <c r="G96" s="21">
        <f>G98+G99</f>
        <v>1384.2</v>
      </c>
      <c r="H96" s="37">
        <f>H98+H99</f>
        <v>1389.6030000000001</v>
      </c>
      <c r="I96" s="21"/>
    </row>
    <row r="97" spans="2:9" ht="15.75" x14ac:dyDescent="0.25">
      <c r="B97" s="18" t="s">
        <v>85</v>
      </c>
      <c r="C97" s="2"/>
      <c r="D97" s="2"/>
      <c r="E97" s="5">
        <v>118.1</v>
      </c>
      <c r="F97" s="5">
        <v>101.6</v>
      </c>
      <c r="G97" s="5">
        <v>86.1</v>
      </c>
      <c r="H97" s="37">
        <f>36.423+21.979+9.243+6.388+0.366</f>
        <v>74.399000000000001</v>
      </c>
      <c r="I97" s="5"/>
    </row>
    <row r="98" spans="2:9" x14ac:dyDescent="0.25">
      <c r="B98" s="26" t="s">
        <v>86</v>
      </c>
      <c r="C98" s="2"/>
      <c r="D98" s="2"/>
      <c r="E98" s="5">
        <v>250</v>
      </c>
      <c r="F98" s="5">
        <v>290</v>
      </c>
      <c r="G98" s="5">
        <v>523.70000000000005</v>
      </c>
      <c r="H98" s="37">
        <v>361.21199999999999</v>
      </c>
      <c r="I98" s="5"/>
    </row>
    <row r="99" spans="2:9" x14ac:dyDescent="0.25">
      <c r="B99" s="26" t="s">
        <v>87</v>
      </c>
      <c r="C99" s="2"/>
      <c r="D99" s="2"/>
      <c r="E99" s="5">
        <v>813</v>
      </c>
      <c r="F99" s="5">
        <v>739.1</v>
      </c>
      <c r="G99" s="5">
        <v>860.5</v>
      </c>
      <c r="H99" s="37">
        <f>4929.602-H95-H97-H98</f>
        <v>1028.3910000000001</v>
      </c>
      <c r="I99" s="5"/>
    </row>
    <row r="100" spans="2:9" x14ac:dyDescent="0.25">
      <c r="B100" s="27" t="s">
        <v>88</v>
      </c>
      <c r="C100" s="2"/>
      <c r="D100" s="2"/>
      <c r="E100" s="21">
        <f t="shared" ref="E100:H100" si="0">SUM(E101:E107)</f>
        <v>0</v>
      </c>
      <c r="F100" s="21">
        <f t="shared" si="0"/>
        <v>0</v>
      </c>
      <c r="G100" s="21">
        <f t="shared" si="0"/>
        <v>0</v>
      </c>
      <c r="H100" s="37">
        <f t="shared" si="0"/>
        <v>0</v>
      </c>
      <c r="I100" s="21"/>
    </row>
    <row r="101" spans="2:9" x14ac:dyDescent="0.25">
      <c r="B101" s="27"/>
      <c r="C101" s="2"/>
      <c r="D101" s="2"/>
      <c r="E101" s="5"/>
      <c r="F101" s="5"/>
      <c r="G101" s="5"/>
      <c r="H101" s="37"/>
      <c r="I101" s="5"/>
    </row>
    <row r="102" spans="2:9" x14ac:dyDescent="0.25">
      <c r="B102" s="27"/>
      <c r="C102" s="2"/>
      <c r="D102" s="2"/>
      <c r="E102" s="5"/>
      <c r="F102" s="5"/>
      <c r="G102" s="5"/>
      <c r="H102" s="37"/>
      <c r="I102" s="5"/>
    </row>
    <row r="103" spans="2:9" x14ac:dyDescent="0.25">
      <c r="B103" s="27"/>
      <c r="C103" s="2"/>
      <c r="D103" s="2"/>
      <c r="E103" s="5"/>
      <c r="F103" s="5"/>
      <c r="G103" s="5"/>
      <c r="H103" s="37"/>
      <c r="I103" s="5"/>
    </row>
    <row r="104" spans="2:9" x14ac:dyDescent="0.25">
      <c r="B104" s="27"/>
      <c r="C104" s="2"/>
      <c r="D104" s="2"/>
      <c r="E104" s="5"/>
      <c r="F104" s="5"/>
      <c r="G104" s="5"/>
      <c r="H104" s="37"/>
      <c r="I104" s="5"/>
    </row>
    <row r="105" spans="2:9" x14ac:dyDescent="0.25">
      <c r="B105" s="27"/>
      <c r="C105" s="2"/>
      <c r="D105" s="2"/>
      <c r="E105" s="5"/>
      <c r="F105" s="5"/>
      <c r="G105" s="5"/>
      <c r="H105" s="37"/>
      <c r="I105" s="5"/>
    </row>
    <row r="106" spans="2:9" x14ac:dyDescent="0.25">
      <c r="B106" s="26"/>
      <c r="C106" s="2"/>
      <c r="D106" s="2"/>
      <c r="E106" s="5"/>
      <c r="F106" s="5"/>
      <c r="G106" s="5"/>
      <c r="H106" s="37"/>
      <c r="I106" s="5"/>
    </row>
    <row r="107" spans="2:9" x14ac:dyDescent="0.25">
      <c r="B107" s="26"/>
      <c r="C107" s="2"/>
      <c r="D107" s="2"/>
      <c r="E107" s="5"/>
      <c r="F107" s="5"/>
      <c r="G107" s="5"/>
      <c r="H107" s="37"/>
      <c r="I107" s="5"/>
    </row>
    <row r="108" spans="2:9" x14ac:dyDescent="0.25">
      <c r="B108" s="26"/>
      <c r="C108" s="2"/>
      <c r="D108" s="2"/>
      <c r="E108" s="2"/>
      <c r="F108" s="2"/>
      <c r="G108" s="2"/>
      <c r="H108" s="37"/>
      <c r="I108" s="2"/>
    </row>
    <row r="109" spans="2:9" x14ac:dyDescent="0.25">
      <c r="B109" s="28" t="s">
        <v>89</v>
      </c>
      <c r="C109" s="2"/>
      <c r="D109" s="2"/>
      <c r="E109" s="2"/>
      <c r="F109" s="2"/>
      <c r="G109" s="2"/>
      <c r="H109" s="37"/>
      <c r="I109" s="2"/>
    </row>
    <row r="110" spans="2:9" ht="15.75" x14ac:dyDescent="0.25">
      <c r="B110" s="18" t="s">
        <v>90</v>
      </c>
      <c r="C110" s="2"/>
      <c r="D110" s="2"/>
      <c r="E110" s="5">
        <v>202</v>
      </c>
      <c r="F110" s="5">
        <v>288</v>
      </c>
      <c r="G110" s="5">
        <v>393</v>
      </c>
      <c r="H110" s="37">
        <f>1328.817-H111</f>
        <v>330.96900000000005</v>
      </c>
      <c r="I110" s="5"/>
    </row>
    <row r="111" spans="2:9" ht="15.75" x14ac:dyDescent="0.25">
      <c r="B111" s="18" t="s">
        <v>91</v>
      </c>
      <c r="C111" s="2"/>
      <c r="D111" s="2"/>
      <c r="E111" s="5">
        <v>569</v>
      </c>
      <c r="F111" s="5">
        <v>573</v>
      </c>
      <c r="G111" s="5">
        <v>781</v>
      </c>
      <c r="H111" s="37">
        <v>997.84799999999996</v>
      </c>
      <c r="I111" s="5"/>
    </row>
    <row r="112" spans="2:9" ht="15.75" x14ac:dyDescent="0.25">
      <c r="B112" s="18" t="s">
        <v>92</v>
      </c>
      <c r="C112" s="2"/>
      <c r="D112" s="2"/>
      <c r="E112" s="5">
        <v>2</v>
      </c>
      <c r="F112" s="5">
        <v>2</v>
      </c>
      <c r="G112" s="5">
        <v>1.7589999999999999</v>
      </c>
      <c r="H112" s="37">
        <v>0.92200000000000004</v>
      </c>
      <c r="I112" s="5"/>
    </row>
    <row r="113" spans="2:9" ht="15.75" x14ac:dyDescent="0.25">
      <c r="B113" s="18" t="s">
        <v>93</v>
      </c>
      <c r="C113" s="2"/>
      <c r="D113" s="2"/>
      <c r="E113" s="5">
        <v>107</v>
      </c>
      <c r="F113" s="5">
        <v>92</v>
      </c>
      <c r="G113" s="5">
        <v>59.848999999999997</v>
      </c>
      <c r="H113" s="37"/>
      <c r="I113" s="5"/>
    </row>
    <row r="114" spans="2:9" ht="15.75" x14ac:dyDescent="0.25">
      <c r="B114" s="18" t="s">
        <v>94</v>
      </c>
      <c r="C114" s="2"/>
      <c r="D114" s="2"/>
      <c r="E114" s="29">
        <v>53</v>
      </c>
      <c r="F114" s="29">
        <v>42</v>
      </c>
      <c r="G114" s="29">
        <v>75.400000000000006</v>
      </c>
      <c r="H114" s="45">
        <v>93.751999999999995</v>
      </c>
      <c r="I114" s="29"/>
    </row>
    <row r="115" spans="2:9" x14ac:dyDescent="0.25">
      <c r="B115" s="2"/>
      <c r="C115" s="2"/>
      <c r="D115" s="2"/>
      <c r="E115" s="2"/>
      <c r="F115" s="2"/>
      <c r="G115" s="2"/>
      <c r="H115" s="37"/>
      <c r="I115" s="2"/>
    </row>
    <row r="116" spans="2:9" x14ac:dyDescent="0.25">
      <c r="B116" s="28" t="s">
        <v>95</v>
      </c>
      <c r="C116" s="2"/>
      <c r="D116" s="30"/>
      <c r="E116" s="2"/>
      <c r="F116" s="2"/>
      <c r="G116" s="2"/>
      <c r="H116" s="37"/>
      <c r="I116" s="2"/>
    </row>
    <row r="117" spans="2:9" x14ac:dyDescent="0.25">
      <c r="B117" s="28" t="s">
        <v>96</v>
      </c>
      <c r="C117" s="2"/>
      <c r="D117" s="30"/>
      <c r="E117" s="5"/>
      <c r="F117" s="5"/>
      <c r="G117" s="5"/>
      <c r="H117" s="37"/>
      <c r="I117" s="5"/>
    </row>
    <row r="118" spans="2:9" x14ac:dyDescent="0.25">
      <c r="B118" s="2" t="s">
        <v>97</v>
      </c>
      <c r="C118" s="2"/>
      <c r="D118" s="31"/>
      <c r="E118" s="20">
        <v>2194.4638220000002</v>
      </c>
      <c r="F118" s="20">
        <v>2194.4638220000002</v>
      </c>
      <c r="G118" s="20">
        <v>2194.4638220000002</v>
      </c>
      <c r="H118" s="43">
        <v>2194.4638220000002</v>
      </c>
      <c r="I118" s="20"/>
    </row>
    <row r="119" spans="2:9" x14ac:dyDescent="0.25">
      <c r="B119" s="2" t="s">
        <v>98</v>
      </c>
      <c r="C119" s="2"/>
      <c r="D119" s="2"/>
      <c r="E119" s="20">
        <v>116.99254999999999</v>
      </c>
      <c r="F119" s="20">
        <v>116.99254999999999</v>
      </c>
      <c r="G119" s="20">
        <v>116.99254999999999</v>
      </c>
      <c r="H119" s="43">
        <v>116.99254999999999</v>
      </c>
      <c r="I119" s="20"/>
    </row>
    <row r="120" spans="2:9" x14ac:dyDescent="0.25">
      <c r="B120" s="2" t="s">
        <v>99</v>
      </c>
      <c r="C120" s="2"/>
      <c r="D120" s="2"/>
      <c r="E120" s="20">
        <v>9596.0012129999996</v>
      </c>
      <c r="F120" s="20">
        <v>9865.4412130000001</v>
      </c>
      <c r="G120" s="20">
        <v>9865.4412130000001</v>
      </c>
      <c r="H120" s="43">
        <v>9865.9298350000008</v>
      </c>
      <c r="I120" s="20"/>
    </row>
    <row r="121" spans="2:9" x14ac:dyDescent="0.25">
      <c r="B121" s="2" t="s">
        <v>100</v>
      </c>
      <c r="C121" s="2"/>
      <c r="D121" s="2"/>
      <c r="E121" s="20">
        <v>235.56716900000001</v>
      </c>
      <c r="F121" s="20">
        <v>235.56716900000001</v>
      </c>
      <c r="G121" s="20">
        <v>243.167169</v>
      </c>
      <c r="H121" s="43">
        <v>249.35910000000001</v>
      </c>
      <c r="I121" s="20"/>
    </row>
    <row r="122" spans="2:9" x14ac:dyDescent="0.25">
      <c r="B122" s="2" t="s">
        <v>101</v>
      </c>
      <c r="C122" s="2"/>
      <c r="D122" s="2"/>
      <c r="E122" s="20">
        <v>10.635429999999999</v>
      </c>
      <c r="F122" s="20">
        <v>10.635429999999999</v>
      </c>
      <c r="G122" s="20">
        <v>10.635429999999999</v>
      </c>
      <c r="H122" s="43">
        <v>10.635429999999999</v>
      </c>
      <c r="I122" s="20"/>
    </row>
    <row r="123" spans="2:9" x14ac:dyDescent="0.25">
      <c r="B123" s="2" t="s">
        <v>102</v>
      </c>
      <c r="C123" s="2"/>
      <c r="D123" s="2"/>
      <c r="E123" s="20">
        <v>196.04554099999999</v>
      </c>
      <c r="F123" s="20">
        <v>196.04554099999999</v>
      </c>
      <c r="G123" s="20">
        <v>196.04554099999999</v>
      </c>
      <c r="H123" s="43">
        <v>196.04554099999999</v>
      </c>
      <c r="I123" s="20"/>
    </row>
    <row r="124" spans="2:9" x14ac:dyDescent="0.25">
      <c r="B124" s="2" t="s">
        <v>103</v>
      </c>
      <c r="C124" s="2"/>
      <c r="D124" s="2"/>
      <c r="E124" s="20">
        <v>20.806585999999999</v>
      </c>
      <c r="F124" s="20">
        <v>20.806585999999999</v>
      </c>
      <c r="G124" s="20">
        <v>20.806585999999999</v>
      </c>
      <c r="H124" s="43">
        <v>20.806585999999999</v>
      </c>
      <c r="I124" s="20"/>
    </row>
    <row r="125" spans="2:9" x14ac:dyDescent="0.25">
      <c r="B125" s="2" t="s">
        <v>104</v>
      </c>
      <c r="C125" s="2"/>
      <c r="D125" s="2"/>
      <c r="E125" s="20">
        <v>4081.7745249999998</v>
      </c>
      <c r="F125" s="20">
        <v>4554.2595250000004</v>
      </c>
      <c r="G125" s="20">
        <v>4573.6464269999997</v>
      </c>
      <c r="H125" s="43">
        <v>4573.6464269999997</v>
      </c>
      <c r="I125" s="20"/>
    </row>
    <row r="126" spans="2:9" x14ac:dyDescent="0.25">
      <c r="B126" s="2" t="s">
        <v>105</v>
      </c>
      <c r="C126" s="2"/>
      <c r="D126" s="2"/>
      <c r="E126" s="20">
        <v>1063.060397</v>
      </c>
      <c r="F126" s="20">
        <v>2009.9603970000001</v>
      </c>
      <c r="G126" s="20">
        <v>2009.9603970000001</v>
      </c>
      <c r="H126" s="43">
        <v>2013.01</v>
      </c>
      <c r="I126" s="20"/>
    </row>
    <row r="127" spans="2:9" x14ac:dyDescent="0.25">
      <c r="B127" s="2" t="s">
        <v>106</v>
      </c>
      <c r="C127" s="2"/>
      <c r="D127" s="2"/>
      <c r="E127" s="20">
        <v>7063.7814209999997</v>
      </c>
      <c r="F127" s="20">
        <v>7063.7814209999997</v>
      </c>
      <c r="G127" s="20">
        <v>7063.7814209999997</v>
      </c>
      <c r="H127" s="43">
        <v>7063.7814209999997</v>
      </c>
      <c r="I127" s="20"/>
    </row>
    <row r="128" spans="2:9" x14ac:dyDescent="0.25">
      <c r="B128" s="2" t="s">
        <v>107</v>
      </c>
      <c r="C128" s="2"/>
      <c r="D128" s="2"/>
      <c r="E128" s="20">
        <v>0</v>
      </c>
      <c r="F128" s="20">
        <v>9868.4410000000007</v>
      </c>
      <c r="G128" s="20">
        <v>9868.4410000000007</v>
      </c>
      <c r="H128" s="43">
        <v>9871.9709999999995</v>
      </c>
      <c r="I128" s="20"/>
    </row>
    <row r="129" spans="2:9" x14ac:dyDescent="0.25">
      <c r="B129" s="2" t="s">
        <v>108</v>
      </c>
      <c r="C129" s="2"/>
      <c r="D129" s="2"/>
      <c r="E129" s="20">
        <v>64.201307</v>
      </c>
      <c r="F129" s="20">
        <v>64.201307</v>
      </c>
      <c r="G129" s="20">
        <v>64.201307</v>
      </c>
      <c r="H129" s="43">
        <v>64.201307</v>
      </c>
      <c r="I129" s="20"/>
    </row>
    <row r="130" spans="2:9" x14ac:dyDescent="0.25">
      <c r="B130" s="2" t="s">
        <v>109</v>
      </c>
      <c r="C130" s="2"/>
      <c r="D130" s="2"/>
      <c r="E130" s="20">
        <v>236.95696799999999</v>
      </c>
      <c r="F130" s="20">
        <v>236.95696799999999</v>
      </c>
      <c r="G130" s="20">
        <v>236.95696799999999</v>
      </c>
      <c r="H130" s="43">
        <v>236.95696799999999</v>
      </c>
      <c r="I130" s="20"/>
    </row>
    <row r="131" spans="2:9" x14ac:dyDescent="0.25">
      <c r="B131" s="2"/>
      <c r="C131" s="2"/>
      <c r="D131" s="2"/>
      <c r="E131" s="2"/>
      <c r="F131" s="2"/>
      <c r="G131" s="2"/>
      <c r="H131" s="37"/>
      <c r="I131" s="2"/>
    </row>
    <row r="132" spans="2:9" x14ac:dyDescent="0.25">
      <c r="B132" s="28" t="s">
        <v>57</v>
      </c>
      <c r="C132" s="2"/>
      <c r="D132" s="30"/>
      <c r="E132" s="2"/>
      <c r="F132" s="2"/>
      <c r="G132" s="2"/>
      <c r="H132" s="37"/>
      <c r="I132" s="2"/>
    </row>
    <row r="133" spans="2:9" x14ac:dyDescent="0.25">
      <c r="B133" s="2" t="s">
        <v>97</v>
      </c>
      <c r="C133" s="2"/>
      <c r="D133" s="31"/>
      <c r="E133" s="20">
        <v>24916.440355999999</v>
      </c>
      <c r="F133" s="20">
        <v>24916.440355999999</v>
      </c>
      <c r="G133" s="20">
        <v>24916.440355999999</v>
      </c>
      <c r="H133" s="43">
        <v>24916.440355999999</v>
      </c>
      <c r="I133" s="20"/>
    </row>
    <row r="134" spans="2:9" x14ac:dyDescent="0.25">
      <c r="B134" s="2" t="s">
        <v>98</v>
      </c>
      <c r="C134" s="2"/>
      <c r="D134" s="2"/>
      <c r="E134" s="20">
        <v>35.361553999999998</v>
      </c>
      <c r="F134" s="20">
        <v>35.361553999999998</v>
      </c>
      <c r="G134" s="20">
        <v>35.361553999999998</v>
      </c>
      <c r="H134" s="43">
        <v>35.361553999999998</v>
      </c>
      <c r="I134" s="20"/>
    </row>
    <row r="135" spans="2:9" x14ac:dyDescent="0.25">
      <c r="B135" s="2" t="s">
        <v>110</v>
      </c>
      <c r="C135" s="2"/>
      <c r="D135" s="2"/>
      <c r="E135" s="20">
        <v>749.80941700000005</v>
      </c>
      <c r="F135" s="20">
        <v>749.80941700000005</v>
      </c>
      <c r="G135" s="20">
        <v>749.80941700000005</v>
      </c>
      <c r="H135" s="43">
        <v>749.80941700000005</v>
      </c>
      <c r="I135" s="20"/>
    </row>
    <row r="136" spans="2:9" x14ac:dyDescent="0.25">
      <c r="B136" s="2" t="s">
        <v>103</v>
      </c>
      <c r="C136" s="2"/>
      <c r="D136" s="2"/>
      <c r="E136" s="20">
        <v>13.708712</v>
      </c>
      <c r="F136" s="20">
        <v>13.708712</v>
      </c>
      <c r="G136" s="20">
        <v>13.708712</v>
      </c>
      <c r="H136" s="43">
        <v>13.708712</v>
      </c>
      <c r="I136" s="20"/>
    </row>
    <row r="137" spans="2:9" x14ac:dyDescent="0.25">
      <c r="B137" s="2" t="s">
        <v>111</v>
      </c>
      <c r="C137" s="2"/>
      <c r="D137" s="2"/>
      <c r="E137" s="20">
        <v>1509.4099490000001</v>
      </c>
      <c r="F137" s="20">
        <v>1509.4099490000001</v>
      </c>
      <c r="G137" s="20">
        <v>1509.4099490000001</v>
      </c>
      <c r="H137" s="43">
        <f>1509.409949+862.6219</f>
        <v>2372.031849</v>
      </c>
      <c r="I137" s="20"/>
    </row>
    <row r="138" spans="2:9" x14ac:dyDescent="0.25">
      <c r="B138" s="2" t="s">
        <v>112</v>
      </c>
      <c r="C138" s="2"/>
      <c r="D138" s="2"/>
      <c r="E138" s="20">
        <v>1663.9358319999999</v>
      </c>
      <c r="F138" s="20">
        <v>1663.9358319999999</v>
      </c>
      <c r="G138" s="20">
        <v>1663.9358319999999</v>
      </c>
      <c r="H138" s="43">
        <v>1663.9358319999999</v>
      </c>
      <c r="I138" s="20"/>
    </row>
    <row r="139" spans="2:9" x14ac:dyDescent="0.25">
      <c r="B139" s="2" t="s">
        <v>113</v>
      </c>
      <c r="C139" s="2"/>
      <c r="D139" s="2"/>
      <c r="E139" s="20">
        <v>4720.9815609999996</v>
      </c>
      <c r="F139" s="20">
        <v>4720.9815609999996</v>
      </c>
      <c r="G139" s="20">
        <v>4720.9815609999996</v>
      </c>
      <c r="H139" s="43">
        <v>4720.9815609999996</v>
      </c>
      <c r="I139" s="20"/>
    </row>
    <row r="140" spans="2:9" x14ac:dyDescent="0.25">
      <c r="B140" s="2" t="s">
        <v>114</v>
      </c>
      <c r="C140" s="2"/>
      <c r="D140" s="2"/>
      <c r="E140" s="20">
        <v>1924.246562</v>
      </c>
      <c r="F140" s="20">
        <v>1924.246562</v>
      </c>
      <c r="G140" s="20">
        <v>1924.246562</v>
      </c>
      <c r="H140" s="43">
        <v>1924.246562</v>
      </c>
      <c r="I140" s="20"/>
    </row>
    <row r="141" spans="2:9" x14ac:dyDescent="0.25">
      <c r="B141" s="2" t="s">
        <v>115</v>
      </c>
      <c r="C141" s="2"/>
      <c r="D141" s="2"/>
      <c r="E141" s="20">
        <v>25.469287999999999</v>
      </c>
      <c r="F141" s="20">
        <v>25.469287999999999</v>
      </c>
      <c r="G141" s="20">
        <v>25.469287999999999</v>
      </c>
      <c r="H141" s="43">
        <v>25.469287999999999</v>
      </c>
      <c r="I141" s="20"/>
    </row>
    <row r="142" spans="2:9" x14ac:dyDescent="0.25">
      <c r="B142" s="2" t="s">
        <v>116</v>
      </c>
      <c r="C142" s="2"/>
      <c r="D142" s="2"/>
      <c r="E142" s="20">
        <v>21.946106</v>
      </c>
      <c r="F142" s="20">
        <v>21.946106</v>
      </c>
      <c r="G142" s="20">
        <v>21.946106</v>
      </c>
      <c r="H142" s="43">
        <v>21.946106</v>
      </c>
      <c r="I142" s="20"/>
    </row>
    <row r="143" spans="2:9" x14ac:dyDescent="0.25">
      <c r="B143" s="2"/>
      <c r="C143" s="2"/>
      <c r="D143" s="2"/>
      <c r="E143" s="2"/>
      <c r="F143" s="2"/>
      <c r="G143" s="2"/>
      <c r="H143" s="2"/>
      <c r="I143" s="2"/>
    </row>
    <row r="144" spans="2:9" x14ac:dyDescent="0.25">
      <c r="B144" s="28" t="s">
        <v>117</v>
      </c>
      <c r="C144" s="2"/>
      <c r="D144" s="30"/>
      <c r="E144" s="2"/>
      <c r="F144" s="2"/>
      <c r="G144" s="2"/>
      <c r="H144" s="2"/>
      <c r="I144" s="2"/>
    </row>
    <row r="145" spans="2:9" x14ac:dyDescent="0.25">
      <c r="B145" s="2" t="s">
        <v>97</v>
      </c>
      <c r="C145" s="2"/>
      <c r="D145" s="2"/>
      <c r="E145" s="20">
        <v>1261.145667</v>
      </c>
      <c r="F145" s="20">
        <v>1330.2466669999999</v>
      </c>
      <c r="G145" s="20">
        <v>1330.2466669999999</v>
      </c>
      <c r="H145" s="20">
        <v>1330.2466669999999</v>
      </c>
      <c r="I145" s="20"/>
    </row>
    <row r="146" spans="2:9" x14ac:dyDescent="0.25">
      <c r="B146" s="2" t="s">
        <v>98</v>
      </c>
      <c r="C146" s="2"/>
      <c r="D146" s="2"/>
      <c r="E146" s="20">
        <v>1490.437809</v>
      </c>
      <c r="F146" s="20">
        <v>1510.7915419999999</v>
      </c>
      <c r="G146" s="20">
        <v>1657.46</v>
      </c>
      <c r="H146" s="20">
        <v>1573.222426</v>
      </c>
      <c r="I146" s="20"/>
    </row>
    <row r="147" spans="2:9" x14ac:dyDescent="0.25">
      <c r="B147" s="2" t="s">
        <v>118</v>
      </c>
      <c r="C147" s="2"/>
      <c r="D147" s="2"/>
      <c r="E147" s="20">
        <v>95.914606000000006</v>
      </c>
      <c r="F147" s="20">
        <v>101.23324</v>
      </c>
      <c r="G147" s="20">
        <v>14.8</v>
      </c>
      <c r="H147" s="20">
        <f>126.133323+14.8</f>
        <v>140.933323</v>
      </c>
      <c r="I147" s="20"/>
    </row>
    <row r="148" spans="2:9" x14ac:dyDescent="0.25">
      <c r="B148" s="2" t="s">
        <v>119</v>
      </c>
      <c r="C148" s="2"/>
      <c r="D148" s="2"/>
      <c r="E148" s="20">
        <v>524.26642300000003</v>
      </c>
      <c r="F148" s="20">
        <v>538.84642299999996</v>
      </c>
      <c r="G148" s="20">
        <v>596.58958299999995</v>
      </c>
      <c r="H148" s="20">
        <v>596.58958299999995</v>
      </c>
      <c r="I148" s="20"/>
    </row>
    <row r="149" spans="2:9" x14ac:dyDescent="0.25">
      <c r="B149" s="2" t="s">
        <v>103</v>
      </c>
      <c r="C149" s="2"/>
      <c r="D149" s="2"/>
      <c r="E149" s="20">
        <v>68.607980999999995</v>
      </c>
      <c r="F149" s="20">
        <v>74.749617999999998</v>
      </c>
      <c r="G149" s="20">
        <v>114.362644</v>
      </c>
      <c r="H149" s="20">
        <v>172.88200000000001</v>
      </c>
      <c r="I149" s="20"/>
    </row>
    <row r="150" spans="2:9" x14ac:dyDescent="0.25">
      <c r="B150" s="2" t="s">
        <v>120</v>
      </c>
      <c r="C150" s="2"/>
      <c r="D150" s="2"/>
      <c r="E150" s="20">
        <v>837.73285499999997</v>
      </c>
      <c r="F150" s="20">
        <v>837.73285499999997</v>
      </c>
      <c r="G150" s="20">
        <v>837.73285499999997</v>
      </c>
      <c r="H150" s="20">
        <v>838.31</v>
      </c>
      <c r="I150" s="20"/>
    </row>
    <row r="151" spans="2:9" x14ac:dyDescent="0.25">
      <c r="B151" s="2" t="s">
        <v>121</v>
      </c>
      <c r="C151" s="2"/>
      <c r="D151" s="2"/>
      <c r="E151" s="20">
        <v>33.583027000000001</v>
      </c>
      <c r="F151" s="20">
        <v>33.583027000000001</v>
      </c>
      <c r="G151" s="20">
        <v>33.583027000000001</v>
      </c>
      <c r="H151" s="20">
        <v>34.521000000000001</v>
      </c>
      <c r="I151" s="20"/>
    </row>
    <row r="152" spans="2:9" x14ac:dyDescent="0.25">
      <c r="B152" s="2" t="s">
        <v>122</v>
      </c>
      <c r="C152" s="2"/>
      <c r="D152" s="2"/>
      <c r="E152" s="20">
        <v>25.602710999999999</v>
      </c>
      <c r="F152" s="20">
        <v>26.843810999999999</v>
      </c>
      <c r="G152" s="20">
        <v>28.032271000000001</v>
      </c>
      <c r="H152" s="20">
        <v>30.003</v>
      </c>
      <c r="I152" s="20"/>
    </row>
    <row r="153" spans="2:9" x14ac:dyDescent="0.25">
      <c r="B153" s="2" t="s">
        <v>123</v>
      </c>
      <c r="C153" s="2"/>
      <c r="D153" s="2"/>
      <c r="E153" s="20">
        <v>97.418617999999995</v>
      </c>
      <c r="F153" s="20">
        <v>104.22774099999999</v>
      </c>
      <c r="G153" s="20">
        <v>109.727391</v>
      </c>
      <c r="H153" s="20">
        <v>124.39</v>
      </c>
      <c r="I153" s="20"/>
    </row>
    <row r="154" spans="2:9" x14ac:dyDescent="0.25">
      <c r="B154" s="2"/>
      <c r="C154" s="2"/>
      <c r="D154" s="2"/>
      <c r="E154" s="2"/>
      <c r="F154" s="2"/>
      <c r="G154" s="2"/>
      <c r="H154" s="2"/>
      <c r="I154" s="2"/>
    </row>
    <row r="155" spans="2:9" x14ac:dyDescent="0.25">
      <c r="B155" s="28" t="s">
        <v>124</v>
      </c>
      <c r="C155" s="28" t="s">
        <v>125</v>
      </c>
      <c r="D155" s="2"/>
      <c r="E155" s="2"/>
      <c r="F155" s="2"/>
      <c r="G155" s="2"/>
      <c r="H155" s="2"/>
      <c r="I155" s="2"/>
    </row>
    <row r="156" spans="2:9" x14ac:dyDescent="0.25">
      <c r="B156" s="28" t="s">
        <v>96</v>
      </c>
      <c r="C156" s="2"/>
      <c r="D156" s="2"/>
      <c r="E156" s="2"/>
      <c r="F156" s="2"/>
      <c r="G156" s="2"/>
      <c r="H156" s="2"/>
      <c r="I156" s="2"/>
    </row>
    <row r="157" spans="2:9" x14ac:dyDescent="0.25">
      <c r="B157" s="2" t="s">
        <v>97</v>
      </c>
      <c r="C157" s="2"/>
      <c r="D157" s="2"/>
      <c r="E157" s="5"/>
      <c r="F157" s="20">
        <v>0</v>
      </c>
      <c r="G157" s="20">
        <v>0</v>
      </c>
      <c r="H157" s="20">
        <v>0</v>
      </c>
      <c r="I157" s="20"/>
    </row>
    <row r="158" spans="2:9" x14ac:dyDescent="0.25">
      <c r="B158" s="2" t="s">
        <v>98</v>
      </c>
      <c r="C158" s="31">
        <v>0.02</v>
      </c>
      <c r="D158" s="2"/>
      <c r="E158" s="5"/>
      <c r="F158" s="20">
        <v>90.358487999999994</v>
      </c>
      <c r="G158" s="20">
        <v>92.698339000000004</v>
      </c>
      <c r="H158" s="20">
        <v>95.037999999999997</v>
      </c>
      <c r="I158" s="20"/>
    </row>
    <row r="159" spans="2:9" x14ac:dyDescent="0.25">
      <c r="B159" s="2" t="s">
        <v>99</v>
      </c>
      <c r="C159" s="31">
        <v>0.06</v>
      </c>
      <c r="D159" s="2"/>
      <c r="E159" s="5"/>
      <c r="F159" s="20">
        <v>3451.9568920000002</v>
      </c>
      <c r="G159" s="20">
        <v>4043.8833650000001</v>
      </c>
      <c r="H159" s="20">
        <v>4635.82</v>
      </c>
      <c r="I159" s="20"/>
    </row>
    <row r="160" spans="2:9" x14ac:dyDescent="0.25">
      <c r="B160" s="2" t="s">
        <v>100</v>
      </c>
      <c r="C160" s="31">
        <v>0.15</v>
      </c>
      <c r="D160" s="2"/>
      <c r="E160" s="5"/>
      <c r="F160" s="20">
        <v>235.56716900000001</v>
      </c>
      <c r="G160" s="20">
        <v>236.137169</v>
      </c>
      <c r="H160" s="20">
        <v>243.63</v>
      </c>
      <c r="I160" s="20"/>
    </row>
    <row r="161" spans="2:9" x14ac:dyDescent="0.25">
      <c r="B161" s="2" t="s">
        <v>101</v>
      </c>
      <c r="C161" s="31">
        <v>0.15</v>
      </c>
      <c r="D161" s="2"/>
      <c r="E161" s="5"/>
      <c r="F161" s="20">
        <v>10.635429999999999</v>
      </c>
      <c r="G161" s="20">
        <v>10.635429999999999</v>
      </c>
      <c r="H161" s="20">
        <v>10.635429999999999</v>
      </c>
      <c r="I161" s="20"/>
    </row>
    <row r="162" spans="2:9" x14ac:dyDescent="0.25">
      <c r="B162" s="2" t="s">
        <v>102</v>
      </c>
      <c r="C162" s="31">
        <v>0.02</v>
      </c>
      <c r="D162" s="2"/>
      <c r="E162" s="5"/>
      <c r="F162" s="20">
        <v>185.94909200000001</v>
      </c>
      <c r="G162" s="20">
        <v>189.870003</v>
      </c>
      <c r="H162" s="20">
        <v>193.79</v>
      </c>
      <c r="I162" s="20"/>
    </row>
    <row r="163" spans="2:9" x14ac:dyDescent="0.25">
      <c r="B163" s="2" t="s">
        <v>103</v>
      </c>
      <c r="C163" s="31">
        <v>0.02</v>
      </c>
      <c r="D163" s="2"/>
      <c r="E163" s="5"/>
      <c r="F163" s="20">
        <v>19.015097000000001</v>
      </c>
      <c r="G163" s="20">
        <v>19.431228999999998</v>
      </c>
      <c r="H163" s="20">
        <v>19.847000000000001</v>
      </c>
      <c r="I163" s="20"/>
    </row>
    <row r="164" spans="2:9" x14ac:dyDescent="0.25">
      <c r="B164" s="2" t="s">
        <v>104</v>
      </c>
      <c r="C164" s="31">
        <v>0.02</v>
      </c>
      <c r="D164" s="2"/>
      <c r="E164" s="5"/>
      <c r="F164" s="20">
        <v>1892.2937320000001</v>
      </c>
      <c r="G164" s="20">
        <v>1983.5727919999999</v>
      </c>
      <c r="H164" s="20">
        <v>2075.0450000000001</v>
      </c>
      <c r="I164" s="20"/>
    </row>
    <row r="165" spans="2:9" x14ac:dyDescent="0.25">
      <c r="B165" s="2" t="s">
        <v>105</v>
      </c>
      <c r="C165" s="31">
        <v>0.02</v>
      </c>
      <c r="D165" s="2"/>
      <c r="E165" s="5"/>
      <c r="F165" s="20">
        <v>309.360252</v>
      </c>
      <c r="G165" s="20">
        <v>349.55946</v>
      </c>
      <c r="H165" s="20">
        <v>389.78899999999999</v>
      </c>
      <c r="I165" s="20"/>
    </row>
    <row r="166" spans="2:9" x14ac:dyDescent="0.25">
      <c r="B166" s="2" t="s">
        <v>106</v>
      </c>
      <c r="C166" s="31">
        <v>0.02</v>
      </c>
      <c r="D166" s="2"/>
      <c r="E166" s="5"/>
      <c r="F166" s="20">
        <v>1670.265533</v>
      </c>
      <c r="G166" s="20">
        <v>1811.541162</v>
      </c>
      <c r="H166" s="20">
        <v>1952.816</v>
      </c>
      <c r="I166" s="20"/>
    </row>
    <row r="167" spans="2:9" x14ac:dyDescent="0.25">
      <c r="B167" s="2" t="s">
        <v>107</v>
      </c>
      <c r="C167" s="31">
        <v>0.02</v>
      </c>
      <c r="D167" s="2"/>
      <c r="E167" s="5"/>
      <c r="F167" s="20">
        <v>98.68441</v>
      </c>
      <c r="G167" s="20">
        <v>296.05322999999999</v>
      </c>
      <c r="H167" s="20">
        <v>493.45699999999999</v>
      </c>
      <c r="I167" s="20"/>
    </row>
    <row r="168" spans="2:9" x14ac:dyDescent="0.25">
      <c r="B168" s="2" t="s">
        <v>108</v>
      </c>
      <c r="C168" s="31">
        <v>0.15</v>
      </c>
      <c r="D168" s="2"/>
      <c r="E168" s="5"/>
      <c r="F168" s="20">
        <v>64.201307</v>
      </c>
      <c r="G168" s="20">
        <v>64.201307</v>
      </c>
      <c r="H168" s="20">
        <v>64.201307</v>
      </c>
      <c r="I168" s="20"/>
    </row>
    <row r="169" spans="2:9" x14ac:dyDescent="0.25">
      <c r="B169" s="2" t="s">
        <v>109</v>
      </c>
      <c r="C169" s="31">
        <v>0.15</v>
      </c>
      <c r="D169" s="2"/>
      <c r="E169" s="5"/>
      <c r="F169" s="20">
        <v>236.95696799999999</v>
      </c>
      <c r="G169" s="20">
        <v>236.95696799999999</v>
      </c>
      <c r="H169" s="20">
        <v>236.95696799999999</v>
      </c>
      <c r="I169" s="20"/>
    </row>
    <row r="170" spans="2:9" x14ac:dyDescent="0.25">
      <c r="B170" s="2"/>
      <c r="C170" s="2"/>
      <c r="D170" s="2"/>
      <c r="E170" s="2"/>
      <c r="F170" s="30"/>
      <c r="G170" s="2"/>
      <c r="H170" s="2"/>
      <c r="I170" s="2"/>
    </row>
    <row r="171" spans="2:9" x14ac:dyDescent="0.25">
      <c r="B171" s="28" t="s">
        <v>57</v>
      </c>
      <c r="C171" s="2"/>
      <c r="D171" s="2"/>
      <c r="E171" s="2"/>
      <c r="F171" s="30"/>
      <c r="G171" s="2"/>
      <c r="H171" s="2"/>
      <c r="I171" s="2"/>
    </row>
    <row r="172" spans="2:9" x14ac:dyDescent="0.25">
      <c r="B172" s="2" t="s">
        <v>97</v>
      </c>
      <c r="C172" s="31">
        <v>0</v>
      </c>
      <c r="D172" s="2"/>
      <c r="E172" s="5"/>
      <c r="F172" s="20">
        <v>0</v>
      </c>
      <c r="G172" s="20">
        <v>0</v>
      </c>
      <c r="H172" s="20">
        <v>0</v>
      </c>
      <c r="I172" s="20"/>
    </row>
    <row r="173" spans="2:9" x14ac:dyDescent="0.25">
      <c r="B173" s="2" t="s">
        <v>98</v>
      </c>
      <c r="C173" s="31">
        <v>0.02</v>
      </c>
      <c r="D173" s="2"/>
      <c r="E173" s="5"/>
      <c r="F173" s="20">
        <v>25.550768000000001</v>
      </c>
      <c r="G173" s="20">
        <v>26.257999999999999</v>
      </c>
      <c r="H173" s="20">
        <v>26.96</v>
      </c>
      <c r="I173" s="20"/>
    </row>
    <row r="174" spans="2:9" x14ac:dyDescent="0.25">
      <c r="B174" s="2" t="s">
        <v>110</v>
      </c>
      <c r="C174" s="31">
        <v>0.15</v>
      </c>
      <c r="D174" s="2"/>
      <c r="E174" s="5"/>
      <c r="F174" s="20">
        <v>749.80941700000005</v>
      </c>
      <c r="G174" s="20">
        <v>749.80941700000005</v>
      </c>
      <c r="H174" s="20">
        <v>749.80941700000005</v>
      </c>
      <c r="I174" s="20"/>
    </row>
    <row r="175" spans="2:9" x14ac:dyDescent="0.25">
      <c r="B175" s="2" t="s">
        <v>103</v>
      </c>
      <c r="C175" s="31">
        <v>0.02</v>
      </c>
      <c r="D175" s="2"/>
      <c r="E175" s="5"/>
      <c r="F175" s="20">
        <v>4.2536769999999997</v>
      </c>
      <c r="G175" s="20">
        <v>4.5278520000000002</v>
      </c>
      <c r="H175" s="20">
        <v>4.8019999999999996</v>
      </c>
      <c r="I175" s="20"/>
    </row>
    <row r="176" spans="2:9" x14ac:dyDescent="0.25">
      <c r="B176" s="2" t="s">
        <v>111</v>
      </c>
      <c r="C176" s="31">
        <v>0.02</v>
      </c>
      <c r="D176" s="2"/>
      <c r="E176" s="5"/>
      <c r="F176" s="20">
        <v>736.86407899999995</v>
      </c>
      <c r="G176" s="20">
        <v>767.052278</v>
      </c>
      <c r="H176" s="20">
        <f>797.24+8.626</f>
        <v>805.86599999999999</v>
      </c>
      <c r="I176" s="20"/>
    </row>
    <row r="177" spans="2:9" x14ac:dyDescent="0.25">
      <c r="B177" s="2" t="s">
        <v>112</v>
      </c>
      <c r="C177" s="31">
        <v>0.02</v>
      </c>
      <c r="D177" s="2"/>
      <c r="E177" s="5"/>
      <c r="F177" s="20">
        <v>468.61406699999998</v>
      </c>
      <c r="G177" s="20">
        <v>501.89278400000001</v>
      </c>
      <c r="H177" s="20">
        <v>535.17100000000005</v>
      </c>
      <c r="I177" s="20"/>
    </row>
    <row r="178" spans="2:9" x14ac:dyDescent="0.25">
      <c r="B178" s="2" t="s">
        <v>113</v>
      </c>
      <c r="C178" s="31">
        <v>0.02</v>
      </c>
      <c r="D178" s="2"/>
      <c r="E178" s="5"/>
      <c r="F178" s="20">
        <v>283.03047099999998</v>
      </c>
      <c r="G178" s="20">
        <v>377.45010300000001</v>
      </c>
      <c r="H178" s="20">
        <v>471.86900000000003</v>
      </c>
      <c r="I178" s="20"/>
    </row>
    <row r="179" spans="2:9" x14ac:dyDescent="0.25">
      <c r="B179" s="2" t="s">
        <v>114</v>
      </c>
      <c r="C179" s="31">
        <v>0.02</v>
      </c>
      <c r="D179" s="2"/>
      <c r="E179" s="5"/>
      <c r="F179" s="20">
        <v>672.79276400000003</v>
      </c>
      <c r="G179" s="20">
        <v>711.27769599999999</v>
      </c>
      <c r="H179" s="20">
        <v>749.76199999999994</v>
      </c>
      <c r="I179" s="20"/>
    </row>
    <row r="180" spans="2:9" x14ac:dyDescent="0.25">
      <c r="B180" s="2" t="s">
        <v>115</v>
      </c>
      <c r="C180" s="31">
        <v>0.02</v>
      </c>
      <c r="D180" s="2"/>
      <c r="E180" s="5"/>
      <c r="F180" s="20">
        <v>17.537524000000001</v>
      </c>
      <c r="G180" s="20">
        <v>18.04691</v>
      </c>
      <c r="H180" s="20">
        <v>18.556296</v>
      </c>
      <c r="I180" s="20"/>
    </row>
    <row r="181" spans="2:9" x14ac:dyDescent="0.25">
      <c r="B181" s="2" t="s">
        <v>116</v>
      </c>
      <c r="C181" s="31">
        <v>0.15</v>
      </c>
      <c r="D181" s="2"/>
      <c r="E181" s="5"/>
      <c r="F181" s="20">
        <v>21.946106</v>
      </c>
      <c r="G181" s="20">
        <v>21.946106</v>
      </c>
      <c r="H181" s="20">
        <v>21.946106</v>
      </c>
      <c r="I181" s="20"/>
    </row>
    <row r="182" spans="2:9" x14ac:dyDescent="0.25">
      <c r="B182" s="2"/>
      <c r="C182" s="2"/>
      <c r="D182" s="2"/>
      <c r="E182" s="2"/>
      <c r="F182" s="30"/>
      <c r="G182" s="2"/>
      <c r="H182" s="2"/>
      <c r="I182" s="2"/>
    </row>
    <row r="183" spans="2:9" x14ac:dyDescent="0.25">
      <c r="B183" s="28" t="s">
        <v>117</v>
      </c>
      <c r="C183" s="2"/>
      <c r="D183" s="2"/>
      <c r="E183" s="2"/>
      <c r="F183" s="30"/>
      <c r="G183" s="2"/>
      <c r="H183" s="2"/>
      <c r="I183" s="2"/>
    </row>
    <row r="184" spans="2:9" x14ac:dyDescent="0.25">
      <c r="B184" s="2" t="s">
        <v>97</v>
      </c>
      <c r="C184" s="31">
        <v>0</v>
      </c>
      <c r="D184" s="2"/>
      <c r="E184" s="5"/>
      <c r="F184" s="20">
        <v>0</v>
      </c>
      <c r="G184" s="20">
        <v>0</v>
      </c>
      <c r="H184" s="20">
        <v>0</v>
      </c>
      <c r="I184" s="20"/>
    </row>
    <row r="185" spans="2:9" x14ac:dyDescent="0.25">
      <c r="B185" s="2" t="s">
        <v>98</v>
      </c>
      <c r="C185" s="31">
        <v>0.02</v>
      </c>
      <c r="D185" s="2"/>
      <c r="E185" s="5"/>
      <c r="F185" s="20">
        <v>282.98576600000001</v>
      </c>
      <c r="G185" s="20">
        <v>313.53614299999998</v>
      </c>
      <c r="H185" s="20">
        <v>344.71082899999999</v>
      </c>
      <c r="I185" s="20"/>
    </row>
    <row r="186" spans="2:9" x14ac:dyDescent="0.25">
      <c r="B186" s="2" t="s">
        <v>118</v>
      </c>
      <c r="C186" s="31">
        <v>0.1</v>
      </c>
      <c r="D186" s="2"/>
      <c r="E186" s="5"/>
      <c r="F186" s="20">
        <v>85.106900999999993</v>
      </c>
      <c r="G186" s="20">
        <v>97.309440000000009</v>
      </c>
      <c r="H186" s="20">
        <f>107.796+4.44</f>
        <v>112.236</v>
      </c>
      <c r="I186" s="20"/>
    </row>
    <row r="187" spans="2:9" x14ac:dyDescent="0.25">
      <c r="B187" s="2" t="s">
        <v>119</v>
      </c>
      <c r="C187" s="31">
        <v>0.2</v>
      </c>
      <c r="D187" s="2"/>
      <c r="E187" s="5"/>
      <c r="F187" s="20">
        <v>525.724423</v>
      </c>
      <c r="G187" s="20">
        <v>544.62073899999996</v>
      </c>
      <c r="H187" s="20">
        <v>596.58900000000006</v>
      </c>
      <c r="I187" s="20"/>
    </row>
    <row r="188" spans="2:9" x14ac:dyDescent="0.25">
      <c r="B188" s="2" t="s">
        <v>103</v>
      </c>
      <c r="C188" s="31">
        <v>0.02</v>
      </c>
      <c r="D188" s="2"/>
      <c r="E188" s="5"/>
      <c r="F188" s="20">
        <v>10.302144</v>
      </c>
      <c r="G188" s="20">
        <v>12.193267000000001</v>
      </c>
      <c r="H188" s="20">
        <v>15.065</v>
      </c>
      <c r="I188" s="20"/>
    </row>
    <row r="189" spans="2:9" x14ac:dyDescent="0.25">
      <c r="B189" s="2" t="s">
        <v>120</v>
      </c>
      <c r="C189" s="31">
        <v>0.15</v>
      </c>
      <c r="D189" s="2"/>
      <c r="E189" s="5"/>
      <c r="F189" s="20">
        <v>485.74996800000002</v>
      </c>
      <c r="G189" s="20">
        <v>611.409897</v>
      </c>
      <c r="H189" s="20">
        <v>737.11300000000006</v>
      </c>
      <c r="I189" s="20"/>
    </row>
    <row r="190" spans="2:9" x14ac:dyDescent="0.25">
      <c r="B190" s="2" t="s">
        <v>121</v>
      </c>
      <c r="C190" s="31">
        <v>0.15</v>
      </c>
      <c r="D190" s="2"/>
      <c r="E190" s="5"/>
      <c r="F190" s="20">
        <v>17.631093</v>
      </c>
      <c r="G190" s="20">
        <v>22.668548000000001</v>
      </c>
      <c r="H190" s="20">
        <v>27.776</v>
      </c>
      <c r="I190" s="20"/>
    </row>
    <row r="191" spans="2:9" x14ac:dyDescent="0.25">
      <c r="B191" s="2" t="s">
        <v>122</v>
      </c>
      <c r="C191" s="31">
        <v>0.15</v>
      </c>
      <c r="D191" s="2"/>
      <c r="E191" s="5"/>
      <c r="F191" s="20">
        <v>25.695793999999999</v>
      </c>
      <c r="G191" s="20">
        <v>26.932946000000001</v>
      </c>
      <c r="H191" s="20">
        <v>28.18</v>
      </c>
      <c r="I191" s="20"/>
    </row>
    <row r="192" spans="2:9" x14ac:dyDescent="0.25">
      <c r="B192" s="2" t="s">
        <v>123</v>
      </c>
      <c r="C192" s="31">
        <v>0.15</v>
      </c>
      <c r="D192" s="2"/>
      <c r="E192" s="5"/>
      <c r="F192" s="20">
        <v>76.707357000000002</v>
      </c>
      <c r="G192" s="20">
        <v>92.753991999999997</v>
      </c>
      <c r="H192" s="20">
        <v>110.312</v>
      </c>
      <c r="I192" s="20"/>
    </row>
  </sheetData>
  <mergeCells count="1">
    <mergeCell ref="A5:A55"/>
  </mergeCells>
  <conditionalFormatting sqref="F118:H140 E109:H117 E18:H28 E33:H97 E5:H12">
    <cfRule type="expression" dxfId="41" priority="7">
      <formula>E$6="Projections"</formula>
    </cfRule>
  </conditionalFormatting>
  <conditionalFormatting sqref="E98:H107">
    <cfRule type="expression" dxfId="40" priority="6">
      <formula>E$6="Projections"</formula>
    </cfRule>
  </conditionalFormatting>
  <conditionalFormatting sqref="E108:H108">
    <cfRule type="expression" dxfId="39" priority="5">
      <formula>E$6="Projections"</formula>
    </cfRule>
  </conditionalFormatting>
  <conditionalFormatting sqref="E118:E140">
    <cfRule type="expression" dxfId="38" priority="4">
      <formula>E$6="Projections"</formula>
    </cfRule>
  </conditionalFormatting>
  <conditionalFormatting sqref="I109:I140 I18:I28 I33:I97 I7:I12">
    <cfRule type="expression" dxfId="37" priority="3">
      <formula>I$6="Projections"</formula>
    </cfRule>
  </conditionalFormatting>
  <conditionalFormatting sqref="I98:I107">
    <cfRule type="expression" dxfId="36" priority="2">
      <formula>I$6="Projections"</formula>
    </cfRule>
  </conditionalFormatting>
  <conditionalFormatting sqref="I108">
    <cfRule type="expression" dxfId="35" priority="1">
      <formula>I$6="Projections"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97"/>
  <sheetViews>
    <sheetView tabSelected="1" view="pageBreakPreview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03" sqref="I203"/>
    </sheetView>
  </sheetViews>
  <sheetFormatPr defaultRowHeight="15" x14ac:dyDescent="0.25"/>
  <cols>
    <col min="2" max="2" width="51.42578125" customWidth="1"/>
    <col min="5" max="18" width="11.7109375" customWidth="1"/>
  </cols>
  <sheetData>
    <row r="1" spans="1:18" s="35" customFormat="1" ht="21.6" customHeight="1" x14ac:dyDescent="0.3">
      <c r="B1" s="36" t="s">
        <v>127</v>
      </c>
      <c r="C1" s="51" t="s">
        <v>137</v>
      </c>
    </row>
    <row r="2" spans="1:18" s="35" customFormat="1" x14ac:dyDescent="0.25">
      <c r="B2" s="35" t="s">
        <v>128</v>
      </c>
      <c r="C2" s="35" t="s">
        <v>142</v>
      </c>
    </row>
    <row r="3" spans="1:18" s="34" customFormat="1" ht="28.7" customHeight="1" x14ac:dyDescent="0.25">
      <c r="E3" s="34" t="s">
        <v>155</v>
      </c>
      <c r="F3" s="34" t="s">
        <v>154</v>
      </c>
      <c r="G3" s="34" t="s">
        <v>156</v>
      </c>
      <c r="H3" s="34" t="s">
        <v>157</v>
      </c>
      <c r="I3" s="34" t="s">
        <v>158</v>
      </c>
      <c r="J3" s="34" t="s">
        <v>159</v>
      </c>
      <c r="K3" s="34" t="s">
        <v>160</v>
      </c>
      <c r="L3" s="34" t="s">
        <v>161</v>
      </c>
      <c r="M3" s="34" t="s">
        <v>162</v>
      </c>
      <c r="N3" s="34" t="s">
        <v>163</v>
      </c>
      <c r="O3" s="34" t="s">
        <v>164</v>
      </c>
      <c r="P3" s="34" t="s">
        <v>165</v>
      </c>
      <c r="Q3" s="34" t="s">
        <v>166</v>
      </c>
      <c r="R3" s="34" t="s">
        <v>167</v>
      </c>
    </row>
    <row r="4" spans="1:18" s="32" customFormat="1" ht="25.7" customHeight="1" x14ac:dyDescent="0.25">
      <c r="B4" s="33" t="s">
        <v>126</v>
      </c>
    </row>
    <row r="5" spans="1:18" x14ac:dyDescent="0.25">
      <c r="A5" s="66" t="s">
        <v>129</v>
      </c>
      <c r="B5" s="1" t="s">
        <v>0</v>
      </c>
      <c r="C5" s="2" t="s">
        <v>129</v>
      </c>
      <c r="D5" s="2"/>
      <c r="E5" s="2"/>
      <c r="F5" s="2"/>
      <c r="G5" s="2"/>
      <c r="H5" s="2"/>
    </row>
    <row r="6" spans="1:18" x14ac:dyDescent="0.25">
      <c r="A6" s="66"/>
      <c r="B6" s="3" t="s">
        <v>1</v>
      </c>
      <c r="C6" s="2" t="s">
        <v>136</v>
      </c>
      <c r="D6" s="2"/>
      <c r="E6" s="2"/>
      <c r="F6" s="2"/>
      <c r="G6" s="2"/>
      <c r="H6" s="2"/>
    </row>
    <row r="7" spans="1:18" x14ac:dyDescent="0.25">
      <c r="A7" s="66"/>
      <c r="B7" s="4" t="s">
        <v>2</v>
      </c>
      <c r="C7" t="s">
        <v>145</v>
      </c>
      <c r="D7" s="2"/>
      <c r="E7" s="5">
        <v>59912</v>
      </c>
      <c r="F7" s="5">
        <v>64896</v>
      </c>
      <c r="G7" s="5">
        <v>76577</v>
      </c>
      <c r="H7" s="37">
        <v>76768</v>
      </c>
      <c r="I7" s="5">
        <v>77762</v>
      </c>
      <c r="J7" s="5">
        <v>82364</v>
      </c>
      <c r="K7">
        <v>106072.87</v>
      </c>
    </row>
    <row r="8" spans="1:18" x14ac:dyDescent="0.25">
      <c r="A8" s="66"/>
      <c r="B8" s="4" t="s">
        <v>4</v>
      </c>
      <c r="C8" s="2" t="s">
        <v>146</v>
      </c>
      <c r="D8" s="2"/>
      <c r="E8" s="5">
        <v>10294</v>
      </c>
      <c r="F8" s="5">
        <v>11396</v>
      </c>
      <c r="G8" s="5">
        <v>12755</v>
      </c>
      <c r="H8" s="38">
        <v>14234.226000000001</v>
      </c>
      <c r="I8" s="6">
        <v>15767</v>
      </c>
      <c r="J8" s="6">
        <v>17423</v>
      </c>
      <c r="K8">
        <v>21795</v>
      </c>
    </row>
    <row r="9" spans="1:18" x14ac:dyDescent="0.25">
      <c r="A9" s="66"/>
      <c r="B9" s="3" t="s">
        <v>5</v>
      </c>
      <c r="C9" s="2"/>
      <c r="D9" s="2"/>
      <c r="E9" s="2"/>
      <c r="F9" s="2"/>
      <c r="G9" s="2"/>
      <c r="H9" s="37"/>
      <c r="I9" s="2"/>
      <c r="J9" s="2"/>
    </row>
    <row r="10" spans="1:18" x14ac:dyDescent="0.25">
      <c r="A10" s="66"/>
      <c r="B10" s="4" t="s">
        <v>6</v>
      </c>
      <c r="C10" s="2" t="s">
        <v>147</v>
      </c>
      <c r="D10" s="2"/>
      <c r="E10" s="5">
        <v>117</v>
      </c>
      <c r="F10" s="5">
        <v>33</v>
      </c>
      <c r="G10" s="5">
        <v>191</v>
      </c>
      <c r="H10" s="37">
        <v>994.45</v>
      </c>
      <c r="I10" s="5">
        <f>353+424</f>
        <v>777</v>
      </c>
      <c r="J10" s="5">
        <f>1830+21878</f>
        <v>23708</v>
      </c>
      <c r="K10">
        <f>2302+5354-18115</f>
        <v>-10459</v>
      </c>
    </row>
    <row r="11" spans="1:18" x14ac:dyDescent="0.25">
      <c r="A11" s="66"/>
      <c r="B11" s="4" t="s">
        <v>7</v>
      </c>
      <c r="C11" s="2" t="s">
        <v>148</v>
      </c>
      <c r="D11" s="2"/>
      <c r="E11" s="5">
        <v>1102</v>
      </c>
      <c r="F11" s="5">
        <v>1359</v>
      </c>
      <c r="G11" s="5">
        <v>1479</v>
      </c>
      <c r="H11" s="37">
        <v>1533.5429999999999</v>
      </c>
      <c r="I11" s="5">
        <v>1655</v>
      </c>
      <c r="J11" s="5">
        <v>4372</v>
      </c>
      <c r="K11">
        <f>5546-3263</f>
        <v>2283</v>
      </c>
    </row>
    <row r="12" spans="1:18" x14ac:dyDescent="0.25">
      <c r="A12" s="67" t="s">
        <v>130</v>
      </c>
      <c r="B12" s="1" t="s">
        <v>8</v>
      </c>
      <c r="D12" s="2"/>
      <c r="E12" s="2"/>
      <c r="F12" s="2"/>
      <c r="G12" s="2"/>
      <c r="H12" s="37"/>
      <c r="I12" s="2"/>
      <c r="J12" s="2"/>
    </row>
    <row r="13" spans="1:18" x14ac:dyDescent="0.25">
      <c r="A13" s="67"/>
      <c r="B13" s="4" t="s">
        <v>1</v>
      </c>
      <c r="C13" s="2"/>
      <c r="D13" s="2"/>
      <c r="E13" s="7">
        <v>20515</v>
      </c>
      <c r="F13" s="8">
        <f>E17</f>
        <v>22817</v>
      </c>
      <c r="G13" s="8">
        <f>F17</f>
        <v>16111</v>
      </c>
      <c r="H13" s="39">
        <f>G17</f>
        <v>19136</v>
      </c>
      <c r="I13" s="8">
        <v>21612</v>
      </c>
      <c r="J13" s="8">
        <v>29390</v>
      </c>
      <c r="K13" s="60">
        <f>+J17</f>
        <v>52878</v>
      </c>
    </row>
    <row r="14" spans="1:18" x14ac:dyDescent="0.25">
      <c r="A14" s="67"/>
      <c r="B14" s="9" t="s">
        <v>9</v>
      </c>
      <c r="C14" s="2"/>
      <c r="D14" s="2"/>
      <c r="E14" s="7">
        <v>7202</v>
      </c>
      <c r="F14" s="7">
        <v>4985</v>
      </c>
      <c r="G14" s="7">
        <v>3038</v>
      </c>
      <c r="H14" s="40">
        <v>3339.18</v>
      </c>
      <c r="I14" s="7">
        <v>12139</v>
      </c>
      <c r="J14" s="7">
        <v>45366</v>
      </c>
      <c r="K14" s="7">
        <v>50186</v>
      </c>
    </row>
    <row r="15" spans="1:18" x14ac:dyDescent="0.25">
      <c r="A15" s="67"/>
      <c r="B15" s="4" t="s">
        <v>10</v>
      </c>
      <c r="C15" s="2"/>
      <c r="D15" s="2"/>
      <c r="E15" s="7">
        <v>-33</v>
      </c>
      <c r="F15" s="7">
        <v>-43</v>
      </c>
      <c r="G15" s="7">
        <v>-13</v>
      </c>
      <c r="H15" s="40"/>
      <c r="I15" s="7"/>
      <c r="J15" s="7"/>
      <c r="K15">
        <v>-4083</v>
      </c>
    </row>
    <row r="16" spans="1:18" x14ac:dyDescent="0.25">
      <c r="A16" s="67"/>
      <c r="B16" s="9" t="s">
        <v>11</v>
      </c>
      <c r="C16" s="2"/>
      <c r="D16" s="2"/>
      <c r="E16" s="7">
        <v>-4867</v>
      </c>
      <c r="F16" s="7">
        <v>-11648</v>
      </c>
      <c r="G16" s="7">
        <v>0</v>
      </c>
      <c r="H16" s="40">
        <v>-862.62199999999996</v>
      </c>
      <c r="I16" s="7">
        <v>-4363</v>
      </c>
      <c r="J16" s="7">
        <v>-21878</v>
      </c>
      <c r="K16" s="7">
        <v>-5354</v>
      </c>
    </row>
    <row r="17" spans="1:11" x14ac:dyDescent="0.25">
      <c r="A17" s="67"/>
      <c r="B17" s="10" t="s">
        <v>12</v>
      </c>
      <c r="C17" s="2"/>
      <c r="D17" s="2"/>
      <c r="E17" s="11">
        <f t="shared" ref="E17:K17" si="0">SUM(E13:E16)</f>
        <v>22817</v>
      </c>
      <c r="F17" s="11">
        <f t="shared" si="0"/>
        <v>16111</v>
      </c>
      <c r="G17" s="11">
        <f t="shared" si="0"/>
        <v>19136</v>
      </c>
      <c r="H17" s="41">
        <f t="shared" si="0"/>
        <v>21612.558000000001</v>
      </c>
      <c r="I17" s="41">
        <f t="shared" si="0"/>
        <v>29388</v>
      </c>
      <c r="J17" s="41">
        <f t="shared" si="0"/>
        <v>52878</v>
      </c>
      <c r="K17" s="41">
        <f t="shared" si="0"/>
        <v>93627</v>
      </c>
    </row>
    <row r="18" spans="1:11" x14ac:dyDescent="0.25">
      <c r="A18" s="67" t="s">
        <v>131</v>
      </c>
      <c r="B18" s="1" t="s">
        <v>13</v>
      </c>
      <c r="D18" s="2"/>
      <c r="E18" s="2"/>
      <c r="F18" s="2"/>
      <c r="G18" s="2"/>
      <c r="H18" s="37"/>
      <c r="I18" s="2"/>
      <c r="J18" s="2"/>
    </row>
    <row r="19" spans="1:11" x14ac:dyDescent="0.25">
      <c r="A19" s="67"/>
      <c r="B19" s="4" t="s">
        <v>14</v>
      </c>
      <c r="C19" s="2"/>
      <c r="D19" s="2"/>
      <c r="E19" s="5">
        <v>4584</v>
      </c>
      <c r="F19" s="5">
        <v>5086</v>
      </c>
      <c r="G19" s="5">
        <v>5546</v>
      </c>
      <c r="H19" s="37">
        <v>6458</v>
      </c>
      <c r="I19" s="5">
        <v>6816</v>
      </c>
      <c r="J19" s="5">
        <v>7187</v>
      </c>
      <c r="K19">
        <v>7845</v>
      </c>
    </row>
    <row r="20" spans="1:11" x14ac:dyDescent="0.25">
      <c r="A20" s="67"/>
      <c r="B20" s="4" t="s">
        <v>15</v>
      </c>
      <c r="C20" s="2"/>
      <c r="D20" s="2"/>
      <c r="E20" s="5">
        <v>8066</v>
      </c>
      <c r="F20" s="5">
        <v>8916</v>
      </c>
      <c r="G20" s="5">
        <v>10633</v>
      </c>
      <c r="H20" s="37">
        <v>11836.352999999999</v>
      </c>
      <c r="I20" s="5">
        <v>13062</v>
      </c>
      <c r="J20" s="5">
        <v>13651</v>
      </c>
      <c r="K20">
        <v>15925</v>
      </c>
    </row>
    <row r="21" spans="1:11" x14ac:dyDescent="0.25">
      <c r="A21" s="67"/>
      <c r="B21" s="4" t="s">
        <v>16</v>
      </c>
      <c r="C21" s="2"/>
      <c r="D21" s="2"/>
      <c r="E21" s="5">
        <v>-7564</v>
      </c>
      <c r="F21" s="5">
        <v>-8456</v>
      </c>
      <c r="G21" s="5">
        <v>-9721</v>
      </c>
      <c r="H21" s="37">
        <v>-11478.056</v>
      </c>
      <c r="I21" s="5">
        <v>-12691</v>
      </c>
      <c r="J21" s="5">
        <v>-12597</v>
      </c>
      <c r="K21">
        <v>-15946</v>
      </c>
    </row>
    <row r="22" spans="1:11" x14ac:dyDescent="0.25">
      <c r="A22" s="67"/>
      <c r="B22" s="12" t="s">
        <v>17</v>
      </c>
      <c r="C22" s="2"/>
      <c r="D22" s="2"/>
      <c r="E22" s="2"/>
      <c r="F22" s="2"/>
      <c r="G22" s="2"/>
      <c r="H22" s="37"/>
      <c r="I22" s="2"/>
      <c r="J22" s="2"/>
    </row>
    <row r="23" spans="1:11" x14ac:dyDescent="0.25">
      <c r="A23" s="67"/>
      <c r="B23" s="4" t="s">
        <v>18</v>
      </c>
      <c r="C23" s="2"/>
      <c r="D23" s="2"/>
      <c r="E23" s="5">
        <v>229</v>
      </c>
      <c r="F23" s="5">
        <v>254</v>
      </c>
      <c r="G23" s="5">
        <v>277</v>
      </c>
      <c r="H23" s="37">
        <v>322.899</v>
      </c>
      <c r="I23" s="5">
        <v>340</v>
      </c>
      <c r="J23" s="5">
        <v>359.35</v>
      </c>
      <c r="K23">
        <v>198.64</v>
      </c>
    </row>
    <row r="24" spans="1:11" x14ac:dyDescent="0.25">
      <c r="A24" s="67"/>
      <c r="B24" s="4" t="s">
        <v>19</v>
      </c>
      <c r="C24" s="2"/>
      <c r="D24" s="2"/>
      <c r="E24" s="5">
        <v>25</v>
      </c>
      <c r="F24" s="5">
        <v>23</v>
      </c>
      <c r="G24" s="5">
        <v>46</v>
      </c>
      <c r="H24" s="37">
        <v>17.914000000000001</v>
      </c>
      <c r="I24" s="5">
        <v>18.5</v>
      </c>
      <c r="J24" s="5">
        <f>198.65-J23</f>
        <v>-160.70000000000002</v>
      </c>
      <c r="K24">
        <f>-203+386</f>
        <v>183</v>
      </c>
    </row>
    <row r="25" spans="1:11" x14ac:dyDescent="0.25">
      <c r="A25" s="67" t="s">
        <v>132</v>
      </c>
      <c r="B25" s="1" t="s">
        <v>20</v>
      </c>
      <c r="D25" s="2"/>
      <c r="E25" s="2"/>
      <c r="F25" s="2"/>
      <c r="G25" s="2"/>
      <c r="H25" s="37"/>
      <c r="I25" s="2"/>
      <c r="J25" s="2"/>
    </row>
    <row r="26" spans="1:11" x14ac:dyDescent="0.25">
      <c r="A26" s="67"/>
      <c r="B26" s="4" t="s">
        <v>18</v>
      </c>
      <c r="C26" s="2" t="s">
        <v>149</v>
      </c>
      <c r="D26" s="2"/>
      <c r="E26" s="5">
        <v>44019</v>
      </c>
      <c r="F26" s="5">
        <f>E26+E27</f>
        <v>50420</v>
      </c>
      <c r="G26" s="5">
        <f>F26+F27</f>
        <v>56878</v>
      </c>
      <c r="H26" s="37">
        <f>G26+G27</f>
        <v>59167</v>
      </c>
      <c r="I26" s="5">
        <v>62430</v>
      </c>
      <c r="J26" s="5">
        <v>71784</v>
      </c>
      <c r="K26">
        <v>85244</v>
      </c>
    </row>
    <row r="27" spans="1:11" x14ac:dyDescent="0.25">
      <c r="A27" s="67"/>
      <c r="B27" s="9" t="s">
        <v>21</v>
      </c>
      <c r="C27" s="2" t="s">
        <v>150</v>
      </c>
      <c r="D27" s="2"/>
      <c r="E27" s="5">
        <v>6401</v>
      </c>
      <c r="F27" s="5">
        <v>6458</v>
      </c>
      <c r="G27" s="5">
        <v>2289</v>
      </c>
      <c r="H27" s="38">
        <f>62430.018-59167.052</f>
        <v>3262.9659999999931</v>
      </c>
      <c r="I27" s="6">
        <f>71784-I26</f>
        <v>9354</v>
      </c>
      <c r="J27" s="6">
        <f>85244-J26</f>
        <v>13460</v>
      </c>
      <c r="K27">
        <f>101362-K26</f>
        <v>16118</v>
      </c>
    </row>
    <row r="28" spans="1:11" x14ac:dyDescent="0.25">
      <c r="A28" s="67" t="s">
        <v>133</v>
      </c>
      <c r="B28" s="1" t="s">
        <v>22</v>
      </c>
      <c r="D28" s="2"/>
      <c r="E28" s="2"/>
      <c r="F28" s="2"/>
      <c r="G28" s="2"/>
      <c r="H28" s="37"/>
      <c r="I28" s="63"/>
      <c r="J28" s="63"/>
    </row>
    <row r="29" spans="1:11" x14ac:dyDescent="0.25">
      <c r="A29" s="67"/>
      <c r="B29" s="4" t="s">
        <v>1</v>
      </c>
      <c r="C29" s="2"/>
      <c r="D29" s="2"/>
      <c r="E29" s="7">
        <v>4127</v>
      </c>
      <c r="F29" s="53">
        <f>E32</f>
        <v>3919</v>
      </c>
      <c r="G29" s="53">
        <f>F32</f>
        <v>3697</v>
      </c>
      <c r="H29" s="53">
        <f>G32</f>
        <v>2749</v>
      </c>
      <c r="I29" s="64">
        <v>729</v>
      </c>
      <c r="J29" s="64">
        <v>1913</v>
      </c>
      <c r="K29">
        <v>29815</v>
      </c>
    </row>
    <row r="30" spans="1:11" x14ac:dyDescent="0.25">
      <c r="A30" s="67"/>
      <c r="B30" s="9" t="s">
        <v>23</v>
      </c>
      <c r="C30" s="2" t="s">
        <v>151</v>
      </c>
      <c r="D30" s="2"/>
      <c r="E30" s="7">
        <v>-208</v>
      </c>
      <c r="F30" s="7">
        <v>-222</v>
      </c>
      <c r="G30" s="7">
        <v>-948</v>
      </c>
      <c r="H30" s="40">
        <v>-2020</v>
      </c>
      <c r="I30" s="64">
        <f>2426-I29</f>
        <v>1697</v>
      </c>
      <c r="J30" s="64">
        <f>29815-J29</f>
        <v>27902</v>
      </c>
      <c r="K30">
        <f>47597-K29</f>
        <v>17782</v>
      </c>
    </row>
    <row r="31" spans="1:11" x14ac:dyDescent="0.25">
      <c r="A31" s="67"/>
      <c r="B31" s="9" t="s">
        <v>24</v>
      </c>
      <c r="C31" s="2"/>
      <c r="D31" s="2"/>
      <c r="E31" s="13"/>
      <c r="F31" s="7"/>
      <c r="G31" s="7"/>
      <c r="H31" s="40"/>
      <c r="I31" s="64"/>
      <c r="J31" s="64"/>
    </row>
    <row r="32" spans="1:11" x14ac:dyDescent="0.25">
      <c r="A32" s="67"/>
      <c r="B32" s="4" t="s">
        <v>25</v>
      </c>
      <c r="C32" s="2"/>
      <c r="D32" s="2"/>
      <c r="E32" s="14">
        <f t="shared" ref="E32:K32" si="1">SUM(E29:E30)</f>
        <v>3919</v>
      </c>
      <c r="F32" s="14">
        <f t="shared" si="1"/>
        <v>3697</v>
      </c>
      <c r="G32" s="14">
        <f t="shared" si="1"/>
        <v>2749</v>
      </c>
      <c r="H32" s="15">
        <f t="shared" si="1"/>
        <v>729</v>
      </c>
      <c r="I32" s="15">
        <f t="shared" si="1"/>
        <v>2426</v>
      </c>
      <c r="J32" s="15">
        <f t="shared" si="1"/>
        <v>29815</v>
      </c>
      <c r="K32" s="15">
        <f t="shared" si="1"/>
        <v>47597</v>
      </c>
    </row>
    <row r="33" spans="1:11" x14ac:dyDescent="0.25">
      <c r="A33" s="46"/>
      <c r="B33" s="16" t="s">
        <v>26</v>
      </c>
      <c r="C33" s="2" t="s">
        <v>134</v>
      </c>
      <c r="D33" s="2"/>
      <c r="E33" s="2"/>
      <c r="F33" s="2"/>
      <c r="G33" s="2"/>
      <c r="H33" s="37"/>
      <c r="I33" s="2"/>
      <c r="J33" s="2"/>
    </row>
    <row r="34" spans="1:11" x14ac:dyDescent="0.25">
      <c r="A34" s="46"/>
      <c r="B34" s="17" t="s">
        <v>27</v>
      </c>
      <c r="C34" s="2"/>
      <c r="D34" s="2"/>
      <c r="E34" s="2"/>
      <c r="F34" s="2"/>
      <c r="G34" s="2"/>
      <c r="H34" s="37"/>
      <c r="I34" s="2"/>
      <c r="J34" s="2"/>
    </row>
    <row r="35" spans="1:11" ht="15.75" x14ac:dyDescent="0.25">
      <c r="A35" s="46"/>
      <c r="B35" s="18" t="s">
        <v>28</v>
      </c>
      <c r="C35" s="2"/>
      <c r="D35" s="2"/>
      <c r="E35" s="5">
        <v>4</v>
      </c>
      <c r="F35" s="5">
        <v>2</v>
      </c>
      <c r="G35" s="5">
        <v>0.81200000000000006</v>
      </c>
      <c r="H35" s="37">
        <v>1.361</v>
      </c>
      <c r="I35" s="5">
        <v>109</v>
      </c>
      <c r="J35" s="5">
        <v>102</v>
      </c>
      <c r="K35">
        <v>88.88</v>
      </c>
    </row>
    <row r="36" spans="1:11" ht="15.75" x14ac:dyDescent="0.25">
      <c r="A36" s="46"/>
      <c r="B36" s="18" t="s">
        <v>29</v>
      </c>
      <c r="C36" s="2"/>
      <c r="D36" s="2"/>
      <c r="E36" s="5">
        <v>34</v>
      </c>
      <c r="F36" s="5">
        <v>28</v>
      </c>
      <c r="G36" s="5">
        <v>21.050999999999998</v>
      </c>
      <c r="H36" s="37">
        <v>21.039000000000001</v>
      </c>
      <c r="I36" s="5">
        <v>21</v>
      </c>
      <c r="J36" s="5">
        <v>0</v>
      </c>
      <c r="K36">
        <v>0</v>
      </c>
    </row>
    <row r="37" spans="1:11" ht="15.75" x14ac:dyDescent="0.25">
      <c r="A37" s="46"/>
      <c r="B37" s="18" t="s">
        <v>30</v>
      </c>
      <c r="C37" s="2"/>
      <c r="D37" s="2"/>
      <c r="E37" s="5">
        <v>1285</v>
      </c>
      <c r="F37" s="5">
        <v>1683</v>
      </c>
      <c r="G37" s="5">
        <v>2017.827</v>
      </c>
      <c r="H37" s="37">
        <v>2505.84</v>
      </c>
      <c r="I37" s="5">
        <v>3066</v>
      </c>
      <c r="J37" s="5">
        <v>1828</v>
      </c>
      <c r="K37">
        <v>1437.5</v>
      </c>
    </row>
    <row r="38" spans="1:11" ht="15.75" x14ac:dyDescent="0.25">
      <c r="A38" s="46"/>
      <c r="B38" s="18" t="s">
        <v>31</v>
      </c>
      <c r="C38" s="2"/>
      <c r="D38" s="2"/>
      <c r="E38" s="5">
        <v>1629</v>
      </c>
      <c r="F38" s="5">
        <v>2191</v>
      </c>
      <c r="G38" s="5">
        <v>2525</v>
      </c>
      <c r="H38" s="37">
        <v>2341.71</v>
      </c>
      <c r="I38" s="5">
        <v>2168</v>
      </c>
      <c r="J38" s="5">
        <v>1033</v>
      </c>
      <c r="K38">
        <v>1098.92</v>
      </c>
    </row>
    <row r="39" spans="1:11" ht="15.75" x14ac:dyDescent="0.25">
      <c r="A39" s="46"/>
      <c r="B39" s="18" t="s">
        <v>32</v>
      </c>
      <c r="C39" s="2"/>
      <c r="D39" s="2"/>
      <c r="E39" s="5">
        <v>691</v>
      </c>
      <c r="F39" s="5">
        <v>1136</v>
      </c>
      <c r="G39" s="5">
        <v>1263</v>
      </c>
      <c r="H39" s="37">
        <v>1891.8309999999999</v>
      </c>
      <c r="I39" s="5">
        <v>3164</v>
      </c>
      <c r="J39" s="5">
        <v>2983</v>
      </c>
      <c r="K39">
        <v>3934.2550000000001</v>
      </c>
    </row>
    <row r="40" spans="1:11" ht="15.75" x14ac:dyDescent="0.25">
      <c r="A40" s="46"/>
      <c r="B40" s="18" t="s">
        <v>33</v>
      </c>
      <c r="C40" s="2"/>
      <c r="D40" s="2"/>
      <c r="E40" s="5">
        <v>0.06</v>
      </c>
      <c r="F40" s="5">
        <v>0.06</v>
      </c>
      <c r="G40" s="5">
        <v>0.06</v>
      </c>
      <c r="H40" s="37">
        <v>0.06</v>
      </c>
      <c r="I40" s="37">
        <v>0.06</v>
      </c>
      <c r="J40" s="37">
        <v>81</v>
      </c>
      <c r="K40">
        <v>113.608</v>
      </c>
    </row>
    <row r="41" spans="1:11" ht="15.75" x14ac:dyDescent="0.25">
      <c r="A41" s="46"/>
      <c r="B41" s="18" t="s">
        <v>34</v>
      </c>
      <c r="C41" s="2"/>
      <c r="D41" s="2"/>
      <c r="E41" s="5">
        <v>146</v>
      </c>
      <c r="F41" s="5">
        <v>158</v>
      </c>
      <c r="G41" s="5">
        <v>170</v>
      </c>
      <c r="H41" s="37">
        <v>171.864</v>
      </c>
      <c r="I41" s="5">
        <v>182</v>
      </c>
      <c r="J41" s="5">
        <v>264</v>
      </c>
      <c r="K41">
        <v>109.42</v>
      </c>
    </row>
    <row r="42" spans="1:11" x14ac:dyDescent="0.25">
      <c r="A42" s="46"/>
      <c r="B42" s="17" t="s">
        <v>35</v>
      </c>
      <c r="C42" s="2"/>
      <c r="D42" s="2"/>
      <c r="E42" s="2"/>
      <c r="F42" s="2"/>
      <c r="G42" s="2"/>
      <c r="H42" s="37"/>
      <c r="I42" s="2"/>
      <c r="J42" s="2"/>
    </row>
    <row r="43" spans="1:11" ht="15.75" x14ac:dyDescent="0.25">
      <c r="A43" s="46"/>
      <c r="B43" s="18" t="s">
        <v>36</v>
      </c>
      <c r="C43" s="2"/>
      <c r="D43" s="2"/>
      <c r="E43" s="5">
        <v>47.393000000000001</v>
      </c>
      <c r="F43" s="5">
        <v>47.393000000000001</v>
      </c>
      <c r="G43" s="5">
        <v>47.393000000000001</v>
      </c>
      <c r="H43" s="37">
        <v>47.393000000000001</v>
      </c>
      <c r="I43" s="5">
        <v>47</v>
      </c>
      <c r="J43" s="5">
        <f>7.36+1540</f>
        <v>1547.36</v>
      </c>
      <c r="K43" s="5">
        <f>7.36+1540</f>
        <v>1547.36</v>
      </c>
    </row>
    <row r="44" spans="1:11" ht="15.75" x14ac:dyDescent="0.25">
      <c r="A44" s="46"/>
      <c r="B44" s="18" t="s">
        <v>37</v>
      </c>
      <c r="C44" s="2"/>
      <c r="D44" s="2"/>
      <c r="E44" s="5">
        <v>23362</v>
      </c>
      <c r="F44" s="5">
        <v>23362</v>
      </c>
      <c r="G44" s="5">
        <v>23362</v>
      </c>
      <c r="H44" s="37">
        <v>23362</v>
      </c>
      <c r="I44" s="5">
        <v>23362</v>
      </c>
      <c r="J44" s="5">
        <v>21868</v>
      </c>
      <c r="K44">
        <v>20214.806</v>
      </c>
    </row>
    <row r="45" spans="1:11" ht="15.75" x14ac:dyDescent="0.25">
      <c r="A45" s="46"/>
      <c r="B45" s="18" t="s">
        <v>38</v>
      </c>
      <c r="C45" s="2"/>
      <c r="D45" s="2"/>
      <c r="E45" s="5">
        <v>-2588</v>
      </c>
      <c r="F45" s="5">
        <v>-2398</v>
      </c>
      <c r="G45" s="5">
        <v>-2172</v>
      </c>
      <c r="H45" s="37">
        <v>-1890.7850000000001</v>
      </c>
      <c r="I45" s="5">
        <v>-1492</v>
      </c>
      <c r="J45" s="5">
        <v>8169</v>
      </c>
      <c r="K45">
        <v>8923.5849999999991</v>
      </c>
    </row>
    <row r="46" spans="1:11" ht="15.75" x14ac:dyDescent="0.25">
      <c r="A46" s="46"/>
      <c r="B46" s="18" t="s">
        <v>39</v>
      </c>
      <c r="C46" s="2"/>
      <c r="D46" s="2"/>
      <c r="E46" s="5">
        <v>7</v>
      </c>
      <c r="F46" s="5">
        <v>7</v>
      </c>
      <c r="G46" s="5">
        <v>7</v>
      </c>
      <c r="H46" s="37"/>
      <c r="I46" s="5">
        <v>71784</v>
      </c>
      <c r="J46" s="5">
        <v>85244</v>
      </c>
      <c r="K46">
        <v>101362</v>
      </c>
    </row>
    <row r="47" spans="1:11" ht="15.75" x14ac:dyDescent="0.25">
      <c r="A47" s="46"/>
      <c r="B47" s="18" t="s">
        <v>40</v>
      </c>
      <c r="C47" s="2"/>
      <c r="D47" s="2"/>
      <c r="E47" s="5">
        <v>7787</v>
      </c>
      <c r="F47" s="5">
        <v>7787</v>
      </c>
      <c r="G47" s="5">
        <v>7787</v>
      </c>
      <c r="H47" s="37">
        <v>7787</v>
      </c>
      <c r="I47" s="5">
        <v>7787</v>
      </c>
      <c r="J47" s="5">
        <v>5137.8180000000002</v>
      </c>
      <c r="K47">
        <v>4322</v>
      </c>
    </row>
    <row r="48" spans="1:11" ht="15.75" x14ac:dyDescent="0.25">
      <c r="A48" s="46"/>
      <c r="B48" s="18" t="s">
        <v>41</v>
      </c>
      <c r="C48" s="2"/>
      <c r="D48" s="2"/>
      <c r="E48" s="5">
        <v>3604</v>
      </c>
      <c r="F48" s="5">
        <v>3382</v>
      </c>
      <c r="G48" s="5">
        <v>1742</v>
      </c>
      <c r="H48" s="37">
        <v>729.37699999999995</v>
      </c>
      <c r="I48" s="5">
        <v>407</v>
      </c>
      <c r="J48" s="5">
        <v>26815</v>
      </c>
      <c r="K48">
        <v>42347.62</v>
      </c>
    </row>
    <row r="49" spans="1:12" ht="15.75" x14ac:dyDescent="0.25">
      <c r="A49" s="46"/>
      <c r="B49" s="18" t="s">
        <v>42</v>
      </c>
      <c r="C49" s="2"/>
      <c r="D49" s="2"/>
      <c r="E49" s="5">
        <v>315</v>
      </c>
      <c r="F49" s="5">
        <v>315</v>
      </c>
      <c r="G49" s="5">
        <v>1008</v>
      </c>
      <c r="H49" s="37"/>
      <c r="I49" s="5">
        <v>2019</v>
      </c>
      <c r="J49" s="5">
        <v>3000</v>
      </c>
      <c r="K49">
        <v>5250</v>
      </c>
    </row>
    <row r="50" spans="1:12" ht="15.75" x14ac:dyDescent="0.25">
      <c r="A50" s="46"/>
      <c r="B50" s="18" t="s">
        <v>43</v>
      </c>
      <c r="C50" s="2"/>
      <c r="D50" s="2"/>
      <c r="E50" s="5">
        <v>2519</v>
      </c>
      <c r="F50" s="5">
        <v>3223</v>
      </c>
      <c r="G50" s="5">
        <v>4243</v>
      </c>
      <c r="H50" s="37">
        <v>5923.47</v>
      </c>
      <c r="I50" s="5">
        <v>7489</v>
      </c>
      <c r="J50" s="5">
        <v>893</v>
      </c>
      <c r="K50">
        <v>2442</v>
      </c>
    </row>
    <row r="51" spans="1:12" ht="15.75" x14ac:dyDescent="0.25">
      <c r="A51" s="46"/>
      <c r="B51" s="18" t="s">
        <v>44</v>
      </c>
      <c r="C51" s="2"/>
      <c r="D51" s="2"/>
      <c r="E51" s="5">
        <v>523</v>
      </c>
      <c r="F51" s="5">
        <v>623</v>
      </c>
      <c r="G51" s="5">
        <v>736</v>
      </c>
      <c r="H51" s="37">
        <v>1193.8389999999999</v>
      </c>
      <c r="I51" s="5">
        <v>1459</v>
      </c>
      <c r="J51" s="5">
        <v>1641</v>
      </c>
      <c r="K51">
        <v>1515.2919999999999</v>
      </c>
    </row>
    <row r="52" spans="1:12" ht="15.75" x14ac:dyDescent="0.25">
      <c r="A52" s="46"/>
      <c r="B52" s="18" t="s">
        <v>45</v>
      </c>
      <c r="C52" s="2"/>
      <c r="D52" s="2"/>
      <c r="E52" s="5">
        <v>1</v>
      </c>
      <c r="F52" s="5">
        <v>1</v>
      </c>
      <c r="G52" s="5">
        <v>0.63200000000000001</v>
      </c>
      <c r="H52" s="37">
        <v>0.69</v>
      </c>
      <c r="I52" s="5">
        <v>0.74</v>
      </c>
      <c r="J52" s="5">
        <v>0.86</v>
      </c>
      <c r="K52">
        <v>1</v>
      </c>
    </row>
    <row r="53" spans="1:12" ht="15.75" x14ac:dyDescent="0.25">
      <c r="A53" s="46"/>
      <c r="B53" s="18" t="s">
        <v>46</v>
      </c>
      <c r="C53" s="2"/>
      <c r="D53" s="2"/>
      <c r="E53" s="5">
        <v>5</v>
      </c>
      <c r="F53" s="5">
        <v>5</v>
      </c>
      <c r="G53" s="5">
        <v>5</v>
      </c>
      <c r="H53" s="37">
        <v>5</v>
      </c>
      <c r="I53" s="5">
        <v>5</v>
      </c>
      <c r="J53" s="5">
        <v>5</v>
      </c>
      <c r="K53">
        <v>5</v>
      </c>
    </row>
    <row r="54" spans="1:12" ht="15.75" x14ac:dyDescent="0.25">
      <c r="A54" s="46"/>
      <c r="B54" s="18" t="s">
        <v>47</v>
      </c>
      <c r="C54" s="2"/>
      <c r="D54" s="2"/>
      <c r="E54" s="5">
        <v>53</v>
      </c>
      <c r="F54" s="5">
        <v>95</v>
      </c>
      <c r="G54" s="5">
        <v>139</v>
      </c>
      <c r="H54" s="37">
        <v>179.99799999999999</v>
      </c>
      <c r="I54" s="5">
        <v>256</v>
      </c>
      <c r="J54" s="5">
        <v>367</v>
      </c>
      <c r="K54">
        <v>223</v>
      </c>
    </row>
    <row r="55" spans="1:12" x14ac:dyDescent="0.25">
      <c r="A55" s="46"/>
      <c r="B55" s="16" t="s">
        <v>48</v>
      </c>
      <c r="C55" s="2" t="s">
        <v>135</v>
      </c>
      <c r="D55" s="2"/>
      <c r="E55" s="2"/>
      <c r="F55" s="2"/>
      <c r="G55" s="2"/>
      <c r="H55" s="37"/>
      <c r="I55" s="2"/>
      <c r="J55" s="2"/>
    </row>
    <row r="56" spans="1:12" x14ac:dyDescent="0.25">
      <c r="B56" s="19" t="s">
        <v>49</v>
      </c>
      <c r="C56" s="2"/>
      <c r="D56" s="2"/>
      <c r="E56" s="2"/>
      <c r="F56" s="2"/>
      <c r="G56" s="2"/>
      <c r="H56" s="37"/>
      <c r="I56" s="2"/>
      <c r="J56" s="2"/>
    </row>
    <row r="57" spans="1:12" ht="15.75" x14ac:dyDescent="0.25">
      <c r="B57" s="18" t="s">
        <v>50</v>
      </c>
      <c r="C57" s="2"/>
      <c r="D57" s="2"/>
      <c r="E57" s="5">
        <v>5815</v>
      </c>
      <c r="F57" s="5">
        <v>6525</v>
      </c>
      <c r="G57" s="5">
        <v>7865</v>
      </c>
      <c r="H57" s="37">
        <v>8782.8719999999994</v>
      </c>
      <c r="I57" s="5">
        <v>9728</v>
      </c>
      <c r="J57" s="5">
        <v>10233</v>
      </c>
      <c r="K57">
        <v>12011</v>
      </c>
    </row>
    <row r="58" spans="1:12" ht="15.75" x14ac:dyDescent="0.25">
      <c r="B58" s="18" t="s">
        <v>51</v>
      </c>
      <c r="C58" s="2"/>
      <c r="D58" s="2"/>
      <c r="E58" s="5">
        <v>2189</v>
      </c>
      <c r="F58" s="5">
        <v>2383</v>
      </c>
      <c r="G58" s="5">
        <v>2768</v>
      </c>
      <c r="H58" s="37">
        <v>3053.4810000000002</v>
      </c>
      <c r="I58" s="5">
        <v>3333.5</v>
      </c>
      <c r="J58" s="5">
        <v>3418</v>
      </c>
      <c r="K58">
        <v>3914</v>
      </c>
    </row>
    <row r="59" spans="1:12" ht="15.75" x14ac:dyDescent="0.25">
      <c r="B59" s="18" t="s">
        <v>52</v>
      </c>
      <c r="C59" s="2"/>
      <c r="D59" s="2"/>
      <c r="E59" s="5">
        <v>62</v>
      </c>
      <c r="F59" s="5">
        <v>8</v>
      </c>
      <c r="G59" s="5">
        <v>0</v>
      </c>
      <c r="H59" s="37">
        <v>0</v>
      </c>
      <c r="I59" s="5">
        <v>0</v>
      </c>
      <c r="J59" s="5">
        <v>0</v>
      </c>
      <c r="K59">
        <v>0</v>
      </c>
    </row>
    <row r="60" spans="1:12" ht="15.75" x14ac:dyDescent="0.25">
      <c r="B60" s="18" t="s">
        <v>53</v>
      </c>
      <c r="C60" s="2"/>
      <c r="D60" s="2"/>
      <c r="E60" s="5">
        <v>1046</v>
      </c>
      <c r="F60" s="20">
        <f>F63</f>
        <v>797.00331600000004</v>
      </c>
      <c r="G60" s="20">
        <f>G63</f>
        <v>921.16824051000003</v>
      </c>
      <c r="H60" s="37">
        <v>1187.203</v>
      </c>
      <c r="I60" s="5">
        <v>1377</v>
      </c>
      <c r="J60" s="5">
        <v>1410</v>
      </c>
      <c r="K60">
        <v>1606</v>
      </c>
    </row>
    <row r="61" spans="1:12" ht="15.75" x14ac:dyDescent="0.25">
      <c r="B61" s="18"/>
      <c r="C61" s="2"/>
      <c r="D61" s="2"/>
      <c r="E61" s="5"/>
      <c r="F61" s="20"/>
      <c r="G61" s="20"/>
      <c r="H61" s="37"/>
      <c r="I61" s="5"/>
      <c r="J61" s="5"/>
    </row>
    <row r="62" spans="1:12" ht="15.75" x14ac:dyDescent="0.25">
      <c r="B62" s="18"/>
      <c r="C62" s="21"/>
      <c r="D62" s="21"/>
      <c r="E62" s="21"/>
      <c r="F62" s="21"/>
      <c r="G62" s="21"/>
      <c r="H62" s="37"/>
      <c r="I62" s="23"/>
      <c r="J62" s="23"/>
    </row>
    <row r="63" spans="1:12" s="50" customFormat="1" ht="15.75" x14ac:dyDescent="0.25">
      <c r="B63" s="54" t="s">
        <v>54</v>
      </c>
      <c r="C63" s="55" t="s">
        <v>152</v>
      </c>
      <c r="D63" s="48"/>
      <c r="E63" s="49">
        <f t="shared" ref="E63:I63" si="2">SUM(E65:E69)</f>
        <v>0</v>
      </c>
      <c r="F63" s="49">
        <f t="shared" si="2"/>
        <v>797.00331600000004</v>
      </c>
      <c r="G63" s="49">
        <f t="shared" si="2"/>
        <v>921.16824051000003</v>
      </c>
      <c r="H63" s="49">
        <f t="shared" si="2"/>
        <v>1187.201</v>
      </c>
      <c r="I63" s="49">
        <f t="shared" si="2"/>
        <v>1377</v>
      </c>
      <c r="J63" s="49">
        <f>SUM(J65:J69)</f>
        <v>1399.8810000000001</v>
      </c>
      <c r="K63" s="49">
        <f>SUM(K65:K69)</f>
        <v>1605.999</v>
      </c>
      <c r="L63" s="59">
        <f>1606-K63</f>
        <v>9.9999999997635314E-4</v>
      </c>
    </row>
    <row r="64" spans="1:12" ht="15.75" x14ac:dyDescent="0.25">
      <c r="B64" s="18" t="s">
        <v>55</v>
      </c>
      <c r="C64" s="21"/>
      <c r="D64" s="21"/>
      <c r="E64" s="24">
        <f t="shared" ref="E64:K64" si="3">SUM(E65:E66)</f>
        <v>0</v>
      </c>
      <c r="F64" s="24">
        <f t="shared" si="3"/>
        <v>141.310248</v>
      </c>
      <c r="G64" s="24">
        <f t="shared" si="3"/>
        <v>114.56693669999999</v>
      </c>
      <c r="H64" s="44">
        <f t="shared" si="3"/>
        <v>109.095</v>
      </c>
      <c r="I64" s="44">
        <f t="shared" si="3"/>
        <v>145.30000000000001</v>
      </c>
      <c r="J64" s="44">
        <f t="shared" si="3"/>
        <v>134.99999999999997</v>
      </c>
      <c r="K64" s="44">
        <f t="shared" si="3"/>
        <v>107.00000000000001</v>
      </c>
    </row>
    <row r="65" spans="2:12" x14ac:dyDescent="0.25">
      <c r="B65" s="25" t="s">
        <v>56</v>
      </c>
      <c r="C65" s="21"/>
      <c r="D65" s="21"/>
      <c r="E65" s="5"/>
      <c r="F65" s="20">
        <v>134.24473599999999</v>
      </c>
      <c r="G65" s="20">
        <v>108.83858986499999</v>
      </c>
      <c r="H65" s="37">
        <v>103.64100000000001</v>
      </c>
      <c r="I65" s="5">
        <v>138</v>
      </c>
      <c r="J65" s="6">
        <f>135/(I65+I66)*I65</f>
        <v>128.21748107364073</v>
      </c>
      <c r="K65" s="6">
        <f>107/(J65+J66)*J65</f>
        <v>101.6242257398486</v>
      </c>
    </row>
    <row r="66" spans="2:12" x14ac:dyDescent="0.25">
      <c r="B66" s="25" t="s">
        <v>57</v>
      </c>
      <c r="C66" s="21"/>
      <c r="D66" s="21"/>
      <c r="E66" s="5"/>
      <c r="F66" s="20">
        <v>7.065512</v>
      </c>
      <c r="G66" s="20">
        <v>5.7283468350000009</v>
      </c>
      <c r="H66" s="37">
        <v>5.4539999999999997</v>
      </c>
      <c r="I66" s="5">
        <v>7.3</v>
      </c>
      <c r="J66" s="6">
        <f>135/(I65+I66)*I66</f>
        <v>6.7825189263592556</v>
      </c>
      <c r="K66" s="6">
        <f>107/(J65+J66)*J66</f>
        <v>5.3757742601514114</v>
      </c>
    </row>
    <row r="67" spans="2:12" ht="15.75" x14ac:dyDescent="0.25">
      <c r="B67" s="18" t="s">
        <v>58</v>
      </c>
      <c r="C67" s="21"/>
      <c r="D67" s="21"/>
      <c r="E67" s="5"/>
      <c r="F67" s="20">
        <v>43.881106000000003</v>
      </c>
      <c r="G67" s="20">
        <v>44.51935881</v>
      </c>
      <c r="H67" s="37">
        <v>53.46</v>
      </c>
      <c r="I67" s="5">
        <v>51</v>
      </c>
      <c r="J67" s="5">
        <v>40</v>
      </c>
      <c r="K67">
        <f>21.78+62.13+18</f>
        <v>101.91</v>
      </c>
    </row>
    <row r="68" spans="2:12" ht="15.75" x14ac:dyDescent="0.25">
      <c r="B68" s="18" t="s">
        <v>59</v>
      </c>
      <c r="C68" s="21"/>
      <c r="D68" s="21"/>
      <c r="E68" s="5"/>
      <c r="F68" s="20">
        <v>55</v>
      </c>
      <c r="G68" s="20">
        <v>55</v>
      </c>
      <c r="H68" s="37">
        <f>262.07+8.626</f>
        <v>270.69599999999997</v>
      </c>
      <c r="I68" s="5">
        <v>195</v>
      </c>
      <c r="J68" s="5">
        <v>200</v>
      </c>
      <c r="K68">
        <v>101</v>
      </c>
    </row>
    <row r="69" spans="2:12" ht="15.75" x14ac:dyDescent="0.25">
      <c r="B69" s="18" t="s">
        <v>60</v>
      </c>
      <c r="C69" s="21"/>
      <c r="D69" s="21"/>
      <c r="E69" s="5"/>
      <c r="F69" s="20">
        <v>556.81196199999999</v>
      </c>
      <c r="G69" s="20">
        <v>707.08194500000002</v>
      </c>
      <c r="H69" s="37">
        <v>753.95</v>
      </c>
      <c r="I69" s="5">
        <v>985.7</v>
      </c>
      <c r="J69" s="5">
        <f>+J70</f>
        <v>1024.8810000000001</v>
      </c>
      <c r="K69" s="5">
        <f>+K70</f>
        <v>1296.0889999999999</v>
      </c>
      <c r="L69" s="61"/>
    </row>
    <row r="70" spans="2:12" ht="15.75" x14ac:dyDescent="0.25">
      <c r="B70" s="22" t="s">
        <v>61</v>
      </c>
      <c r="C70" s="2"/>
      <c r="D70" s="2"/>
      <c r="E70" s="21">
        <f t="shared" ref="E70:K70" si="4">SUM(E71:E88)</f>
        <v>0</v>
      </c>
      <c r="F70" s="21">
        <f t="shared" si="4"/>
        <v>556.81196200000011</v>
      </c>
      <c r="G70" s="21">
        <f t="shared" si="4"/>
        <v>707.08194492000007</v>
      </c>
      <c r="H70" s="37">
        <f t="shared" si="4"/>
        <v>753.95400000000006</v>
      </c>
      <c r="I70" s="37">
        <f t="shared" si="4"/>
        <v>985.68100000000004</v>
      </c>
      <c r="J70" s="37">
        <f t="shared" si="4"/>
        <v>1024.8810000000001</v>
      </c>
      <c r="K70" s="37">
        <f t="shared" si="4"/>
        <v>1296.0889999999999</v>
      </c>
    </row>
    <row r="71" spans="2:12" ht="15.75" x14ac:dyDescent="0.25">
      <c r="B71" s="18" t="s">
        <v>62</v>
      </c>
      <c r="C71" s="2"/>
      <c r="D71" s="2"/>
      <c r="E71" s="5"/>
      <c r="F71" s="20">
        <v>0.22689200000000001</v>
      </c>
      <c r="G71" s="20">
        <v>0.81100000000000005</v>
      </c>
      <c r="H71" s="37">
        <v>14.537000000000001</v>
      </c>
      <c r="I71" s="5">
        <v>29.15</v>
      </c>
      <c r="J71" s="5">
        <v>5.66</v>
      </c>
      <c r="K71">
        <f>12+24</f>
        <v>36</v>
      </c>
    </row>
    <row r="72" spans="2:12" ht="15.75" x14ac:dyDescent="0.25">
      <c r="B72" s="18" t="s">
        <v>63</v>
      </c>
      <c r="C72" s="2"/>
      <c r="D72" s="2"/>
      <c r="E72" s="5"/>
      <c r="F72" s="20">
        <v>29.60819</v>
      </c>
      <c r="G72" s="20">
        <v>3.2025932000000004</v>
      </c>
      <c r="H72" s="37">
        <v>2.8839999999999999</v>
      </c>
      <c r="I72" s="5">
        <v>0.76</v>
      </c>
      <c r="J72" s="5">
        <v>0.76</v>
      </c>
      <c r="K72">
        <v>1.27</v>
      </c>
    </row>
    <row r="73" spans="2:12" ht="15.75" x14ac:dyDescent="0.25">
      <c r="B73" s="18" t="s">
        <v>64</v>
      </c>
      <c r="C73" s="2"/>
      <c r="D73" s="2"/>
      <c r="E73" s="5"/>
      <c r="F73" s="20">
        <v>119.75221999999999</v>
      </c>
      <c r="G73" s="20">
        <v>216.84612777999999</v>
      </c>
      <c r="H73" s="37">
        <v>156.66999999999999</v>
      </c>
      <c r="I73" s="5">
        <v>272.82</v>
      </c>
      <c r="J73" s="5">
        <v>336.4</v>
      </c>
      <c r="K73">
        <v>352</v>
      </c>
    </row>
    <row r="74" spans="2:12" ht="15.75" x14ac:dyDescent="0.25">
      <c r="B74" s="18" t="s">
        <v>65</v>
      </c>
      <c r="C74" s="2"/>
      <c r="D74" s="2"/>
      <c r="E74" s="5"/>
      <c r="F74" s="20">
        <v>0.6825</v>
      </c>
      <c r="G74" s="20">
        <v>0.94562500000000005</v>
      </c>
      <c r="H74" s="37">
        <v>1.21</v>
      </c>
      <c r="I74" s="5">
        <v>1.6</v>
      </c>
      <c r="J74" s="5">
        <v>3.17</v>
      </c>
      <c r="K74">
        <v>3.62</v>
      </c>
    </row>
    <row r="75" spans="2:12" ht="15.75" x14ac:dyDescent="0.25">
      <c r="B75" s="18" t="s">
        <v>66</v>
      </c>
      <c r="C75" s="2"/>
      <c r="D75" s="2"/>
      <c r="E75" s="5"/>
      <c r="F75" s="20">
        <v>151.858878</v>
      </c>
      <c r="G75" s="20">
        <v>167.41439199999999</v>
      </c>
      <c r="H75" s="37">
        <v>195.03</v>
      </c>
      <c r="I75" s="5">
        <v>200</v>
      </c>
      <c r="J75" s="5">
        <v>245</v>
      </c>
      <c r="K75">
        <v>301</v>
      </c>
    </row>
    <row r="76" spans="2:12" ht="15.75" x14ac:dyDescent="0.25">
      <c r="B76" s="18" t="s">
        <v>67</v>
      </c>
      <c r="C76" s="2"/>
      <c r="D76" s="2"/>
      <c r="E76" s="5"/>
      <c r="F76" s="20">
        <v>29.812211999999999</v>
      </c>
      <c r="G76" s="20">
        <v>32.675167829999999</v>
      </c>
      <c r="H76" s="37">
        <v>55.86</v>
      </c>
      <c r="I76" s="5">
        <v>89.34</v>
      </c>
      <c r="J76" s="5">
        <f>-15.37+5.48+109.58</f>
        <v>99.69</v>
      </c>
      <c r="K76">
        <f>104.23-20.86</f>
        <v>83.37</v>
      </c>
    </row>
    <row r="77" spans="2:12" ht="15.75" x14ac:dyDescent="0.25">
      <c r="B77" s="18" t="s">
        <v>68</v>
      </c>
      <c r="C77" s="2"/>
      <c r="D77" s="2"/>
      <c r="E77" s="5"/>
      <c r="F77" s="20">
        <v>6.3972000000000001E-2</v>
      </c>
      <c r="G77" s="20">
        <v>6.5171069999999998E-2</v>
      </c>
      <c r="H77" s="37">
        <v>5.8999999999999997E-2</v>
      </c>
      <c r="I77" s="5">
        <v>5.8000000000000003E-2</v>
      </c>
      <c r="J77" s="5">
        <v>0.51</v>
      </c>
      <c r="K77">
        <v>0.49</v>
      </c>
    </row>
    <row r="78" spans="2:12" ht="15.75" x14ac:dyDescent="0.25">
      <c r="B78" s="18" t="s">
        <v>69</v>
      </c>
      <c r="C78" s="2"/>
      <c r="D78" s="2"/>
      <c r="E78" s="5"/>
      <c r="F78" s="20">
        <v>4.5885980000000002</v>
      </c>
      <c r="G78" s="20">
        <v>9.6836366799999993</v>
      </c>
      <c r="H78" s="37">
        <v>8.3290000000000006</v>
      </c>
      <c r="I78" s="5">
        <v>10</v>
      </c>
      <c r="J78" s="5">
        <v>14.25</v>
      </c>
    </row>
    <row r="79" spans="2:12" ht="15.75" x14ac:dyDescent="0.25">
      <c r="B79" s="18" t="s">
        <v>70</v>
      </c>
      <c r="C79" s="2"/>
      <c r="D79" s="2"/>
      <c r="E79" s="5"/>
      <c r="F79" s="20">
        <v>3.0702579999999999</v>
      </c>
      <c r="G79" s="20">
        <v>0.761513</v>
      </c>
      <c r="H79" s="37">
        <v>9.0839999999999996</v>
      </c>
      <c r="I79" s="5"/>
      <c r="J79" s="5"/>
    </row>
    <row r="80" spans="2:12" ht="15.75" x14ac:dyDescent="0.25">
      <c r="B80" s="18" t="s">
        <v>71</v>
      </c>
      <c r="C80" s="2"/>
      <c r="D80" s="2"/>
      <c r="E80" s="5"/>
      <c r="F80" s="20">
        <v>3.7709830000000002</v>
      </c>
      <c r="G80" s="20">
        <v>3.6303100000000001</v>
      </c>
      <c r="H80" s="37">
        <v>19.135999999999999</v>
      </c>
      <c r="I80" s="5">
        <v>41.6</v>
      </c>
      <c r="J80" s="5">
        <v>28.088000000000001</v>
      </c>
      <c r="K80">
        <v>21</v>
      </c>
    </row>
    <row r="81" spans="2:11" ht="15.75" x14ac:dyDescent="0.25">
      <c r="B81" s="18" t="s">
        <v>72</v>
      </c>
      <c r="C81" s="2"/>
      <c r="D81" s="2"/>
      <c r="E81" s="5"/>
      <c r="F81" s="20">
        <v>28.026481</v>
      </c>
      <c r="G81" s="20">
        <v>21.353843699999999</v>
      </c>
      <c r="H81" s="37">
        <v>16.318999999999999</v>
      </c>
      <c r="I81" s="5">
        <v>13.81</v>
      </c>
      <c r="J81" s="5">
        <v>35.148000000000003</v>
      </c>
      <c r="K81">
        <v>40.9</v>
      </c>
    </row>
    <row r="82" spans="2:11" ht="15.75" x14ac:dyDescent="0.25">
      <c r="B82" s="18" t="s">
        <v>73</v>
      </c>
      <c r="C82" s="2"/>
      <c r="D82" s="2"/>
      <c r="E82" s="5"/>
      <c r="F82" s="20">
        <v>181.11890600000001</v>
      </c>
      <c r="G82" s="20">
        <v>243.11363115999998</v>
      </c>
      <c r="H82" s="37">
        <v>265.70499999999998</v>
      </c>
      <c r="I82" s="5">
        <v>316</v>
      </c>
      <c r="J82" s="5">
        <v>246</v>
      </c>
      <c r="K82">
        <v>353</v>
      </c>
    </row>
    <row r="83" spans="2:11" ht="15.75" x14ac:dyDescent="0.25">
      <c r="B83" s="18" t="s">
        <v>74</v>
      </c>
      <c r="C83" s="2"/>
      <c r="D83" s="2"/>
      <c r="E83" s="5"/>
      <c r="F83" s="20">
        <v>0.89900000000000002</v>
      </c>
      <c r="G83" s="20">
        <v>0.51364900000000002</v>
      </c>
      <c r="H83" s="37">
        <v>3.4350000000000001</v>
      </c>
      <c r="I83" s="5">
        <v>2.7</v>
      </c>
      <c r="J83" s="5">
        <v>1</v>
      </c>
      <c r="K83">
        <v>1</v>
      </c>
    </row>
    <row r="84" spans="2:11" ht="15.75" x14ac:dyDescent="0.25">
      <c r="B84" s="18" t="s">
        <v>75</v>
      </c>
      <c r="C84" s="2"/>
      <c r="D84" s="2"/>
      <c r="E84" s="5"/>
      <c r="F84" s="20">
        <v>0.96250000000000002</v>
      </c>
      <c r="G84" s="20">
        <v>0.40379999999999999</v>
      </c>
      <c r="H84" s="37">
        <v>1.181</v>
      </c>
      <c r="I84" s="5">
        <v>0.5</v>
      </c>
      <c r="J84" s="5">
        <v>0.25600000000000001</v>
      </c>
      <c r="K84">
        <v>0.55000000000000004</v>
      </c>
    </row>
    <row r="85" spans="2:11" ht="15.75" x14ac:dyDescent="0.25">
      <c r="B85" s="18" t="s">
        <v>76</v>
      </c>
      <c r="C85" s="2"/>
      <c r="D85" s="2"/>
      <c r="E85" s="5"/>
      <c r="F85" s="20">
        <v>0.25634000000000001</v>
      </c>
      <c r="G85" s="20">
        <v>0.28283950000000002</v>
      </c>
      <c r="H85" s="37">
        <v>0.27300000000000002</v>
      </c>
      <c r="I85" s="5">
        <v>0.25</v>
      </c>
      <c r="J85" s="5">
        <v>0.249</v>
      </c>
      <c r="K85">
        <v>0.28899999999999998</v>
      </c>
    </row>
    <row r="86" spans="2:11" ht="15.75" x14ac:dyDescent="0.25">
      <c r="B86" s="18" t="s">
        <v>77</v>
      </c>
      <c r="C86" s="2"/>
      <c r="D86" s="2"/>
      <c r="E86" s="5"/>
      <c r="F86" s="20">
        <v>1.9184319999999999</v>
      </c>
      <c r="G86" s="20">
        <v>5.2110789999999998</v>
      </c>
      <c r="H86" s="37">
        <v>2.3519999999999999</v>
      </c>
      <c r="I86" s="5">
        <v>4</v>
      </c>
      <c r="J86" s="5">
        <v>8.6999999999999993</v>
      </c>
      <c r="K86">
        <v>28.6</v>
      </c>
    </row>
    <row r="87" spans="2:11" ht="15.75" x14ac:dyDescent="0.25">
      <c r="B87" s="18" t="s">
        <v>78</v>
      </c>
      <c r="C87" s="2"/>
      <c r="D87" s="2"/>
      <c r="E87" s="5"/>
      <c r="F87" s="20">
        <v>1E-3</v>
      </c>
      <c r="G87" s="20">
        <v>0.15210000000000001</v>
      </c>
      <c r="H87" s="37">
        <v>1.885</v>
      </c>
      <c r="I87" s="5">
        <v>3.093</v>
      </c>
      <c r="J87" s="5"/>
    </row>
    <row r="88" spans="2:11" ht="15.75" x14ac:dyDescent="0.25">
      <c r="B88" s="18" t="s">
        <v>79</v>
      </c>
      <c r="C88" s="2"/>
      <c r="D88" s="2"/>
      <c r="E88" s="5"/>
      <c r="F88" s="20">
        <v>0.1946</v>
      </c>
      <c r="G88" s="20">
        <v>1.5466000000000001E-2</v>
      </c>
      <c r="H88" s="37">
        <v>5.0000000000000001E-3</v>
      </c>
      <c r="I88" s="5"/>
      <c r="J88" s="5"/>
      <c r="K88">
        <v>73</v>
      </c>
    </row>
    <row r="89" spans="2:11" x14ac:dyDescent="0.25">
      <c r="B89" s="2"/>
      <c r="C89" s="2"/>
      <c r="D89" s="2"/>
      <c r="E89" s="2"/>
      <c r="F89" s="2"/>
      <c r="G89" s="2"/>
      <c r="H89" s="37"/>
      <c r="I89" s="2"/>
      <c r="J89" s="2"/>
    </row>
    <row r="90" spans="2:11" ht="15.75" x14ac:dyDescent="0.25">
      <c r="B90" s="22" t="s">
        <v>80</v>
      </c>
      <c r="C90" s="2"/>
      <c r="D90" s="2"/>
      <c r="E90" s="21"/>
      <c r="F90" s="21"/>
      <c r="G90" s="21"/>
      <c r="H90" s="37"/>
      <c r="I90" s="21"/>
      <c r="J90" s="21"/>
    </row>
    <row r="91" spans="2:11" ht="15.75" x14ac:dyDescent="0.25">
      <c r="B91" s="18" t="s">
        <v>81</v>
      </c>
      <c r="C91" s="2"/>
      <c r="D91" s="2"/>
      <c r="E91" s="5">
        <v>1650</v>
      </c>
      <c r="F91" s="5">
        <v>1180</v>
      </c>
      <c r="G91" s="5">
        <v>1691</v>
      </c>
      <c r="H91" s="37">
        <v>2318.1880000000001</v>
      </c>
      <c r="I91" s="5">
        <v>3570</v>
      </c>
      <c r="J91" s="5">
        <v>0</v>
      </c>
      <c r="K91">
        <v>0</v>
      </c>
    </row>
    <row r="92" spans="2:11" ht="15.75" x14ac:dyDescent="0.25">
      <c r="B92" s="18" t="s">
        <v>80</v>
      </c>
      <c r="C92" s="2"/>
      <c r="D92" s="2"/>
      <c r="E92" s="5">
        <v>1305</v>
      </c>
      <c r="F92" s="5">
        <v>1792</v>
      </c>
      <c r="G92" s="5">
        <v>2154</v>
      </c>
      <c r="H92" s="37">
        <f>4837.748-2318.188</f>
        <v>2519.5599999999995</v>
      </c>
      <c r="I92" s="5">
        <f>6205-I91</f>
        <v>2635</v>
      </c>
      <c r="J92" s="5">
        <v>2474</v>
      </c>
      <c r="K92">
        <v>2944</v>
      </c>
    </row>
    <row r="93" spans="2:11" ht="15.75" x14ac:dyDescent="0.25">
      <c r="B93" s="22"/>
      <c r="C93" s="21"/>
      <c r="D93" s="21"/>
      <c r="E93" s="21"/>
      <c r="F93" s="21"/>
      <c r="G93" s="21"/>
      <c r="H93" s="37"/>
      <c r="I93" s="21"/>
      <c r="J93" s="21"/>
    </row>
    <row r="94" spans="2:11" ht="15.75" x14ac:dyDescent="0.25">
      <c r="B94" s="22" t="s">
        <v>82</v>
      </c>
      <c r="C94" s="2"/>
      <c r="D94" s="2"/>
      <c r="E94" s="21"/>
      <c r="F94" s="21"/>
      <c r="G94" s="21"/>
      <c r="H94" s="37"/>
      <c r="I94" s="21"/>
      <c r="J94" s="21"/>
    </row>
    <row r="95" spans="2:11" ht="15.75" x14ac:dyDescent="0.25">
      <c r="B95" s="18" t="s">
        <v>83</v>
      </c>
      <c r="C95" s="2"/>
      <c r="D95" s="2"/>
      <c r="E95" s="5">
        <v>2755.2</v>
      </c>
      <c r="F95" s="5">
        <v>3042.4</v>
      </c>
      <c r="G95" s="5">
        <v>3176.9</v>
      </c>
      <c r="H95" s="37">
        <v>3465.6</v>
      </c>
      <c r="I95" s="5">
        <v>3745.88</v>
      </c>
      <c r="J95" s="5">
        <v>4035</v>
      </c>
      <c r="K95">
        <v>4365</v>
      </c>
    </row>
    <row r="96" spans="2:11" ht="15.75" x14ac:dyDescent="0.25">
      <c r="B96" s="18" t="s">
        <v>84</v>
      </c>
      <c r="C96" s="2"/>
      <c r="D96" s="2"/>
      <c r="E96" s="21">
        <f t="shared" ref="E96:I96" si="5">E98+E99</f>
        <v>1063</v>
      </c>
      <c r="F96" s="21">
        <f t="shared" si="5"/>
        <v>1029.0999999999999</v>
      </c>
      <c r="G96" s="21">
        <f t="shared" si="5"/>
        <v>1384.2</v>
      </c>
      <c r="H96" s="37">
        <f t="shared" si="5"/>
        <v>1389.6030000000001</v>
      </c>
      <c r="I96" s="37">
        <f t="shared" si="5"/>
        <v>1292.3880000000001</v>
      </c>
      <c r="J96" s="37">
        <f>J98+J99</f>
        <v>1804.4909999999998</v>
      </c>
      <c r="K96" s="37">
        <f>K98+K99</f>
        <v>1835.1020000000001</v>
      </c>
    </row>
    <row r="97" spans="2:11" ht="15.75" x14ac:dyDescent="0.25">
      <c r="B97" s="18" t="s">
        <v>85</v>
      </c>
      <c r="C97" s="2"/>
      <c r="D97" s="2"/>
      <c r="E97" s="5">
        <v>118.1</v>
      </c>
      <c r="F97" s="5">
        <v>101.6</v>
      </c>
      <c r="G97" s="5">
        <v>86.1</v>
      </c>
      <c r="H97" s="37">
        <f>36.423+21.979+9.243+6.388+0.366</f>
        <v>74.399000000000001</v>
      </c>
      <c r="I97" s="5">
        <f>25.94+13.18+14.37+0.48+0.232</f>
        <v>54.201999999999998</v>
      </c>
      <c r="J97" s="5">
        <f>24.94+21.59+8.7+22.84+2.259</f>
        <v>80.329000000000008</v>
      </c>
      <c r="K97">
        <f>36.2+37.17+10.75+26.78+0.998</f>
        <v>111.89800000000001</v>
      </c>
    </row>
    <row r="98" spans="2:11" x14ac:dyDescent="0.25">
      <c r="B98" s="26" t="s">
        <v>86</v>
      </c>
      <c r="C98" s="2"/>
      <c r="D98" s="2"/>
      <c r="E98" s="5">
        <v>250</v>
      </c>
      <c r="F98" s="5">
        <v>290</v>
      </c>
      <c r="G98" s="5">
        <v>523.70000000000005</v>
      </c>
      <c r="H98" s="37">
        <v>361.21199999999999</v>
      </c>
      <c r="I98" s="5">
        <v>98</v>
      </c>
      <c r="J98" s="5">
        <v>301</v>
      </c>
      <c r="K98">
        <v>559</v>
      </c>
    </row>
    <row r="99" spans="2:11" x14ac:dyDescent="0.25">
      <c r="B99" s="26" t="s">
        <v>87</v>
      </c>
      <c r="C99" s="2"/>
      <c r="D99" s="2"/>
      <c r="E99" s="5">
        <v>813</v>
      </c>
      <c r="F99" s="5">
        <v>739.1</v>
      </c>
      <c r="G99" s="5">
        <v>860.5</v>
      </c>
      <c r="H99" s="37">
        <f>4929.602-H95-H97-H98</f>
        <v>1028.3910000000001</v>
      </c>
      <c r="I99" s="37">
        <f>5092.47-I95-I97-I98</f>
        <v>1194.3880000000001</v>
      </c>
      <c r="J99" s="37">
        <f>5919.82-J95-J97-J98</f>
        <v>1503.4909999999998</v>
      </c>
      <c r="K99" s="37">
        <f>1372+4940-K95-K97-K98</f>
        <v>1276.1020000000001</v>
      </c>
    </row>
    <row r="100" spans="2:11" x14ac:dyDescent="0.25">
      <c r="B100" s="27" t="s">
        <v>88</v>
      </c>
      <c r="C100" s="2"/>
      <c r="D100" s="2"/>
      <c r="E100" s="21">
        <f t="shared" ref="E100:H100" si="6">SUM(E101:E107)</f>
        <v>0</v>
      </c>
      <c r="F100" s="21">
        <f t="shared" si="6"/>
        <v>0</v>
      </c>
      <c r="G100" s="21">
        <f t="shared" si="6"/>
        <v>0</v>
      </c>
      <c r="H100" s="37">
        <f t="shared" si="6"/>
        <v>0</v>
      </c>
      <c r="I100" s="21"/>
      <c r="J100" s="21"/>
    </row>
    <row r="101" spans="2:11" x14ac:dyDescent="0.25">
      <c r="B101" s="27"/>
      <c r="C101" s="2"/>
      <c r="D101" s="2"/>
      <c r="E101" s="5"/>
      <c r="F101" s="5"/>
      <c r="G101" s="5"/>
      <c r="H101" s="37"/>
      <c r="I101" s="5"/>
      <c r="J101" s="5"/>
    </row>
    <row r="102" spans="2:11" x14ac:dyDescent="0.25">
      <c r="B102" s="27"/>
      <c r="C102" s="2"/>
      <c r="D102" s="2"/>
      <c r="E102" s="5"/>
      <c r="F102" s="5"/>
      <c r="G102" s="5"/>
      <c r="H102" s="37"/>
      <c r="I102" s="5"/>
      <c r="J102" s="5"/>
    </row>
    <row r="103" spans="2:11" x14ac:dyDescent="0.25">
      <c r="B103" s="27"/>
      <c r="C103" s="2"/>
      <c r="D103" s="2"/>
      <c r="E103" s="5"/>
      <c r="F103" s="5"/>
      <c r="G103" s="5"/>
      <c r="H103" s="37"/>
      <c r="I103" s="5"/>
      <c r="J103" s="5"/>
    </row>
    <row r="104" spans="2:11" x14ac:dyDescent="0.25">
      <c r="B104" s="27"/>
      <c r="C104" s="2"/>
      <c r="D104" s="2"/>
      <c r="E104" s="5"/>
      <c r="F104" s="5"/>
      <c r="G104" s="5"/>
      <c r="H104" s="37"/>
      <c r="I104" s="5"/>
      <c r="J104" s="5"/>
    </row>
    <row r="105" spans="2:11" x14ac:dyDescent="0.25">
      <c r="B105" s="27"/>
      <c r="C105" s="2"/>
      <c r="D105" s="2"/>
      <c r="E105" s="5"/>
      <c r="F105" s="5"/>
      <c r="G105" s="5"/>
      <c r="H105" s="37"/>
      <c r="I105" s="5"/>
      <c r="J105" s="5"/>
    </row>
    <row r="106" spans="2:11" x14ac:dyDescent="0.25">
      <c r="B106" s="26"/>
      <c r="C106" s="2"/>
      <c r="D106" s="2"/>
      <c r="E106" s="5"/>
      <c r="F106" s="5"/>
      <c r="G106" s="5"/>
      <c r="H106" s="37"/>
      <c r="I106" s="5"/>
      <c r="J106" s="5"/>
    </row>
    <row r="107" spans="2:11" x14ac:dyDescent="0.25">
      <c r="B107" s="26"/>
      <c r="C107" s="2"/>
      <c r="D107" s="2"/>
      <c r="E107" s="5"/>
      <c r="F107" s="5"/>
      <c r="G107" s="5"/>
      <c r="H107" s="37"/>
      <c r="I107" s="5"/>
      <c r="J107" s="5"/>
    </row>
    <row r="108" spans="2:11" x14ac:dyDescent="0.25">
      <c r="B108" s="26"/>
      <c r="C108" s="2"/>
      <c r="D108" s="2"/>
      <c r="E108" s="2"/>
      <c r="F108" s="2"/>
      <c r="G108" s="2"/>
      <c r="H108" s="37"/>
      <c r="I108" s="2"/>
      <c r="J108" s="2"/>
    </row>
    <row r="109" spans="2:11" x14ac:dyDescent="0.25">
      <c r="B109" s="28" t="s">
        <v>89</v>
      </c>
      <c r="C109" s="2"/>
      <c r="D109" s="2"/>
      <c r="E109" s="2"/>
      <c r="F109" s="2"/>
      <c r="G109" s="2"/>
      <c r="H109" s="37"/>
      <c r="I109" s="2"/>
      <c r="J109" s="2"/>
    </row>
    <row r="110" spans="2:11" ht="15.75" x14ac:dyDescent="0.25">
      <c r="B110" s="18" t="s">
        <v>90</v>
      </c>
      <c r="C110" s="2"/>
      <c r="D110" s="2"/>
      <c r="E110" s="5">
        <v>202</v>
      </c>
      <c r="F110" s="5">
        <v>288</v>
      </c>
      <c r="G110" s="5">
        <v>393</v>
      </c>
      <c r="H110" s="37">
        <f>1328.817-H111</f>
        <v>330.96900000000005</v>
      </c>
      <c r="I110" s="37">
        <f>783.128-I111</f>
        <v>439.88100000000003</v>
      </c>
      <c r="J110" s="37">
        <f>323.81-J111</f>
        <v>322.31</v>
      </c>
      <c r="K110" s="37">
        <f>414-K111</f>
        <v>411.6</v>
      </c>
    </row>
    <row r="111" spans="2:11" ht="15.75" x14ac:dyDescent="0.25">
      <c r="B111" s="18" t="s">
        <v>91</v>
      </c>
      <c r="C111" s="2"/>
      <c r="D111" s="2"/>
      <c r="E111" s="5">
        <v>569</v>
      </c>
      <c r="F111" s="5">
        <v>573</v>
      </c>
      <c r="G111" s="5">
        <v>781</v>
      </c>
      <c r="H111" s="37">
        <v>997.84799999999996</v>
      </c>
      <c r="I111" s="5">
        <v>343.24700000000001</v>
      </c>
      <c r="J111" s="5">
        <v>1.5</v>
      </c>
      <c r="K111">
        <v>2.4</v>
      </c>
    </row>
    <row r="112" spans="2:11" ht="15.75" x14ac:dyDescent="0.25">
      <c r="B112" s="18" t="s">
        <v>92</v>
      </c>
      <c r="C112" s="2"/>
      <c r="D112" s="2"/>
      <c r="E112" s="5">
        <v>2</v>
      </c>
      <c r="F112" s="5">
        <v>2</v>
      </c>
      <c r="G112" s="5">
        <v>1.7589999999999999</v>
      </c>
      <c r="H112" s="37">
        <v>0.92200000000000004</v>
      </c>
      <c r="I112" s="5">
        <v>783</v>
      </c>
      <c r="J112" s="5">
        <v>20.6</v>
      </c>
      <c r="K112">
        <v>22.388000000000002</v>
      </c>
    </row>
    <row r="113" spans="2:11" ht="15.75" x14ac:dyDescent="0.25">
      <c r="B113" s="18" t="s">
        <v>93</v>
      </c>
      <c r="C113" s="2"/>
      <c r="D113" s="2"/>
      <c r="E113" s="5">
        <v>107</v>
      </c>
      <c r="F113" s="5">
        <v>92</v>
      </c>
      <c r="G113" s="5">
        <v>59.848999999999997</v>
      </c>
      <c r="H113" s="37"/>
      <c r="I113" s="5">
        <v>143</v>
      </c>
      <c r="J113" s="5">
        <v>12.89</v>
      </c>
      <c r="K113">
        <v>1594</v>
      </c>
    </row>
    <row r="114" spans="2:11" ht="15.75" x14ac:dyDescent="0.25">
      <c r="B114" s="18" t="s">
        <v>94</v>
      </c>
      <c r="C114" s="2"/>
      <c r="D114" s="2"/>
      <c r="E114" s="29">
        <v>53</v>
      </c>
      <c r="F114" s="29">
        <v>42</v>
      </c>
      <c r="G114" s="29">
        <v>75.400000000000006</v>
      </c>
      <c r="H114" s="45">
        <v>93.751999999999995</v>
      </c>
      <c r="I114" s="29">
        <v>132.9</v>
      </c>
      <c r="J114" s="29">
        <v>154.6</v>
      </c>
      <c r="K114">
        <v>-186</v>
      </c>
    </row>
    <row r="115" spans="2:11" x14ac:dyDescent="0.25">
      <c r="B115" s="2"/>
      <c r="C115" s="2"/>
      <c r="D115" s="2"/>
      <c r="E115" s="2"/>
      <c r="F115" s="2"/>
      <c r="G115" s="2"/>
      <c r="H115" s="37"/>
      <c r="I115" s="2"/>
      <c r="J115" s="2"/>
    </row>
    <row r="116" spans="2:11" s="50" customFormat="1" x14ac:dyDescent="0.25">
      <c r="B116" s="47" t="s">
        <v>95</v>
      </c>
      <c r="C116" s="48" t="s">
        <v>139</v>
      </c>
      <c r="D116" s="49"/>
      <c r="E116" s="48"/>
      <c r="F116" s="48"/>
      <c r="G116" s="48"/>
      <c r="H116" s="48"/>
      <c r="I116" s="48"/>
      <c r="J116" s="48"/>
    </row>
    <row r="117" spans="2:11" x14ac:dyDescent="0.25">
      <c r="B117" s="28" t="s">
        <v>96</v>
      </c>
      <c r="C117" s="2"/>
      <c r="D117" s="30"/>
      <c r="E117" s="5"/>
      <c r="F117" s="5"/>
      <c r="G117" s="5"/>
      <c r="H117" s="37"/>
      <c r="I117" s="5"/>
      <c r="J117" s="5"/>
    </row>
    <row r="118" spans="2:11" x14ac:dyDescent="0.25">
      <c r="B118" s="2" t="s">
        <v>97</v>
      </c>
      <c r="C118" s="2">
        <v>0</v>
      </c>
      <c r="D118" s="31"/>
      <c r="E118" s="20">
        <v>2194.4638220000002</v>
      </c>
      <c r="F118" s="20">
        <v>2194.4638220000002</v>
      </c>
      <c r="G118" s="20">
        <v>2194.4638220000002</v>
      </c>
      <c r="H118" s="43">
        <v>2194.4638220000002</v>
      </c>
      <c r="I118" s="43">
        <v>2194.4638220000002</v>
      </c>
      <c r="J118" s="43">
        <v>2373</v>
      </c>
      <c r="K118">
        <v>2884</v>
      </c>
    </row>
    <row r="119" spans="2:11" x14ac:dyDescent="0.25">
      <c r="B119" s="2" t="s">
        <v>98</v>
      </c>
      <c r="C119" s="2">
        <v>0.02</v>
      </c>
      <c r="D119" s="2"/>
      <c r="E119" s="20">
        <v>116.99254999999999</v>
      </c>
      <c r="F119" s="20">
        <v>116.99254999999999</v>
      </c>
      <c r="G119" s="20">
        <v>116.99254999999999</v>
      </c>
      <c r="H119" s="43">
        <v>116.99254999999999</v>
      </c>
      <c r="I119" s="20">
        <v>116.99</v>
      </c>
      <c r="J119" s="20">
        <v>141.50800000000001</v>
      </c>
      <c r="K119">
        <v>458.86</v>
      </c>
    </row>
    <row r="120" spans="2:11" x14ac:dyDescent="0.25">
      <c r="B120" s="2" t="s">
        <v>99</v>
      </c>
      <c r="C120" s="2">
        <v>0.06</v>
      </c>
      <c r="D120" s="2"/>
      <c r="E120" s="20">
        <v>9596.0012129999996</v>
      </c>
      <c r="F120" s="20">
        <v>9865.4412130000001</v>
      </c>
      <c r="G120" s="20">
        <v>9865.4412130000001</v>
      </c>
      <c r="H120" s="43">
        <v>9865.9298350000008</v>
      </c>
      <c r="I120" s="20">
        <v>9916</v>
      </c>
      <c r="J120" s="20">
        <f>53.993+31536.912+21.95</f>
        <v>31612.855</v>
      </c>
      <c r="K120">
        <f>167.894+30936+198.158</f>
        <v>31302.052</v>
      </c>
    </row>
    <row r="121" spans="2:11" x14ac:dyDescent="0.25">
      <c r="B121" s="2" t="s">
        <v>100</v>
      </c>
      <c r="C121" s="2">
        <v>0.15</v>
      </c>
      <c r="D121" s="2"/>
      <c r="E121" s="20">
        <v>235.56716900000001</v>
      </c>
      <c r="F121" s="20">
        <v>235.56716900000001</v>
      </c>
      <c r="G121" s="20">
        <v>243.167169</v>
      </c>
      <c r="H121" s="43">
        <v>249.35910000000001</v>
      </c>
      <c r="I121" s="20">
        <v>308</v>
      </c>
      <c r="J121" s="20">
        <v>525.72500000000002</v>
      </c>
      <c r="K121">
        <v>660</v>
      </c>
    </row>
    <row r="122" spans="2:11" x14ac:dyDescent="0.25">
      <c r="B122" s="2" t="s">
        <v>101</v>
      </c>
      <c r="C122" s="2">
        <v>0.15</v>
      </c>
      <c r="D122" s="2"/>
      <c r="E122" s="20">
        <v>10.635429999999999</v>
      </c>
      <c r="F122" s="20">
        <v>10.635429999999999</v>
      </c>
      <c r="G122" s="20">
        <v>10.635429999999999</v>
      </c>
      <c r="H122" s="43">
        <v>10.635429999999999</v>
      </c>
      <c r="I122" s="20">
        <v>10.63</v>
      </c>
      <c r="J122" s="20">
        <v>58.281999999999996</v>
      </c>
      <c r="K122">
        <v>66</v>
      </c>
    </row>
    <row r="123" spans="2:11" x14ac:dyDescent="0.25">
      <c r="B123" s="2" t="s">
        <v>102</v>
      </c>
      <c r="C123" s="2">
        <v>0.02</v>
      </c>
      <c r="D123" s="2"/>
      <c r="E123" s="20">
        <v>196.04554099999999</v>
      </c>
      <c r="F123" s="20">
        <v>196.04554099999999</v>
      </c>
      <c r="G123" s="20">
        <v>196.04554099999999</v>
      </c>
      <c r="H123" s="43">
        <v>196.04554099999999</v>
      </c>
      <c r="I123" s="20">
        <v>196</v>
      </c>
      <c r="J123" s="20">
        <v>196</v>
      </c>
      <c r="K123" s="20">
        <v>196</v>
      </c>
    </row>
    <row r="124" spans="2:11" x14ac:dyDescent="0.25">
      <c r="B124" s="2" t="s">
        <v>103</v>
      </c>
      <c r="C124" s="2">
        <v>0.02</v>
      </c>
      <c r="D124" s="2"/>
      <c r="E124" s="20">
        <v>20.806585999999999</v>
      </c>
      <c r="F124" s="20">
        <v>20.806585999999999</v>
      </c>
      <c r="G124" s="20">
        <v>20.806585999999999</v>
      </c>
      <c r="H124" s="43">
        <v>20.806585999999999</v>
      </c>
      <c r="I124" s="20">
        <v>22</v>
      </c>
      <c r="J124" s="20">
        <v>23.684999999999999</v>
      </c>
      <c r="K124">
        <v>25.038</v>
      </c>
    </row>
    <row r="125" spans="2:11" x14ac:dyDescent="0.25">
      <c r="B125" s="52" t="s">
        <v>138</v>
      </c>
      <c r="C125" s="2">
        <v>0.02</v>
      </c>
      <c r="D125" s="2"/>
      <c r="E125" s="20"/>
      <c r="F125" s="20"/>
      <c r="G125" s="20"/>
      <c r="H125" s="43"/>
      <c r="I125" s="20">
        <v>27</v>
      </c>
      <c r="J125" s="20">
        <v>71.293999999999997</v>
      </c>
      <c r="K125">
        <v>114.393</v>
      </c>
    </row>
    <row r="126" spans="2:11" x14ac:dyDescent="0.25">
      <c r="B126" s="2" t="s">
        <v>104</v>
      </c>
      <c r="C126" s="2">
        <v>0.02</v>
      </c>
      <c r="D126" s="2"/>
      <c r="E126" s="20">
        <v>4081.7745249999998</v>
      </c>
      <c r="F126" s="20">
        <v>4554.2595250000004</v>
      </c>
      <c r="G126" s="20">
        <v>4573.6464269999997</v>
      </c>
      <c r="H126" s="43">
        <v>4573.6464269999997</v>
      </c>
      <c r="I126" s="20">
        <v>4574</v>
      </c>
      <c r="J126" s="20">
        <v>4591.7979999999998</v>
      </c>
      <c r="K126">
        <v>4180</v>
      </c>
    </row>
    <row r="127" spans="2:11" x14ac:dyDescent="0.25">
      <c r="B127" s="2" t="s">
        <v>105</v>
      </c>
      <c r="C127" s="2">
        <v>0.02</v>
      </c>
      <c r="D127" s="2"/>
      <c r="E127" s="20">
        <v>1063.060397</v>
      </c>
      <c r="F127" s="20">
        <v>2009.9603970000001</v>
      </c>
      <c r="G127" s="20">
        <v>2009.9603970000001</v>
      </c>
      <c r="H127" s="43">
        <v>2013.01</v>
      </c>
      <c r="I127" s="20">
        <v>2057.06</v>
      </c>
      <c r="J127" s="20">
        <v>2415.502</v>
      </c>
      <c r="K127">
        <v>2526.4059999999999</v>
      </c>
    </row>
    <row r="128" spans="2:11" x14ac:dyDescent="0.25">
      <c r="B128" s="2" t="s">
        <v>106</v>
      </c>
      <c r="C128" s="2">
        <v>0.02</v>
      </c>
      <c r="D128" s="2"/>
      <c r="E128" s="20">
        <v>7063.7814209999997</v>
      </c>
      <c r="F128" s="20">
        <v>7063.7814209999997</v>
      </c>
      <c r="G128" s="20">
        <v>7063.7814209999997</v>
      </c>
      <c r="H128" s="43">
        <v>7063.7814209999997</v>
      </c>
      <c r="I128" s="20">
        <v>7063.78</v>
      </c>
      <c r="J128" s="20">
        <v>7063.78</v>
      </c>
      <c r="K128" s="62">
        <f>4571+7063.781+2</f>
        <v>11636.780999999999</v>
      </c>
    </row>
    <row r="129" spans="2:11" x14ac:dyDescent="0.25">
      <c r="B129" s="2" t="s">
        <v>107</v>
      </c>
      <c r="C129" s="2">
        <v>0.02</v>
      </c>
      <c r="D129" s="2"/>
      <c r="E129" s="20">
        <v>0</v>
      </c>
      <c r="F129" s="20">
        <v>9868.4410000000007</v>
      </c>
      <c r="G129" s="20">
        <v>9868.4410000000007</v>
      </c>
      <c r="H129" s="43">
        <v>9871.9709999999995</v>
      </c>
      <c r="I129" s="20">
        <v>10109.825999999999</v>
      </c>
      <c r="J129" s="20">
        <v>10109.82</v>
      </c>
      <c r="K129">
        <v>10109.825999999999</v>
      </c>
    </row>
    <row r="130" spans="2:11" x14ac:dyDescent="0.25">
      <c r="B130" s="2" t="s">
        <v>108</v>
      </c>
      <c r="C130" s="2">
        <v>0.15</v>
      </c>
      <c r="D130" s="2"/>
      <c r="E130" s="20">
        <v>64.201307</v>
      </c>
      <c r="F130" s="20">
        <v>64.201307</v>
      </c>
      <c r="G130" s="20">
        <v>64.201307</v>
      </c>
      <c r="H130" s="43">
        <v>64.201307</v>
      </c>
      <c r="I130" s="20">
        <v>64.200999999999993</v>
      </c>
      <c r="J130" s="20">
        <v>64.200999999999993</v>
      </c>
      <c r="K130">
        <v>64.200999999999993</v>
      </c>
    </row>
    <row r="131" spans="2:11" x14ac:dyDescent="0.25">
      <c r="B131" s="2" t="s">
        <v>109</v>
      </c>
      <c r="C131" s="2">
        <v>0.15</v>
      </c>
      <c r="D131" s="2"/>
      <c r="E131" s="20">
        <v>236.95696799999999</v>
      </c>
      <c r="F131" s="20">
        <v>236.95696799999999</v>
      </c>
      <c r="G131" s="20">
        <v>236.95696799999999</v>
      </c>
      <c r="H131" s="43">
        <v>236.95696799999999</v>
      </c>
      <c r="I131" s="43">
        <v>236.95696799999999</v>
      </c>
      <c r="J131" s="20">
        <v>236.95696799999999</v>
      </c>
      <c r="K131" s="20">
        <v>236.95696799999999</v>
      </c>
    </row>
    <row r="132" spans="2:11" x14ac:dyDescent="0.25">
      <c r="B132" s="2"/>
      <c r="C132" s="2"/>
      <c r="D132" s="2"/>
      <c r="E132" s="2"/>
      <c r="F132" s="2"/>
      <c r="G132" s="2"/>
      <c r="H132" s="37"/>
      <c r="I132" s="2"/>
      <c r="J132" s="2"/>
    </row>
    <row r="133" spans="2:11" x14ac:dyDescent="0.25">
      <c r="B133" s="28" t="s">
        <v>57</v>
      </c>
      <c r="C133" s="2"/>
      <c r="D133" s="30"/>
      <c r="E133" s="2"/>
      <c r="F133" s="2"/>
      <c r="G133" s="2"/>
      <c r="H133" s="37"/>
      <c r="I133" s="2"/>
      <c r="J133" s="2"/>
    </row>
    <row r="134" spans="2:11" x14ac:dyDescent="0.25">
      <c r="B134" s="2" t="s">
        <v>97</v>
      </c>
      <c r="C134" s="2">
        <v>0</v>
      </c>
      <c r="D134" s="31"/>
      <c r="E134" s="20">
        <v>24916.440355999999</v>
      </c>
      <c r="F134" s="20">
        <v>24916.440355999999</v>
      </c>
      <c r="G134" s="20">
        <v>24916.440355999999</v>
      </c>
      <c r="H134" s="43">
        <v>24916.440355999999</v>
      </c>
      <c r="I134" s="43">
        <v>24916.440355999999</v>
      </c>
      <c r="J134" s="43">
        <v>24916.440355999999</v>
      </c>
      <c r="K134">
        <v>19599.14</v>
      </c>
    </row>
    <row r="135" spans="2:11" x14ac:dyDescent="0.25">
      <c r="B135" s="2" t="s">
        <v>98</v>
      </c>
      <c r="C135" s="2">
        <v>0.02</v>
      </c>
      <c r="D135" s="2"/>
      <c r="E135" s="20">
        <v>35.361553999999998</v>
      </c>
      <c r="F135" s="20">
        <v>35.361553999999998</v>
      </c>
      <c r="G135" s="20">
        <v>35.361553999999998</v>
      </c>
      <c r="H135" s="43">
        <v>35.361553999999998</v>
      </c>
      <c r="I135" s="20">
        <v>35.36</v>
      </c>
      <c r="J135" s="20">
        <v>36.445</v>
      </c>
      <c r="K135">
        <v>36.445</v>
      </c>
    </row>
    <row r="136" spans="2:11" x14ac:dyDescent="0.25">
      <c r="B136" s="2" t="s">
        <v>110</v>
      </c>
      <c r="C136" s="2">
        <v>0.15</v>
      </c>
      <c r="D136" s="2"/>
      <c r="E136" s="20">
        <v>749.80941700000005</v>
      </c>
      <c r="F136" s="20">
        <v>749.80941700000005</v>
      </c>
      <c r="G136" s="20">
        <v>749.80941700000005</v>
      </c>
      <c r="H136" s="43">
        <v>749.80941700000005</v>
      </c>
      <c r="I136" s="20">
        <v>749.80899999999997</v>
      </c>
      <c r="J136" s="20">
        <v>749.80899999999997</v>
      </c>
      <c r="K136">
        <v>749.80899999999997</v>
      </c>
    </row>
    <row r="137" spans="2:11" x14ac:dyDescent="0.25">
      <c r="B137" s="2" t="s">
        <v>103</v>
      </c>
      <c r="C137" s="2">
        <v>0.02</v>
      </c>
      <c r="D137" s="2"/>
      <c r="E137" s="20">
        <v>13.708712</v>
      </c>
      <c r="F137" s="20">
        <v>13.708712</v>
      </c>
      <c r="G137" s="20">
        <v>13.708712</v>
      </c>
      <c r="H137" s="43">
        <v>13.708712</v>
      </c>
      <c r="I137" s="20">
        <v>14.127000000000001</v>
      </c>
      <c r="J137" s="20">
        <v>26.977</v>
      </c>
      <c r="K137">
        <v>26.977</v>
      </c>
    </row>
    <row r="138" spans="2:11" x14ac:dyDescent="0.25">
      <c r="B138" s="2" t="s">
        <v>111</v>
      </c>
      <c r="C138" s="2">
        <v>0.02</v>
      </c>
      <c r="D138" s="2"/>
      <c r="E138" s="20">
        <v>1509.4099490000001</v>
      </c>
      <c r="F138" s="20">
        <v>1509.4099490000001</v>
      </c>
      <c r="G138" s="20">
        <v>1509.4099490000001</v>
      </c>
      <c r="H138" s="43">
        <f>1509.409949+862.6219</f>
        <v>2372.031849</v>
      </c>
      <c r="I138" s="20">
        <v>1509.4090000000001</v>
      </c>
      <c r="J138" s="20">
        <v>1509.4090000000001</v>
      </c>
      <c r="K138">
        <v>1509.4090000000001</v>
      </c>
    </row>
    <row r="139" spans="2:11" x14ac:dyDescent="0.25">
      <c r="B139" s="2" t="s">
        <v>140</v>
      </c>
      <c r="C139" s="2">
        <v>0.02</v>
      </c>
      <c r="D139" s="2"/>
      <c r="E139" s="20"/>
      <c r="F139" s="20"/>
      <c r="G139" s="20"/>
      <c r="H139" s="43"/>
      <c r="I139" s="20">
        <v>862.62099999999998</v>
      </c>
      <c r="J139" s="20">
        <v>862.62099999999998</v>
      </c>
      <c r="K139">
        <v>722.62099999999998</v>
      </c>
    </row>
    <row r="140" spans="2:11" x14ac:dyDescent="0.25">
      <c r="B140" s="2" t="s">
        <v>112</v>
      </c>
      <c r="C140" s="2">
        <v>0.02</v>
      </c>
      <c r="D140" s="2"/>
      <c r="E140" s="20">
        <v>1663.9358319999999</v>
      </c>
      <c r="F140" s="20">
        <v>1663.9358319999999</v>
      </c>
      <c r="G140" s="20">
        <v>1663.9358319999999</v>
      </c>
      <c r="H140" s="43">
        <v>1663.9358319999999</v>
      </c>
      <c r="I140" s="20">
        <v>1679.7059999999999</v>
      </c>
      <c r="J140" s="20">
        <v>1684.3317999999999</v>
      </c>
      <c r="K140">
        <v>1702.1790000000001</v>
      </c>
    </row>
    <row r="141" spans="2:11" x14ac:dyDescent="0.25">
      <c r="B141" s="2" t="s">
        <v>143</v>
      </c>
      <c r="C141" s="2">
        <v>0.02</v>
      </c>
      <c r="D141" s="2"/>
      <c r="E141" s="20"/>
      <c r="F141" s="20"/>
      <c r="G141" s="20"/>
      <c r="H141" s="43"/>
      <c r="I141" s="20">
        <v>3.1589999999999998</v>
      </c>
      <c r="J141" s="20">
        <v>3.9550000000000001</v>
      </c>
      <c r="K141">
        <v>4.8499999999999996</v>
      </c>
    </row>
    <row r="142" spans="2:11" x14ac:dyDescent="0.25">
      <c r="B142" s="2" t="s">
        <v>141</v>
      </c>
      <c r="C142" s="2">
        <v>0.15</v>
      </c>
      <c r="D142" s="2"/>
      <c r="E142" s="20"/>
      <c r="F142" s="20"/>
      <c r="G142" s="20"/>
      <c r="H142" s="43"/>
      <c r="I142" s="20">
        <v>2067.79</v>
      </c>
      <c r="J142" s="20">
        <v>2069.8319999999999</v>
      </c>
      <c r="K142">
        <v>0</v>
      </c>
    </row>
    <row r="143" spans="2:11" x14ac:dyDescent="0.25">
      <c r="B143" s="2" t="s">
        <v>113</v>
      </c>
      <c r="C143" s="2">
        <v>0.02</v>
      </c>
      <c r="D143" s="2"/>
      <c r="E143" s="20">
        <v>4720.9815609999996</v>
      </c>
      <c r="F143" s="20">
        <v>4720.9815609999996</v>
      </c>
      <c r="G143" s="20">
        <v>4720.9815609999996</v>
      </c>
      <c r="H143" s="43">
        <v>4720.9815609999996</v>
      </c>
      <c r="I143" s="20">
        <v>6369.7460000000001</v>
      </c>
      <c r="J143" s="20">
        <v>6687.3249999999998</v>
      </c>
      <c r="K143">
        <v>0</v>
      </c>
    </row>
    <row r="144" spans="2:11" x14ac:dyDescent="0.25">
      <c r="B144" s="2" t="s">
        <v>114</v>
      </c>
      <c r="C144" s="2">
        <v>0.02</v>
      </c>
      <c r="D144" s="2"/>
      <c r="E144" s="20">
        <v>1924.246562</v>
      </c>
      <c r="F144" s="20">
        <v>1924.246562</v>
      </c>
      <c r="G144" s="20">
        <v>1924.246562</v>
      </c>
      <c r="H144" s="43">
        <v>1924.246562</v>
      </c>
      <c r="I144" s="20">
        <v>1924.2460000000001</v>
      </c>
      <c r="J144" s="20">
        <v>1924.2460000000001</v>
      </c>
      <c r="K144">
        <v>0</v>
      </c>
    </row>
    <row r="145" spans="2:11" x14ac:dyDescent="0.25">
      <c r="B145" s="2" t="s">
        <v>115</v>
      </c>
      <c r="C145" s="2">
        <v>0.02</v>
      </c>
      <c r="D145" s="2"/>
      <c r="E145" s="20">
        <v>25.469287999999999</v>
      </c>
      <c r="F145" s="20">
        <v>25.469287999999999</v>
      </c>
      <c r="G145" s="20">
        <v>25.469287999999999</v>
      </c>
      <c r="H145" s="43">
        <v>25.469287999999999</v>
      </c>
      <c r="I145" s="20">
        <v>25.469287999999999</v>
      </c>
      <c r="J145" s="20">
        <v>25.469287999999999</v>
      </c>
      <c r="K145" s="20">
        <v>25.469000000000001</v>
      </c>
    </row>
    <row r="146" spans="2:11" x14ac:dyDescent="0.25">
      <c r="B146" s="2" t="s">
        <v>116</v>
      </c>
      <c r="C146" s="2">
        <v>0.15</v>
      </c>
      <c r="D146" s="2"/>
      <c r="E146" s="20">
        <v>21.946106</v>
      </c>
      <c r="F146" s="20">
        <v>21.946106</v>
      </c>
      <c r="G146" s="20">
        <v>21.946106</v>
      </c>
      <c r="H146" s="43">
        <v>21.946106</v>
      </c>
      <c r="I146" s="20">
        <v>21.946106</v>
      </c>
      <c r="J146" s="20">
        <v>21.946106</v>
      </c>
      <c r="K146" s="20">
        <v>21.946000000000002</v>
      </c>
    </row>
    <row r="147" spans="2:11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1" x14ac:dyDescent="0.25">
      <c r="B148" s="28" t="s">
        <v>117</v>
      </c>
      <c r="C148" s="2"/>
      <c r="D148" s="30"/>
      <c r="E148" s="2"/>
      <c r="F148" s="2"/>
      <c r="G148" s="2"/>
      <c r="H148" s="2"/>
      <c r="I148" s="2"/>
      <c r="J148" s="2"/>
    </row>
    <row r="149" spans="2:11" x14ac:dyDescent="0.25">
      <c r="B149" s="2" t="s">
        <v>97</v>
      </c>
      <c r="C149" s="2">
        <v>0</v>
      </c>
      <c r="D149" s="2"/>
      <c r="E149" s="20">
        <v>1261.145667</v>
      </c>
      <c r="F149" s="20">
        <v>1330.2466669999999</v>
      </c>
      <c r="G149" s="20">
        <v>1330.2466669999999</v>
      </c>
      <c r="H149" s="20">
        <v>1330.2466669999999</v>
      </c>
      <c r="I149" s="20">
        <v>1330</v>
      </c>
      <c r="J149" s="20">
        <v>1386.527</v>
      </c>
      <c r="K149" s="20">
        <v>1386.527</v>
      </c>
    </row>
    <row r="150" spans="2:11" x14ac:dyDescent="0.25">
      <c r="B150" s="2" t="s">
        <v>98</v>
      </c>
      <c r="C150" s="2">
        <v>0.02</v>
      </c>
      <c r="D150" s="2"/>
      <c r="E150" s="20">
        <v>1490.437809</v>
      </c>
      <c r="F150" s="20">
        <v>1510.7915419999999</v>
      </c>
      <c r="G150" s="20">
        <v>1657.46</v>
      </c>
      <c r="H150" s="20">
        <v>1573.222426</v>
      </c>
      <c r="I150" s="20">
        <v>1822.0050000000001</v>
      </c>
      <c r="J150" s="20">
        <v>2331.4679999999998</v>
      </c>
      <c r="K150" s="20">
        <v>2853</v>
      </c>
    </row>
    <row r="151" spans="2:11" x14ac:dyDescent="0.25">
      <c r="B151" s="2" t="s">
        <v>118</v>
      </c>
      <c r="C151" s="2">
        <v>0.1</v>
      </c>
      <c r="D151" s="2"/>
      <c r="E151" s="20">
        <v>95.914606000000006</v>
      </c>
      <c r="F151" s="20">
        <v>101.23324</v>
      </c>
      <c r="G151" s="20">
        <v>14.8</v>
      </c>
      <c r="H151" s="20">
        <f>126.133323+14.8</f>
        <v>140.933323</v>
      </c>
      <c r="I151" s="20">
        <v>219.923</v>
      </c>
      <c r="J151" s="20">
        <v>271.798</v>
      </c>
      <c r="K151" s="20">
        <v>316.959</v>
      </c>
    </row>
    <row r="152" spans="2:11" x14ac:dyDescent="0.25">
      <c r="B152" s="2" t="s">
        <v>144</v>
      </c>
      <c r="C152" s="2">
        <v>0.2</v>
      </c>
      <c r="D152" s="2"/>
      <c r="E152" s="20"/>
      <c r="F152" s="20"/>
      <c r="G152" s="20"/>
      <c r="H152" s="20"/>
      <c r="I152" s="20">
        <v>16.783999999999999</v>
      </c>
      <c r="J152" s="20">
        <v>16.783999999999999</v>
      </c>
      <c r="K152" s="20">
        <v>46.509</v>
      </c>
    </row>
    <row r="153" spans="2:11" x14ac:dyDescent="0.25">
      <c r="B153" s="2" t="s">
        <v>119</v>
      </c>
      <c r="C153" s="2">
        <v>0.2</v>
      </c>
      <c r="D153" s="2"/>
      <c r="E153" s="20">
        <v>524.26642300000003</v>
      </c>
      <c r="F153" s="20">
        <v>538.84642299999996</v>
      </c>
      <c r="G153" s="20">
        <v>596.58958299999995</v>
      </c>
      <c r="H153" s="20">
        <v>596.58958299999995</v>
      </c>
      <c r="I153" s="20">
        <v>645.54</v>
      </c>
      <c r="J153" s="20">
        <v>698.9</v>
      </c>
      <c r="K153" s="20">
        <v>688.178</v>
      </c>
    </row>
    <row r="154" spans="2:11" x14ac:dyDescent="0.25">
      <c r="B154" s="2" t="s">
        <v>103</v>
      </c>
      <c r="C154" s="2">
        <v>0.02</v>
      </c>
      <c r="D154" s="2"/>
      <c r="E154" s="20">
        <v>68.607980999999995</v>
      </c>
      <c r="F154" s="20">
        <v>74.749617999999998</v>
      </c>
      <c r="G154" s="20">
        <v>114.362644</v>
      </c>
      <c r="H154" s="20">
        <v>172.88200000000001</v>
      </c>
      <c r="I154" s="20">
        <v>205.589</v>
      </c>
      <c r="J154" s="20">
        <v>239.601</v>
      </c>
      <c r="K154" s="20">
        <v>292.58499999999998</v>
      </c>
    </row>
    <row r="155" spans="2:11" x14ac:dyDescent="0.25">
      <c r="B155" s="2" t="s">
        <v>120</v>
      </c>
      <c r="C155" s="2">
        <v>0.15</v>
      </c>
      <c r="D155" s="2"/>
      <c r="E155" s="20">
        <v>837.73285499999997</v>
      </c>
      <c r="F155" s="20">
        <v>837.73285499999997</v>
      </c>
      <c r="G155" s="20">
        <v>837.73285499999997</v>
      </c>
      <c r="H155" s="20">
        <v>838.31</v>
      </c>
      <c r="I155" s="20">
        <v>838.55799999999999</v>
      </c>
      <c r="J155" s="20">
        <v>870.48199999999997</v>
      </c>
      <c r="K155" s="20">
        <v>866.72799999999995</v>
      </c>
    </row>
    <row r="156" spans="2:11" x14ac:dyDescent="0.25">
      <c r="B156" s="2" t="s">
        <v>121</v>
      </c>
      <c r="C156" s="2">
        <v>0.15</v>
      </c>
      <c r="D156" s="2"/>
      <c r="E156" s="20">
        <v>33.583027000000001</v>
      </c>
      <c r="F156" s="20">
        <v>33.583027000000001</v>
      </c>
      <c r="G156" s="20">
        <v>33.583027000000001</v>
      </c>
      <c r="H156" s="20">
        <v>34.521000000000001</v>
      </c>
      <c r="I156" s="20">
        <v>35.802</v>
      </c>
      <c r="J156" s="20">
        <v>54.14</v>
      </c>
      <c r="K156" s="20">
        <v>54.145000000000003</v>
      </c>
    </row>
    <row r="157" spans="2:11" x14ac:dyDescent="0.25">
      <c r="B157" s="2" t="s">
        <v>122</v>
      </c>
      <c r="C157" s="2">
        <v>0.15</v>
      </c>
      <c r="D157" s="2"/>
      <c r="E157" s="20">
        <v>25.602710999999999</v>
      </c>
      <c r="F157" s="20">
        <v>26.843810999999999</v>
      </c>
      <c r="G157" s="20">
        <v>28.032271000000001</v>
      </c>
      <c r="H157" s="20">
        <v>30.003</v>
      </c>
      <c r="I157" s="20">
        <v>37.384999999999998</v>
      </c>
      <c r="J157" s="20">
        <v>41.6</v>
      </c>
      <c r="K157" s="20">
        <v>47.993000000000002</v>
      </c>
    </row>
    <row r="158" spans="2:11" x14ac:dyDescent="0.25">
      <c r="B158" s="2" t="s">
        <v>123</v>
      </c>
      <c r="C158" s="2">
        <v>0.15</v>
      </c>
      <c r="D158" s="2"/>
      <c r="E158" s="20">
        <v>97.418617999999995</v>
      </c>
      <c r="F158" s="20">
        <v>104.22774099999999</v>
      </c>
      <c r="G158" s="20">
        <v>109.727391</v>
      </c>
      <c r="H158" s="20">
        <v>124.39</v>
      </c>
      <c r="I158" s="20">
        <v>132.316</v>
      </c>
      <c r="J158" s="20">
        <v>157.875</v>
      </c>
      <c r="K158" s="20">
        <v>201.422</v>
      </c>
    </row>
    <row r="159" spans="2:11" x14ac:dyDescent="0.25">
      <c r="B159" s="2"/>
      <c r="C159" s="2"/>
      <c r="D159" s="2"/>
      <c r="E159" s="2"/>
      <c r="F159" s="2"/>
      <c r="G159" s="2"/>
      <c r="H159" s="2"/>
      <c r="I159" s="30"/>
      <c r="J159" s="2"/>
    </row>
    <row r="160" spans="2:11" hidden="1" x14ac:dyDescent="0.25">
      <c r="B160" s="28" t="s">
        <v>124</v>
      </c>
      <c r="C160" s="28" t="s">
        <v>125</v>
      </c>
      <c r="D160" s="2"/>
      <c r="E160" s="2"/>
      <c r="F160" s="2"/>
      <c r="G160" s="2"/>
      <c r="H160" s="2"/>
      <c r="I160" s="2"/>
    </row>
    <row r="161" spans="2:9" hidden="1" x14ac:dyDescent="0.25">
      <c r="B161" s="28" t="s">
        <v>96</v>
      </c>
      <c r="C161" s="2"/>
      <c r="D161" s="2"/>
      <c r="E161" s="2"/>
      <c r="F161" s="2"/>
      <c r="G161" s="2"/>
      <c r="H161" s="2"/>
      <c r="I161" s="2"/>
    </row>
    <row r="162" spans="2:9" hidden="1" x14ac:dyDescent="0.25">
      <c r="B162" s="2" t="s">
        <v>97</v>
      </c>
      <c r="C162" s="2"/>
      <c r="D162" s="2"/>
      <c r="E162" s="5"/>
      <c r="F162" s="20">
        <v>0</v>
      </c>
      <c r="G162" s="20">
        <v>0</v>
      </c>
      <c r="H162" s="20">
        <v>0</v>
      </c>
      <c r="I162" s="20"/>
    </row>
    <row r="163" spans="2:9" hidden="1" x14ac:dyDescent="0.25">
      <c r="B163" s="2" t="s">
        <v>98</v>
      </c>
      <c r="C163" s="31"/>
      <c r="D163" s="2"/>
      <c r="E163" s="5"/>
      <c r="F163" s="20">
        <v>90.358487999999994</v>
      </c>
      <c r="G163" s="20">
        <v>92.698339000000004</v>
      </c>
      <c r="H163" s="20">
        <v>95.037999999999997</v>
      </c>
      <c r="I163" s="20"/>
    </row>
    <row r="164" spans="2:9" hidden="1" x14ac:dyDescent="0.25">
      <c r="B164" s="2" t="s">
        <v>99</v>
      </c>
      <c r="C164" s="31"/>
      <c r="D164" s="2"/>
      <c r="E164" s="5"/>
      <c r="F164" s="20">
        <v>3451.9568920000002</v>
      </c>
      <c r="G164" s="20">
        <v>4043.8833650000001</v>
      </c>
      <c r="H164" s="20">
        <v>4635.82</v>
      </c>
      <c r="I164" s="20"/>
    </row>
    <row r="165" spans="2:9" hidden="1" x14ac:dyDescent="0.25">
      <c r="B165" s="2" t="s">
        <v>100</v>
      </c>
      <c r="C165" s="31"/>
      <c r="D165" s="2"/>
      <c r="E165" s="5"/>
      <c r="F165" s="20">
        <v>235.56716900000001</v>
      </c>
      <c r="G165" s="20">
        <v>236.137169</v>
      </c>
      <c r="H165" s="20">
        <v>243.63</v>
      </c>
      <c r="I165" s="20"/>
    </row>
    <row r="166" spans="2:9" hidden="1" x14ac:dyDescent="0.25">
      <c r="B166" s="2" t="s">
        <v>101</v>
      </c>
      <c r="C166" s="31"/>
      <c r="D166" s="2"/>
      <c r="E166" s="5"/>
      <c r="F166" s="20">
        <v>10.635429999999999</v>
      </c>
      <c r="G166" s="20">
        <v>10.635429999999999</v>
      </c>
      <c r="H166" s="20">
        <v>10.635429999999999</v>
      </c>
      <c r="I166" s="20"/>
    </row>
    <row r="167" spans="2:9" hidden="1" x14ac:dyDescent="0.25">
      <c r="B167" s="2" t="s">
        <v>102</v>
      </c>
      <c r="C167" s="31"/>
      <c r="D167" s="2"/>
      <c r="E167" s="5"/>
      <c r="F167" s="20">
        <v>185.94909200000001</v>
      </c>
      <c r="G167" s="20">
        <v>189.870003</v>
      </c>
      <c r="H167" s="20">
        <v>193.79</v>
      </c>
      <c r="I167" s="20"/>
    </row>
    <row r="168" spans="2:9" hidden="1" x14ac:dyDescent="0.25">
      <c r="B168" s="2" t="s">
        <v>103</v>
      </c>
      <c r="C168" s="31"/>
      <c r="D168" s="2"/>
      <c r="E168" s="5"/>
      <c r="F168" s="20">
        <v>19.015097000000001</v>
      </c>
      <c r="G168" s="20">
        <v>19.431228999999998</v>
      </c>
      <c r="H168" s="20">
        <v>19.847000000000001</v>
      </c>
      <c r="I168" s="20"/>
    </row>
    <row r="169" spans="2:9" hidden="1" x14ac:dyDescent="0.25">
      <c r="B169" s="2" t="s">
        <v>104</v>
      </c>
      <c r="C169" s="31"/>
      <c r="D169" s="2"/>
      <c r="E169" s="5"/>
      <c r="F169" s="20">
        <v>1892.2937320000001</v>
      </c>
      <c r="G169" s="20">
        <v>1983.5727919999999</v>
      </c>
      <c r="H169" s="20">
        <v>2075.0450000000001</v>
      </c>
      <c r="I169" s="20"/>
    </row>
    <row r="170" spans="2:9" hidden="1" x14ac:dyDescent="0.25">
      <c r="B170" s="2" t="s">
        <v>105</v>
      </c>
      <c r="C170" s="31"/>
      <c r="D170" s="2"/>
      <c r="E170" s="5"/>
      <c r="F170" s="20">
        <v>309.360252</v>
      </c>
      <c r="G170" s="20">
        <v>349.55946</v>
      </c>
      <c r="H170" s="20">
        <v>389.78899999999999</v>
      </c>
      <c r="I170" s="20"/>
    </row>
    <row r="171" spans="2:9" hidden="1" x14ac:dyDescent="0.25">
      <c r="B171" s="2" t="s">
        <v>106</v>
      </c>
      <c r="C171" s="31"/>
      <c r="D171" s="2"/>
      <c r="E171" s="5"/>
      <c r="F171" s="20">
        <v>1670.265533</v>
      </c>
      <c r="G171" s="20">
        <v>1811.541162</v>
      </c>
      <c r="H171" s="20">
        <v>1952.816</v>
      </c>
      <c r="I171" s="20"/>
    </row>
    <row r="172" spans="2:9" hidden="1" x14ac:dyDescent="0.25">
      <c r="B172" s="2" t="s">
        <v>107</v>
      </c>
      <c r="C172" s="31"/>
      <c r="D172" s="2"/>
      <c r="E172" s="5"/>
      <c r="F172" s="20">
        <v>98.68441</v>
      </c>
      <c r="G172" s="20">
        <v>296.05322999999999</v>
      </c>
      <c r="H172" s="20">
        <v>493.45699999999999</v>
      </c>
      <c r="I172" s="20"/>
    </row>
    <row r="173" spans="2:9" hidden="1" x14ac:dyDescent="0.25">
      <c r="B173" s="2" t="s">
        <v>108</v>
      </c>
      <c r="C173" s="31"/>
      <c r="D173" s="2"/>
      <c r="E173" s="5"/>
      <c r="F173" s="20">
        <v>64.201307</v>
      </c>
      <c r="G173" s="20">
        <v>64.201307</v>
      </c>
      <c r="H173" s="20">
        <v>64.201307</v>
      </c>
      <c r="I173" s="20"/>
    </row>
    <row r="174" spans="2:9" hidden="1" x14ac:dyDescent="0.25">
      <c r="B174" s="2" t="s">
        <v>109</v>
      </c>
      <c r="C174" s="31"/>
      <c r="D174" s="2"/>
      <c r="E174" s="5"/>
      <c r="F174" s="20">
        <v>236.95696799999999</v>
      </c>
      <c r="G174" s="20">
        <v>236.95696799999999</v>
      </c>
      <c r="H174" s="20">
        <v>236.95696799999999</v>
      </c>
      <c r="I174" s="20"/>
    </row>
    <row r="175" spans="2:9" hidden="1" x14ac:dyDescent="0.25">
      <c r="B175" s="2"/>
      <c r="C175" s="2"/>
      <c r="D175" s="2"/>
      <c r="E175" s="2"/>
      <c r="F175" s="30"/>
      <c r="G175" s="2"/>
      <c r="H175" s="2"/>
      <c r="I175" s="2"/>
    </row>
    <row r="176" spans="2:9" hidden="1" x14ac:dyDescent="0.25">
      <c r="B176" s="28" t="s">
        <v>57</v>
      </c>
      <c r="C176" s="2"/>
      <c r="D176" s="2"/>
      <c r="E176" s="2"/>
      <c r="F176" s="30"/>
      <c r="G176" s="2"/>
      <c r="H176" s="2"/>
      <c r="I176" s="2"/>
    </row>
    <row r="177" spans="2:9" hidden="1" x14ac:dyDescent="0.25">
      <c r="B177" s="2" t="s">
        <v>97</v>
      </c>
      <c r="C177" s="31"/>
      <c r="D177" s="2"/>
      <c r="E177" s="5"/>
      <c r="F177" s="20">
        <v>0</v>
      </c>
      <c r="G177" s="20">
        <v>0</v>
      </c>
      <c r="H177" s="20">
        <v>0</v>
      </c>
      <c r="I177" s="20"/>
    </row>
    <row r="178" spans="2:9" hidden="1" x14ac:dyDescent="0.25">
      <c r="B178" s="2" t="s">
        <v>98</v>
      </c>
      <c r="C178" s="31"/>
      <c r="D178" s="2"/>
      <c r="E178" s="5"/>
      <c r="F178" s="20">
        <v>25.550768000000001</v>
      </c>
      <c r="G178" s="20">
        <v>26.257999999999999</v>
      </c>
      <c r="H178" s="20">
        <v>26.96</v>
      </c>
      <c r="I178" s="20"/>
    </row>
    <row r="179" spans="2:9" hidden="1" x14ac:dyDescent="0.25">
      <c r="B179" s="2" t="s">
        <v>110</v>
      </c>
      <c r="C179" s="31"/>
      <c r="D179" s="2"/>
      <c r="E179" s="5"/>
      <c r="F179" s="20">
        <v>749.80941700000005</v>
      </c>
      <c r="G179" s="20">
        <v>749.80941700000005</v>
      </c>
      <c r="H179" s="20">
        <v>749.80941700000005</v>
      </c>
      <c r="I179" s="20"/>
    </row>
    <row r="180" spans="2:9" hidden="1" x14ac:dyDescent="0.25">
      <c r="B180" s="2" t="s">
        <v>103</v>
      </c>
      <c r="C180" s="31"/>
      <c r="D180" s="2"/>
      <c r="E180" s="5"/>
      <c r="F180" s="20">
        <v>4.2536769999999997</v>
      </c>
      <c r="G180" s="20">
        <v>4.5278520000000002</v>
      </c>
      <c r="H180" s="20">
        <v>4.8019999999999996</v>
      </c>
      <c r="I180" s="20"/>
    </row>
    <row r="181" spans="2:9" hidden="1" x14ac:dyDescent="0.25">
      <c r="B181" s="2" t="s">
        <v>111</v>
      </c>
      <c r="C181" s="31"/>
      <c r="D181" s="2"/>
      <c r="E181" s="5"/>
      <c r="F181" s="20">
        <v>736.86407899999995</v>
      </c>
      <c r="G181" s="20">
        <v>767.052278</v>
      </c>
      <c r="H181" s="20">
        <f>797.24+8.626</f>
        <v>805.86599999999999</v>
      </c>
      <c r="I181" s="20"/>
    </row>
    <row r="182" spans="2:9" hidden="1" x14ac:dyDescent="0.25">
      <c r="B182" s="2" t="s">
        <v>112</v>
      </c>
      <c r="C182" s="31"/>
      <c r="D182" s="2"/>
      <c r="E182" s="5"/>
      <c r="F182" s="20">
        <v>468.61406699999998</v>
      </c>
      <c r="G182" s="20">
        <v>501.89278400000001</v>
      </c>
      <c r="H182" s="20">
        <v>535.17100000000005</v>
      </c>
      <c r="I182" s="20"/>
    </row>
    <row r="183" spans="2:9" hidden="1" x14ac:dyDescent="0.25">
      <c r="B183" s="2" t="s">
        <v>113</v>
      </c>
      <c r="C183" s="31"/>
      <c r="D183" s="2"/>
      <c r="E183" s="5"/>
      <c r="F183" s="20">
        <v>283.03047099999998</v>
      </c>
      <c r="G183" s="20">
        <v>377.45010300000001</v>
      </c>
      <c r="H183" s="20">
        <v>471.86900000000003</v>
      </c>
      <c r="I183" s="20"/>
    </row>
    <row r="184" spans="2:9" hidden="1" x14ac:dyDescent="0.25">
      <c r="B184" s="2" t="s">
        <v>114</v>
      </c>
      <c r="C184" s="31"/>
      <c r="D184" s="2"/>
      <c r="E184" s="5"/>
      <c r="F184" s="20">
        <v>672.79276400000003</v>
      </c>
      <c r="G184" s="20">
        <v>711.27769599999999</v>
      </c>
      <c r="H184" s="20">
        <v>749.76199999999994</v>
      </c>
      <c r="I184" s="20"/>
    </row>
    <row r="185" spans="2:9" hidden="1" x14ac:dyDescent="0.25">
      <c r="B185" s="2" t="s">
        <v>115</v>
      </c>
      <c r="C185" s="31"/>
      <c r="D185" s="2"/>
      <c r="E185" s="5"/>
      <c r="F185" s="20">
        <v>17.537524000000001</v>
      </c>
      <c r="G185" s="20">
        <v>18.04691</v>
      </c>
      <c r="H185" s="20">
        <v>18.556296</v>
      </c>
      <c r="I185" s="20"/>
    </row>
    <row r="186" spans="2:9" hidden="1" x14ac:dyDescent="0.25">
      <c r="B186" s="2" t="s">
        <v>116</v>
      </c>
      <c r="C186" s="31"/>
      <c r="D186" s="2"/>
      <c r="E186" s="5"/>
      <c r="F186" s="20">
        <v>21.946106</v>
      </c>
      <c r="G186" s="20">
        <v>21.946106</v>
      </c>
      <c r="H186" s="20">
        <v>21.946106</v>
      </c>
      <c r="I186" s="20"/>
    </row>
    <row r="187" spans="2:9" hidden="1" x14ac:dyDescent="0.25">
      <c r="B187" s="2"/>
      <c r="C187" s="2"/>
      <c r="D187" s="2"/>
      <c r="E187" s="2"/>
      <c r="F187" s="30"/>
      <c r="G187" s="2"/>
      <c r="H187" s="2"/>
      <c r="I187" s="2"/>
    </row>
    <row r="188" spans="2:9" hidden="1" x14ac:dyDescent="0.25">
      <c r="B188" s="28" t="s">
        <v>117</v>
      </c>
      <c r="C188" s="2"/>
      <c r="D188" s="2"/>
      <c r="E188" s="2"/>
      <c r="F188" s="30"/>
      <c r="G188" s="2"/>
      <c r="H188" s="2"/>
      <c r="I188" s="2"/>
    </row>
    <row r="189" spans="2:9" hidden="1" x14ac:dyDescent="0.25">
      <c r="B189" s="2" t="s">
        <v>97</v>
      </c>
      <c r="C189" s="31"/>
      <c r="D189" s="2"/>
      <c r="E189" s="5"/>
      <c r="F189" s="20">
        <v>0</v>
      </c>
      <c r="G189" s="20">
        <v>0</v>
      </c>
      <c r="H189" s="20">
        <v>0</v>
      </c>
      <c r="I189" s="20"/>
    </row>
    <row r="190" spans="2:9" hidden="1" x14ac:dyDescent="0.25">
      <c r="B190" s="2" t="s">
        <v>98</v>
      </c>
      <c r="C190" s="31"/>
      <c r="D190" s="2"/>
      <c r="E190" s="5"/>
      <c r="F190" s="20">
        <v>282.98576600000001</v>
      </c>
      <c r="G190" s="20">
        <v>313.53614299999998</v>
      </c>
      <c r="H190" s="20">
        <v>344.71082899999999</v>
      </c>
      <c r="I190" s="20"/>
    </row>
    <row r="191" spans="2:9" hidden="1" x14ac:dyDescent="0.25">
      <c r="B191" s="2" t="s">
        <v>118</v>
      </c>
      <c r="C191" s="31"/>
      <c r="D191" s="2"/>
      <c r="E191" s="5"/>
      <c r="F191" s="20">
        <v>85.106900999999993</v>
      </c>
      <c r="G191" s="20">
        <v>97.309440000000009</v>
      </c>
      <c r="H191" s="20">
        <f>107.796+4.44</f>
        <v>112.236</v>
      </c>
      <c r="I191" s="20"/>
    </row>
    <row r="192" spans="2:9" hidden="1" x14ac:dyDescent="0.25">
      <c r="B192" s="2" t="s">
        <v>119</v>
      </c>
      <c r="C192" s="31"/>
      <c r="D192" s="2"/>
      <c r="E192" s="5"/>
      <c r="F192" s="20">
        <v>525.724423</v>
      </c>
      <c r="G192" s="20">
        <v>544.62073899999996</v>
      </c>
      <c r="H192" s="20">
        <v>596.58900000000006</v>
      </c>
      <c r="I192" s="20"/>
    </row>
    <row r="193" spans="2:9" hidden="1" x14ac:dyDescent="0.25">
      <c r="B193" s="2" t="s">
        <v>103</v>
      </c>
      <c r="C193" s="31"/>
      <c r="D193" s="2"/>
      <c r="E193" s="5"/>
      <c r="F193" s="20">
        <v>10.302144</v>
      </c>
      <c r="G193" s="20">
        <v>12.193267000000001</v>
      </c>
      <c r="H193" s="20">
        <v>15.065</v>
      </c>
      <c r="I193" s="20"/>
    </row>
    <row r="194" spans="2:9" hidden="1" x14ac:dyDescent="0.25">
      <c r="B194" s="2" t="s">
        <v>120</v>
      </c>
      <c r="C194" s="31"/>
      <c r="D194" s="2"/>
      <c r="E194" s="5"/>
      <c r="F194" s="20">
        <v>485.74996800000002</v>
      </c>
      <c r="G194" s="20">
        <v>611.409897</v>
      </c>
      <c r="H194" s="20">
        <v>737.11300000000006</v>
      </c>
      <c r="I194" s="20"/>
    </row>
    <row r="195" spans="2:9" hidden="1" x14ac:dyDescent="0.25">
      <c r="B195" s="2" t="s">
        <v>121</v>
      </c>
      <c r="C195" s="31"/>
      <c r="D195" s="2"/>
      <c r="E195" s="5"/>
      <c r="F195" s="20">
        <v>17.631093</v>
      </c>
      <c r="G195" s="20">
        <v>22.668548000000001</v>
      </c>
      <c r="H195" s="20">
        <v>27.776</v>
      </c>
      <c r="I195" s="20"/>
    </row>
    <row r="196" spans="2:9" hidden="1" x14ac:dyDescent="0.25">
      <c r="B196" s="2" t="s">
        <v>122</v>
      </c>
      <c r="C196" s="31"/>
      <c r="D196" s="2"/>
      <c r="E196" s="5"/>
      <c r="F196" s="20">
        <v>25.695793999999999</v>
      </c>
      <c r="G196" s="20">
        <v>26.932946000000001</v>
      </c>
      <c r="H196" s="20">
        <v>28.18</v>
      </c>
      <c r="I196" s="20"/>
    </row>
    <row r="197" spans="2:9" hidden="1" x14ac:dyDescent="0.25">
      <c r="B197" s="2" t="s">
        <v>123</v>
      </c>
      <c r="C197" s="31"/>
      <c r="D197" s="2"/>
      <c r="E197" s="5"/>
      <c r="F197" s="20">
        <v>76.707357000000002</v>
      </c>
      <c r="G197" s="20">
        <v>92.753991999999997</v>
      </c>
      <c r="H197" s="20">
        <v>110.312</v>
      </c>
      <c r="I197" s="20"/>
    </row>
  </sheetData>
  <mergeCells count="5">
    <mergeCell ref="A5:A11"/>
    <mergeCell ref="A12:A17"/>
    <mergeCell ref="A18:A24"/>
    <mergeCell ref="A25:A27"/>
    <mergeCell ref="A28:A32"/>
  </mergeCells>
  <phoneticPr fontId="15" type="noConversion"/>
  <conditionalFormatting sqref="F118:H144 E109:H117 E18:H28 E33:H97 E5:H12">
    <cfRule type="expression" dxfId="34" priority="43">
      <formula>E$6="Projections"</formula>
    </cfRule>
  </conditionalFormatting>
  <conditionalFormatting sqref="E98:H107">
    <cfRule type="expression" dxfId="33" priority="42">
      <formula>E$6="Projections"</formula>
    </cfRule>
  </conditionalFormatting>
  <conditionalFormatting sqref="E108:H108">
    <cfRule type="expression" dxfId="32" priority="41">
      <formula>E$6="Projections"</formula>
    </cfRule>
  </conditionalFormatting>
  <conditionalFormatting sqref="E118:E144">
    <cfRule type="expression" dxfId="31" priority="40">
      <formula>E$6="Projections"</formula>
    </cfRule>
  </conditionalFormatting>
  <conditionalFormatting sqref="I109 I18:I28 I33:I39 I7:I12 I41:I62 I65:I69 I71:I95 I97 I111:I117 I119:I130 I135:I144 I132:I133">
    <cfRule type="expression" dxfId="30" priority="39">
      <formula>I$6="Projections"</formula>
    </cfRule>
  </conditionalFormatting>
  <conditionalFormatting sqref="I98 I100:I107">
    <cfRule type="expression" dxfId="29" priority="38">
      <formula>I$6="Projections"</formula>
    </cfRule>
  </conditionalFormatting>
  <conditionalFormatting sqref="I108">
    <cfRule type="expression" dxfId="28" priority="37">
      <formula>I$6="Projections"</formula>
    </cfRule>
  </conditionalFormatting>
  <conditionalFormatting sqref="I40">
    <cfRule type="expression" dxfId="27" priority="36">
      <formula>I$6="Projections"</formula>
    </cfRule>
  </conditionalFormatting>
  <conditionalFormatting sqref="I64">
    <cfRule type="expression" dxfId="26" priority="35">
      <formula>I$6="Projections"</formula>
    </cfRule>
  </conditionalFormatting>
  <conditionalFormatting sqref="I63">
    <cfRule type="expression" dxfId="25" priority="34">
      <formula>I$6="Projections"</formula>
    </cfRule>
  </conditionalFormatting>
  <conditionalFormatting sqref="I70">
    <cfRule type="expression" dxfId="24" priority="33">
      <formula>I$6="Projections"</formula>
    </cfRule>
  </conditionalFormatting>
  <conditionalFormatting sqref="I99">
    <cfRule type="expression" dxfId="23" priority="32">
      <formula>I$6="Projections"</formula>
    </cfRule>
  </conditionalFormatting>
  <conditionalFormatting sqref="I96">
    <cfRule type="expression" dxfId="22" priority="31">
      <formula>I$6="Projections"</formula>
    </cfRule>
  </conditionalFormatting>
  <conditionalFormatting sqref="I110">
    <cfRule type="expression" dxfId="21" priority="30">
      <formula>I$6="Projections"</formula>
    </cfRule>
  </conditionalFormatting>
  <conditionalFormatting sqref="I118">
    <cfRule type="expression" dxfId="20" priority="28">
      <formula>I$6="Projections"</formula>
    </cfRule>
  </conditionalFormatting>
  <conditionalFormatting sqref="I134">
    <cfRule type="expression" dxfId="19" priority="27">
      <formula>I$6="Projections"</formula>
    </cfRule>
  </conditionalFormatting>
  <conditionalFormatting sqref="J109 J18:J28 J33:J39 J7:J12 J41:J62 J71 J97 J111:J117 J119:J133 J135 J65:J69 J73:J95 J140:J144 J137 K69 K65:K66 K123">
    <cfRule type="expression" dxfId="18" priority="26">
      <formula>J$6="Projections"</formula>
    </cfRule>
  </conditionalFormatting>
  <conditionalFormatting sqref="J98 J100:J107">
    <cfRule type="expression" dxfId="17" priority="25">
      <formula>J$6="Projections"</formula>
    </cfRule>
  </conditionalFormatting>
  <conditionalFormatting sqref="J108">
    <cfRule type="expression" dxfId="16" priority="24">
      <formula>J$6="Projections"</formula>
    </cfRule>
  </conditionalFormatting>
  <conditionalFormatting sqref="J40">
    <cfRule type="expression" dxfId="15" priority="23">
      <formula>J$6="Projections"</formula>
    </cfRule>
  </conditionalFormatting>
  <conditionalFormatting sqref="J118">
    <cfRule type="expression" dxfId="14" priority="16">
      <formula>J$6="Projections"</formula>
    </cfRule>
  </conditionalFormatting>
  <conditionalFormatting sqref="J63:K63">
    <cfRule type="expression" dxfId="13" priority="14">
      <formula>J$6="Projections"</formula>
    </cfRule>
  </conditionalFormatting>
  <conditionalFormatting sqref="J64:K64">
    <cfRule type="expression" dxfId="12" priority="13">
      <formula>J$6="Projections"</formula>
    </cfRule>
  </conditionalFormatting>
  <conditionalFormatting sqref="J70:K70">
    <cfRule type="expression" dxfId="11" priority="12">
      <formula>J$6="Projections"</formula>
    </cfRule>
  </conditionalFormatting>
  <conditionalFormatting sqref="J72">
    <cfRule type="expression" dxfId="10" priority="11">
      <formula>J$6="Projections"</formula>
    </cfRule>
  </conditionalFormatting>
  <conditionalFormatting sqref="J96:K96">
    <cfRule type="expression" dxfId="9" priority="10">
      <formula>J$6="Projections"</formula>
    </cfRule>
  </conditionalFormatting>
  <conditionalFormatting sqref="J99:K99">
    <cfRule type="expression" dxfId="8" priority="9">
      <formula>J$6="Projections"</formula>
    </cfRule>
  </conditionalFormatting>
  <conditionalFormatting sqref="J110:K110">
    <cfRule type="expression" dxfId="7" priority="8">
      <formula>J$6="Projections"</formula>
    </cfRule>
  </conditionalFormatting>
  <conditionalFormatting sqref="I131">
    <cfRule type="expression" dxfId="6" priority="7">
      <formula>I$6="Projections"</formula>
    </cfRule>
  </conditionalFormatting>
  <conditionalFormatting sqref="J134">
    <cfRule type="expression" dxfId="5" priority="6">
      <formula>J$6="Projections"</formula>
    </cfRule>
  </conditionalFormatting>
  <conditionalFormatting sqref="J139">
    <cfRule type="expression" dxfId="4" priority="5">
      <formula>J$6="Projections"</formula>
    </cfRule>
  </conditionalFormatting>
  <conditionalFormatting sqref="J138">
    <cfRule type="expression" dxfId="3" priority="4">
      <formula>J$6="Projections"</formula>
    </cfRule>
  </conditionalFormatting>
  <conditionalFormatting sqref="J136">
    <cfRule type="expression" dxfId="2" priority="3">
      <formula>J$6="Projections"</formula>
    </cfRule>
  </conditionalFormatting>
  <conditionalFormatting sqref="K43">
    <cfRule type="expression" dxfId="1" priority="2">
      <formula>K$6="Projections"</formula>
    </cfRule>
  </conditionalFormatting>
  <conditionalFormatting sqref="K131">
    <cfRule type="expression" dxfId="0" priority="1">
      <formula>K$6="Projections"</formula>
    </cfRule>
  </conditionalFormatting>
  <pageMargins left="0.25" right="0.25" top="0.75" bottom="0.75" header="0.3" footer="0.3"/>
  <pageSetup scale="77" fitToHeight="7" orientation="landscape" r:id="rId1"/>
  <rowBreaks count="3" manualBreakCount="3">
    <brk id="44" max="10" man="1"/>
    <brk id="87" max="10" man="1"/>
    <brk id="1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G17" sqref="G17"/>
    </sheetView>
  </sheetViews>
  <sheetFormatPr defaultRowHeight="15" x14ac:dyDescent="0.25"/>
  <cols>
    <col min="2" max="2" width="26.85546875" customWidth="1"/>
    <col min="3" max="3" width="17.42578125" customWidth="1"/>
  </cols>
  <sheetData>
    <row r="2" spans="2:5" x14ac:dyDescent="0.25">
      <c r="B2" t="s">
        <v>153</v>
      </c>
      <c r="C2" s="56" t="s">
        <v>158</v>
      </c>
    </row>
    <row r="4" spans="2:5" x14ac:dyDescent="0.25">
      <c r="B4" t="s">
        <v>169</v>
      </c>
      <c r="C4" s="57" t="s">
        <v>168</v>
      </c>
    </row>
    <row r="6" spans="2:5" x14ac:dyDescent="0.25">
      <c r="B6" t="s">
        <v>170</v>
      </c>
      <c r="C6" s="57" t="s">
        <v>171</v>
      </c>
      <c r="D6" t="str">
        <f>CONCATENATE(C4,"\",C6)</f>
        <v>C:\Users\sreepradhaacv\Desktop\Work\Project\DWASA\AFD_ModelHandover\Inputs\Source\Fin data\FS of DWASA 2018-19.xls</v>
      </c>
    </row>
    <row r="7" spans="2:5" x14ac:dyDescent="0.25">
      <c r="D7" t="s">
        <v>172</v>
      </c>
      <c r="E7" t="s">
        <v>173</v>
      </c>
    </row>
    <row r="8" spans="2:5" x14ac:dyDescent="0.25">
      <c r="B8" s="1" t="s">
        <v>0</v>
      </c>
    </row>
    <row r="10" spans="2:5" x14ac:dyDescent="0.25">
      <c r="B10" s="1" t="s">
        <v>8</v>
      </c>
    </row>
    <row r="12" spans="2:5" x14ac:dyDescent="0.25">
      <c r="B12" s="1" t="s">
        <v>13</v>
      </c>
    </row>
    <row r="14" spans="2:5" x14ac:dyDescent="0.25">
      <c r="B14" s="1" t="s">
        <v>20</v>
      </c>
    </row>
    <row r="16" spans="2:5" x14ac:dyDescent="0.25">
      <c r="B16" s="1" t="s">
        <v>22</v>
      </c>
    </row>
    <row r="17" spans="2:5" x14ac:dyDescent="0.25">
      <c r="D17" t="s">
        <v>27</v>
      </c>
      <c r="E17" t="s">
        <v>174</v>
      </c>
    </row>
    <row r="18" spans="2:5" x14ac:dyDescent="0.25">
      <c r="B18" s="16" t="s">
        <v>26</v>
      </c>
      <c r="D18" t="e">
        <f>MATCH(D17,[1]SFP!$A$1:$I$65536,0)</f>
        <v>#N/A</v>
      </c>
    </row>
    <row r="20" spans="2:5" x14ac:dyDescent="0.25">
      <c r="B20" s="16" t="s">
        <v>48</v>
      </c>
    </row>
    <row r="22" spans="2:5" x14ac:dyDescent="0.25">
      <c r="B22" s="58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Historical!$E$3:$R$3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 Assumptions</vt:lpstr>
      <vt:lpstr>Historical</vt:lpstr>
      <vt:lpstr>Interface</vt:lpstr>
      <vt:lpstr>Historical!Print_Area</vt:lpstr>
      <vt:lpstr>Historical!Print_Titles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</dc:creator>
  <cp:lastModifiedBy>Windows User</cp:lastModifiedBy>
  <cp:lastPrinted>2022-04-12T04:24:08Z</cp:lastPrinted>
  <dcterms:created xsi:type="dcterms:W3CDTF">2020-12-09T08:30:37Z</dcterms:created>
  <dcterms:modified xsi:type="dcterms:W3CDTF">2022-04-12T09:19:48Z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2022-01-18T04:36:45Z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2dec86ba-fac9-48bf-a1dc-c22003119c1f</vt:lpwstr>
  </property>
  <property fmtid="{D5CDD505-2E9C-101B-9397-08002B2CF9AE}" pid="8" name="MSIP_Label_ea60d57e-af5b-4752-ac57-3e4f28ca11dc_ContentBits">
    <vt:lpwstr>0</vt:lpwstr>
  </property>
</Properties>
</file>