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M\Documents\Project Portfolio\New folder (2)\"/>
    </mc:Choice>
  </mc:AlternateContent>
  <xr:revisionPtr revIDLastSave="0" documentId="8_{B2C3D0DE-415D-4F8E-9F93-512B870C669E}" xr6:coauthVersionLast="47" xr6:coauthVersionMax="47" xr10:uidLastSave="{00000000-0000-0000-0000-000000000000}"/>
  <bookViews>
    <workbookView xWindow="-120" yWindow="-120" windowWidth="38640" windowHeight="21240" xr2:uid="{BCF57B21-E956-458E-95F8-FF82962042D0}"/>
  </bookViews>
  <sheets>
    <sheet name="Sheet1" sheetId="1" r:id="rId1"/>
    <sheet name="Scenario Summary" sheetId="3" r:id="rId2"/>
    <sheet name="Sheet2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Y">1000</definedName>
    <definedName name="IQ_LTM">2000</definedName>
    <definedName name="IQ_MONTH">15000</definedName>
    <definedName name="IQ_NTM">6000</definedName>
    <definedName name="IQ_WEEK">50000</definedName>
    <definedName name="IQ_YTD">3000</definedName>
  </definedName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7" i="1" l="1"/>
  <c r="I87" i="1"/>
  <c r="H87" i="1"/>
  <c r="G87" i="1"/>
  <c r="F87" i="1"/>
  <c r="E87" i="1"/>
  <c r="D87" i="1"/>
  <c r="J86" i="1"/>
  <c r="I86" i="1"/>
  <c r="H86" i="1"/>
  <c r="G86" i="1"/>
  <c r="F86" i="1"/>
  <c r="E86" i="1"/>
  <c r="D86" i="1"/>
  <c r="C17" i="2"/>
  <c r="C3" i="2"/>
  <c r="E64" i="1"/>
  <c r="F64" i="1"/>
  <c r="G64" i="1"/>
  <c r="H64" i="1"/>
  <c r="I64" i="1"/>
  <c r="J64" i="1"/>
  <c r="D64" i="1"/>
  <c r="E83" i="1"/>
  <c r="F83" i="1"/>
  <c r="G83" i="1"/>
  <c r="H83" i="1"/>
  <c r="I83" i="1"/>
  <c r="J83" i="1"/>
  <c r="D83" i="1"/>
  <c r="E82" i="1"/>
  <c r="F82" i="1"/>
  <c r="G82" i="1"/>
  <c r="H82" i="1"/>
  <c r="I82" i="1"/>
  <c r="J82" i="1"/>
  <c r="D82" i="1"/>
  <c r="E81" i="1"/>
  <c r="F81" i="1"/>
  <c r="G81" i="1"/>
  <c r="H81" i="1"/>
  <c r="I81" i="1"/>
  <c r="J81" i="1"/>
  <c r="D81" i="1"/>
  <c r="E80" i="1"/>
  <c r="F80" i="1"/>
  <c r="G80" i="1"/>
  <c r="H80" i="1"/>
  <c r="I80" i="1"/>
  <c r="J80" i="1"/>
  <c r="D80" i="1"/>
  <c r="E78" i="1"/>
  <c r="F78" i="1"/>
  <c r="G78" i="1"/>
  <c r="H78" i="1"/>
  <c r="I78" i="1"/>
  <c r="J78" i="1"/>
  <c r="D78" i="1"/>
  <c r="E77" i="1"/>
  <c r="F77" i="1"/>
  <c r="G77" i="1"/>
  <c r="H77" i="1"/>
  <c r="I77" i="1"/>
  <c r="J77" i="1"/>
  <c r="D77" i="1"/>
  <c r="E76" i="1"/>
  <c r="F76" i="1"/>
  <c r="G76" i="1"/>
  <c r="H76" i="1"/>
  <c r="I76" i="1"/>
  <c r="J76" i="1"/>
  <c r="D76" i="1"/>
  <c r="H15" i="1"/>
  <c r="E73" i="1"/>
  <c r="D73" i="1"/>
  <c r="I69" i="1"/>
  <c r="G71" i="1"/>
  <c r="H71" i="1"/>
  <c r="I71" i="1"/>
  <c r="J71" i="1"/>
  <c r="E72" i="1"/>
  <c r="E71" i="1"/>
  <c r="E70" i="1"/>
  <c r="E69" i="1"/>
  <c r="E68" i="1"/>
  <c r="D72" i="1"/>
  <c r="D71" i="1"/>
  <c r="D70" i="1"/>
  <c r="D69" i="1"/>
  <c r="D68" i="1"/>
  <c r="D60" i="1"/>
  <c r="D63" i="1" s="1"/>
  <c r="C58" i="1"/>
  <c r="E58" i="1"/>
  <c r="F58" i="1" s="1"/>
  <c r="B42" i="1"/>
  <c r="B28" i="1"/>
  <c r="B19" i="1"/>
  <c r="B6" i="1"/>
  <c r="E45" i="1"/>
  <c r="E53" i="1"/>
  <c r="D53" i="1"/>
  <c r="J51" i="1"/>
  <c r="I51" i="1"/>
  <c r="H51" i="1"/>
  <c r="G51" i="1"/>
  <c r="E51" i="1"/>
  <c r="D51" i="1"/>
  <c r="E50" i="1"/>
  <c r="D50" i="1"/>
  <c r="E48" i="1"/>
  <c r="D48" i="1"/>
  <c r="E46" i="1"/>
  <c r="D46" i="1"/>
  <c r="D45" i="1"/>
  <c r="G24" i="1"/>
  <c r="H24" i="1" s="1"/>
  <c r="I24" i="1" s="1"/>
  <c r="J24" i="1" s="1"/>
  <c r="E38" i="1"/>
  <c r="E36" i="1"/>
  <c r="E35" i="1"/>
  <c r="E33" i="1"/>
  <c r="E31" i="1"/>
  <c r="E30" i="1"/>
  <c r="D33" i="1"/>
  <c r="D35" i="1"/>
  <c r="D36" i="1"/>
  <c r="D38" i="1"/>
  <c r="D31" i="1"/>
  <c r="D30" i="1"/>
  <c r="F13" i="1"/>
  <c r="F51" i="1" s="1"/>
  <c r="F7" i="1"/>
  <c r="F30" i="1" s="1"/>
  <c r="H20" i="1"/>
  <c r="G21" i="1"/>
  <c r="H21" i="1" s="1"/>
  <c r="I21" i="1" s="1"/>
  <c r="J21" i="1" s="1"/>
  <c r="G22" i="1"/>
  <c r="H22" i="1" s="1"/>
  <c r="I22" i="1" s="1"/>
  <c r="J22" i="1" s="1"/>
  <c r="I10" i="1" s="1"/>
  <c r="G23" i="1"/>
  <c r="H23" i="1" s="1"/>
  <c r="I23" i="1" s="1"/>
  <c r="J23" i="1" s="1"/>
  <c r="G25" i="1"/>
  <c r="H25" i="1" s="1"/>
  <c r="I25" i="1" s="1"/>
  <c r="J25" i="1" s="1"/>
  <c r="I20" i="1"/>
  <c r="J20" i="1" s="1"/>
  <c r="G20" i="1"/>
  <c r="E21" i="1"/>
  <c r="E22" i="1"/>
  <c r="E23" i="1"/>
  <c r="E24" i="1"/>
  <c r="D24" i="1"/>
  <c r="D23" i="1"/>
  <c r="D22" i="1"/>
  <c r="D21" i="1"/>
  <c r="E20" i="1"/>
  <c r="E9" i="1"/>
  <c r="E11" i="1" s="1"/>
  <c r="E14" i="1" s="1"/>
  <c r="E16" i="1" s="1"/>
  <c r="E54" i="1" s="1"/>
  <c r="D9" i="1"/>
  <c r="D11" i="1" s="1"/>
  <c r="D14" i="1" s="1"/>
  <c r="D16" i="1" s="1"/>
  <c r="D54" i="1" s="1"/>
  <c r="E4" i="1"/>
  <c r="F4" i="1" s="1"/>
  <c r="G4" i="1" s="1"/>
  <c r="H4" i="1" s="1"/>
  <c r="I4" i="1" s="1"/>
  <c r="J4" i="1" s="1"/>
  <c r="C18" i="2" l="1"/>
  <c r="C19" i="2" s="1"/>
  <c r="F71" i="1"/>
  <c r="G58" i="1"/>
  <c r="H58" i="1" s="1"/>
  <c r="I58" i="1" s="1"/>
  <c r="F59" i="1"/>
  <c r="F60" i="1"/>
  <c r="E60" i="1"/>
  <c r="E63" i="1" s="1"/>
  <c r="D59" i="1"/>
  <c r="D62" i="1" s="1"/>
  <c r="E59" i="1"/>
  <c r="G59" i="1"/>
  <c r="G62" i="1" s="1"/>
  <c r="F62" i="1"/>
  <c r="H59" i="1"/>
  <c r="H62" i="1" s="1"/>
  <c r="E62" i="1"/>
  <c r="I60" i="1"/>
  <c r="I63" i="1" s="1"/>
  <c r="H60" i="1"/>
  <c r="H63" i="1" s="1"/>
  <c r="F63" i="1"/>
  <c r="G60" i="1"/>
  <c r="G63" i="1" s="1"/>
  <c r="E39" i="1"/>
  <c r="D39" i="1"/>
  <c r="E52" i="1"/>
  <c r="D37" i="1"/>
  <c r="D47" i="1"/>
  <c r="E47" i="1"/>
  <c r="D34" i="1"/>
  <c r="D32" i="1"/>
  <c r="D52" i="1"/>
  <c r="E32" i="1"/>
  <c r="D49" i="1"/>
  <c r="E49" i="1"/>
  <c r="E34" i="1"/>
  <c r="F36" i="1"/>
  <c r="E37" i="1"/>
  <c r="I48" i="1"/>
  <c r="J10" i="1"/>
  <c r="J69" i="1" s="1"/>
  <c r="F45" i="1"/>
  <c r="F10" i="1"/>
  <c r="F69" i="1" s="1"/>
  <c r="H10" i="1"/>
  <c r="H69" i="1" s="1"/>
  <c r="G10" i="1"/>
  <c r="G69" i="1" s="1"/>
  <c r="F8" i="1"/>
  <c r="F68" i="1" s="1"/>
  <c r="G7" i="1"/>
  <c r="H7" i="1" s="1"/>
  <c r="F12" i="1"/>
  <c r="F70" i="1" s="1"/>
  <c r="C23" i="2" l="1"/>
  <c r="C35" i="2"/>
  <c r="J58" i="1"/>
  <c r="I59" i="1"/>
  <c r="I62" i="1" s="1"/>
  <c r="G36" i="1"/>
  <c r="G30" i="1"/>
  <c r="G45" i="1"/>
  <c r="F48" i="1"/>
  <c r="F33" i="1"/>
  <c r="F9" i="1"/>
  <c r="F46" i="1"/>
  <c r="F31" i="1"/>
  <c r="H36" i="1"/>
  <c r="H30" i="1"/>
  <c r="H45" i="1"/>
  <c r="F50" i="1"/>
  <c r="F35" i="1"/>
  <c r="G48" i="1"/>
  <c r="G33" i="1"/>
  <c r="H48" i="1"/>
  <c r="H33" i="1"/>
  <c r="J48" i="1"/>
  <c r="G8" i="1"/>
  <c r="G68" i="1" s="1"/>
  <c r="G12" i="1"/>
  <c r="G70" i="1" s="1"/>
  <c r="I7" i="1"/>
  <c r="H8" i="1"/>
  <c r="H68" i="1" s="1"/>
  <c r="H12" i="1"/>
  <c r="H70" i="1" s="1"/>
  <c r="J60" i="1" l="1"/>
  <c r="J63" i="1" s="1"/>
  <c r="J59" i="1"/>
  <c r="J62" i="1" s="1"/>
  <c r="H9" i="1"/>
  <c r="H31" i="1"/>
  <c r="H46" i="1"/>
  <c r="F11" i="1"/>
  <c r="F47" i="1"/>
  <c r="F32" i="1"/>
  <c r="H50" i="1"/>
  <c r="H35" i="1"/>
  <c r="G9" i="1"/>
  <c r="G46" i="1"/>
  <c r="G31" i="1"/>
  <c r="I36" i="1"/>
  <c r="I30" i="1"/>
  <c r="I45" i="1"/>
  <c r="I33" i="1"/>
  <c r="G50" i="1"/>
  <c r="G35" i="1"/>
  <c r="J7" i="1"/>
  <c r="I12" i="1"/>
  <c r="I70" i="1" s="1"/>
  <c r="I8" i="1"/>
  <c r="I68" i="1" s="1"/>
  <c r="G11" i="1" l="1"/>
  <c r="G47" i="1"/>
  <c r="G32" i="1"/>
  <c r="I50" i="1"/>
  <c r="I35" i="1"/>
  <c r="J36" i="1"/>
  <c r="J30" i="1"/>
  <c r="J45" i="1"/>
  <c r="J33" i="1"/>
  <c r="I9" i="1"/>
  <c r="I46" i="1"/>
  <c r="I31" i="1"/>
  <c r="F34" i="1"/>
  <c r="F49" i="1"/>
  <c r="F14" i="1"/>
  <c r="H11" i="1"/>
  <c r="H47" i="1"/>
  <c r="H32" i="1"/>
  <c r="J8" i="1"/>
  <c r="J68" i="1" s="1"/>
  <c r="J9" i="1"/>
  <c r="J12" i="1"/>
  <c r="J70" i="1" s="1"/>
  <c r="H14" i="1" l="1"/>
  <c r="H34" i="1"/>
  <c r="H49" i="1"/>
  <c r="I11" i="1"/>
  <c r="I47" i="1"/>
  <c r="I32" i="1"/>
  <c r="J50" i="1"/>
  <c r="J35" i="1"/>
  <c r="F15" i="1"/>
  <c r="F72" i="1" s="1"/>
  <c r="F73" i="1" s="1"/>
  <c r="F52" i="1"/>
  <c r="F37" i="1"/>
  <c r="J11" i="1"/>
  <c r="J47" i="1"/>
  <c r="J32" i="1"/>
  <c r="J31" i="1"/>
  <c r="J46" i="1"/>
  <c r="G34" i="1"/>
  <c r="G49" i="1"/>
  <c r="G14" i="1"/>
  <c r="F16" i="1" l="1"/>
  <c r="F53" i="1"/>
  <c r="F38" i="1"/>
  <c r="I14" i="1"/>
  <c r="I49" i="1"/>
  <c r="I34" i="1"/>
  <c r="J49" i="1"/>
  <c r="J34" i="1"/>
  <c r="J14" i="1"/>
  <c r="G15" i="1"/>
  <c r="G72" i="1" s="1"/>
  <c r="G73" i="1" s="1"/>
  <c r="G52" i="1"/>
  <c r="G37" i="1"/>
  <c r="H72" i="1"/>
  <c r="H73" i="1" s="1"/>
  <c r="H52" i="1"/>
  <c r="H37" i="1"/>
  <c r="F39" i="1" l="1"/>
  <c r="F54" i="1"/>
  <c r="H16" i="1"/>
  <c r="H38" i="1"/>
  <c r="H53" i="1"/>
  <c r="G16" i="1"/>
  <c r="G38" i="1"/>
  <c r="G53" i="1"/>
  <c r="J15" i="1"/>
  <c r="J72" i="1" s="1"/>
  <c r="J73" i="1" s="1"/>
  <c r="J52" i="1"/>
  <c r="J37" i="1"/>
  <c r="I15" i="1"/>
  <c r="I72" i="1" s="1"/>
  <c r="I73" i="1" s="1"/>
  <c r="I52" i="1"/>
  <c r="I37" i="1"/>
  <c r="G39" i="1" l="1"/>
  <c r="G54" i="1"/>
  <c r="I16" i="1"/>
  <c r="I38" i="1"/>
  <c r="I53" i="1"/>
  <c r="J16" i="1"/>
  <c r="J38" i="1"/>
  <c r="J53" i="1"/>
  <c r="H39" i="1"/>
  <c r="H54" i="1"/>
  <c r="J54" i="1" l="1"/>
  <c r="J39" i="1"/>
  <c r="I54" i="1"/>
  <c r="I39" i="1"/>
</calcChain>
</file>

<file path=xl/sharedStrings.xml><?xml version="1.0" encoding="utf-8"?>
<sst xmlns="http://schemas.openxmlformats.org/spreadsheetml/2006/main" count="140" uniqueCount="76">
  <si>
    <t xml:space="preserve"> </t>
  </si>
  <si>
    <t>BDT(Crore)</t>
  </si>
  <si>
    <t>Revenue</t>
  </si>
  <si>
    <t>COGS</t>
  </si>
  <si>
    <t>Gross Profit</t>
  </si>
  <si>
    <t>Taxes</t>
  </si>
  <si>
    <t>Selling and Adm Expenses</t>
  </si>
  <si>
    <t>EBITDA</t>
  </si>
  <si>
    <t>Depreciation</t>
  </si>
  <si>
    <t>Interest</t>
  </si>
  <si>
    <t>EBT</t>
  </si>
  <si>
    <t>Net Income</t>
  </si>
  <si>
    <t xml:space="preserve">  </t>
  </si>
  <si>
    <t xml:space="preserve">                     </t>
  </si>
  <si>
    <t>COGS % of Revenue</t>
  </si>
  <si>
    <t xml:space="preserve"> S&amp;G Expenses</t>
  </si>
  <si>
    <t>Depreciation % Sales</t>
  </si>
  <si>
    <t>NA</t>
  </si>
  <si>
    <t>Selling &amp; General Expenses</t>
  </si>
  <si>
    <t>%Change</t>
  </si>
  <si>
    <t>Tata Steels</t>
  </si>
  <si>
    <t>Time Period</t>
  </si>
  <si>
    <t>Monthly Data</t>
  </si>
  <si>
    <t>Annual Data</t>
  </si>
  <si>
    <t>Monthly period</t>
  </si>
  <si>
    <t>Annual Period</t>
  </si>
  <si>
    <t>#</t>
  </si>
  <si>
    <t>Costing Analysis</t>
  </si>
  <si>
    <t>Total</t>
  </si>
  <si>
    <t>Average</t>
  </si>
  <si>
    <t>Weighted Average</t>
  </si>
  <si>
    <t>Median</t>
  </si>
  <si>
    <t>Min</t>
  </si>
  <si>
    <t>Max</t>
  </si>
  <si>
    <t>Small</t>
  </si>
  <si>
    <t>Large</t>
  </si>
  <si>
    <t>Stub or fullyear</t>
  </si>
  <si>
    <t>Total Expenses</t>
  </si>
  <si>
    <t>if&lt;17500</t>
  </si>
  <si>
    <t>if&gt;17500</t>
  </si>
  <si>
    <t>D/E Ratio</t>
  </si>
  <si>
    <t>Coupon Rate</t>
  </si>
  <si>
    <t>Risk Rating</t>
  </si>
  <si>
    <t>Baa2</t>
  </si>
  <si>
    <t>Baa3</t>
  </si>
  <si>
    <t>Ba1</t>
  </si>
  <si>
    <t>Ba2</t>
  </si>
  <si>
    <t>Current Sales</t>
  </si>
  <si>
    <t>Sales Growth</t>
  </si>
  <si>
    <t>Gross Margin</t>
  </si>
  <si>
    <t>Next Year Sales</t>
  </si>
  <si>
    <t>Cost of Sales</t>
  </si>
  <si>
    <t>Gross Proft</t>
  </si>
  <si>
    <t>$B$12</t>
  </si>
  <si>
    <t>$C$12</t>
  </si>
  <si>
    <t>$B$13</t>
  </si>
  <si>
    <t>$C$13</t>
  </si>
  <si>
    <t>$B$14</t>
  </si>
  <si>
    <t>$C$14</t>
  </si>
  <si>
    <t>$B$17</t>
  </si>
  <si>
    <t>$C$17</t>
  </si>
  <si>
    <t>$B$18</t>
  </si>
  <si>
    <t>$C$18</t>
  </si>
  <si>
    <t>$B$19</t>
  </si>
  <si>
    <t>$C$19</t>
  </si>
  <si>
    <t>base case</t>
  </si>
  <si>
    <t>Created by SIAM on 11/17/2023</t>
  </si>
  <si>
    <t>worst case</t>
  </si>
  <si>
    <t>best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</si>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</sst>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&quot;A&quot;"/>
    <numFmt numFmtId="165" formatCode="0&quot;E&quot;"/>
    <numFmt numFmtId="166" formatCode="#,##0.0;\(#,##0.0\)"/>
    <numFmt numFmtId="167" formatCode="#,##0.0;\(#,##0\)"/>
    <numFmt numFmtId="168" formatCode="#,##0.0_);\(#,##0.0\)"/>
    <numFmt numFmtId="169" formatCode="0.0%"/>
    <numFmt numFmtId="170" formatCode="#,##0.00;\(#,##0.0\)"/>
    <numFmt numFmtId="171" formatCode="#,##0.0"/>
  </numFmts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CC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i/>
      <sz val="11"/>
      <color indexed="22"/>
      <name val="Calibri"/>
      <family val="2"/>
    </font>
    <font>
      <sz val="11"/>
      <color indexed="9"/>
      <name val="Calibri"/>
      <family val="2"/>
    </font>
    <font>
      <b/>
      <i/>
      <sz val="11"/>
      <name val="Calibri"/>
      <family val="2"/>
    </font>
    <font>
      <b/>
      <sz val="12"/>
      <color indexed="9"/>
      <name val="Calibri"/>
      <family val="2"/>
    </font>
    <font>
      <b/>
      <sz val="11"/>
      <color indexed="18"/>
      <name val="Calibri"/>
      <family val="2"/>
    </font>
    <font>
      <sz val="10"/>
      <color indexed="9"/>
      <name val="Calibri"/>
      <family val="2"/>
    </font>
    <font>
      <sz val="8"/>
      <color theme="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166" fontId="4" fillId="0" borderId="0" xfId="0" applyNumberFormat="1" applyFont="1"/>
    <xf numFmtId="166" fontId="5" fillId="0" borderId="0" xfId="0" applyNumberFormat="1" applyFont="1"/>
    <xf numFmtId="167" fontId="0" fillId="0" borderId="0" xfId="0" applyNumberFormat="1"/>
    <xf numFmtId="0" fontId="7" fillId="0" borderId="0" xfId="0" applyFont="1"/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167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7" fontId="6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9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10" fontId="6" fillId="0" borderId="0" xfId="1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67" fontId="0" fillId="3" borderId="0" xfId="0" applyNumberFormat="1" applyFill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167" fontId="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0" fontId="0" fillId="0" borderId="2" xfId="0" applyBorder="1" applyAlignment="1">
      <alignment horizontal="left"/>
    </xf>
    <xf numFmtId="167" fontId="0" fillId="0" borderId="2" xfId="0" applyNumberFormat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167" fontId="6" fillId="0" borderId="1" xfId="0" applyNumberFormat="1" applyFont="1" applyBorder="1" applyAlignment="1">
      <alignment horizontal="right"/>
    </xf>
    <xf numFmtId="9" fontId="0" fillId="0" borderId="0" xfId="0" applyNumberFormat="1"/>
    <xf numFmtId="170" fontId="0" fillId="3" borderId="1" xfId="0" applyNumberFormat="1" applyFill="1" applyBorder="1" applyAlignment="1">
      <alignment horizontal="right"/>
    </xf>
    <xf numFmtId="170" fontId="0" fillId="3" borderId="0" xfId="0" applyNumberFormat="1" applyFill="1" applyAlignment="1">
      <alignment horizontal="right"/>
    </xf>
    <xf numFmtId="170" fontId="0" fillId="0" borderId="0" xfId="0" applyNumberFormat="1" applyAlignment="1">
      <alignment horizontal="right"/>
    </xf>
    <xf numFmtId="170" fontId="0" fillId="3" borderId="2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4" fontId="0" fillId="0" borderId="0" xfId="0" applyNumberFormat="1"/>
    <xf numFmtId="0" fontId="8" fillId="0" borderId="0" xfId="0" applyFont="1"/>
    <xf numFmtId="2" fontId="9" fillId="0" borderId="0" xfId="0" applyNumberFormat="1" applyFont="1"/>
    <xf numFmtId="0" fontId="3" fillId="0" borderId="3" xfId="0" applyFont="1" applyBorder="1"/>
    <xf numFmtId="0" fontId="0" fillId="0" borderId="3" xfId="0" applyBorder="1"/>
    <xf numFmtId="167" fontId="3" fillId="0" borderId="3" xfId="0" applyNumberFormat="1" applyFont="1" applyBorder="1"/>
    <xf numFmtId="9" fontId="9" fillId="0" borderId="0" xfId="0" applyNumberFormat="1" applyFont="1"/>
    <xf numFmtId="10" fontId="9" fillId="0" borderId="0" xfId="0" applyNumberFormat="1" applyFont="1" applyAlignment="1">
      <alignment horizontal="right"/>
    </xf>
    <xf numFmtId="10" fontId="9" fillId="0" borderId="0" xfId="0" applyNumberFormat="1" applyFont="1"/>
    <xf numFmtId="9" fontId="9" fillId="0" borderId="0" xfId="0" applyNumberFormat="1" applyFont="1" applyAlignment="1">
      <alignment horizontal="right"/>
    </xf>
    <xf numFmtId="10" fontId="0" fillId="0" borderId="0" xfId="1" applyNumberFormat="1" applyFont="1"/>
    <xf numFmtId="0" fontId="0" fillId="0" borderId="2" xfId="0" applyBorder="1"/>
    <xf numFmtId="0" fontId="11" fillId="4" borderId="0" xfId="0" applyFont="1" applyFill="1"/>
    <xf numFmtId="171" fontId="12" fillId="0" borderId="0" xfId="0" applyNumberFormat="1" applyFont="1"/>
    <xf numFmtId="10" fontId="9" fillId="0" borderId="5" xfId="0" applyNumberFormat="1" applyFont="1" applyBorder="1"/>
    <xf numFmtId="171" fontId="7" fillId="0" borderId="6" xfId="0" applyNumberFormat="1" applyFont="1" applyBorder="1"/>
    <xf numFmtId="171" fontId="7" fillId="0" borderId="0" xfId="0" applyNumberFormat="1" applyFont="1"/>
    <xf numFmtId="0" fontId="7" fillId="0" borderId="0" xfId="0" applyFont="1" applyAlignment="1">
      <alignment wrapText="1"/>
    </xf>
    <xf numFmtId="171" fontId="12" fillId="0" borderId="0" xfId="0" applyNumberFormat="1" applyFont="1" applyAlignment="1">
      <alignment wrapText="1"/>
    </xf>
    <xf numFmtId="10" fontId="9" fillId="0" borderId="5" xfId="0" applyNumberFormat="1" applyFont="1" applyBorder="1" applyAlignment="1">
      <alignment wrapText="1"/>
    </xf>
    <xf numFmtId="171" fontId="7" fillId="0" borderId="6" xfId="0" applyNumberFormat="1" applyFont="1" applyBorder="1" applyAlignment="1">
      <alignment wrapText="1"/>
    </xf>
    <xf numFmtId="171" fontId="7" fillId="0" borderId="0" xfId="0" applyNumberFormat="1" applyFont="1" applyAlignment="1">
      <alignment wrapText="1"/>
    </xf>
    <xf numFmtId="0" fontId="7" fillId="0" borderId="6" xfId="0" applyFont="1" applyBorder="1"/>
    <xf numFmtId="0" fontId="13" fillId="0" borderId="9" xfId="0" applyFont="1" applyBorder="1"/>
    <xf numFmtId="171" fontId="7" fillId="0" borderId="9" xfId="0" applyNumberFormat="1" applyFont="1" applyBorder="1"/>
    <xf numFmtId="171" fontId="10" fillId="0" borderId="8" xfId="0" applyNumberFormat="1" applyFont="1" applyBorder="1"/>
    <xf numFmtId="171" fontId="10" fillId="0" borderId="7" xfId="0" applyNumberFormat="1" applyFont="1" applyBorder="1"/>
    <xf numFmtId="10" fontId="9" fillId="0" borderId="9" xfId="0" applyNumberFormat="1" applyFont="1" applyBorder="1"/>
    <xf numFmtId="171" fontId="10" fillId="0" borderId="0" xfId="0" applyNumberFormat="1" applyFont="1"/>
    <xf numFmtId="171" fontId="14" fillId="0" borderId="0" xfId="0" applyNumberFormat="1" applyFont="1"/>
    <xf numFmtId="171" fontId="10" fillId="0" borderId="5" xfId="0" applyNumberFormat="1" applyFont="1" applyBorder="1"/>
    <xf numFmtId="10" fontId="11" fillId="5" borderId="9" xfId="0" applyNumberFormat="1" applyFont="1" applyFill="1" applyBorder="1"/>
    <xf numFmtId="10" fontId="9" fillId="0" borderId="10" xfId="0" applyNumberFormat="1" applyFont="1" applyBorder="1"/>
    <xf numFmtId="171" fontId="7" fillId="0" borderId="4" xfId="0" applyNumberFormat="1" applyFont="1" applyBorder="1"/>
    <xf numFmtId="171" fontId="10" fillId="0" borderId="4" xfId="0" applyNumberFormat="1" applyFont="1" applyBorder="1"/>
    <xf numFmtId="171" fontId="10" fillId="0" borderId="11" xfId="0" applyNumberFormat="1" applyFont="1" applyBorder="1"/>
    <xf numFmtId="10" fontId="11" fillId="5" borderId="8" xfId="0" applyNumberFormat="1" applyFont="1" applyFill="1" applyBorder="1" applyAlignment="1">
      <alignment horizontal="center"/>
    </xf>
    <xf numFmtId="10" fontId="11" fillId="5" borderId="7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71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3" xfId="0" applyFill="1" applyBorder="1" applyAlignment="1"/>
    <xf numFmtId="0" fontId="15" fillId="6" borderId="4" xfId="0" applyFont="1" applyFill="1" applyBorder="1" applyAlignment="1">
      <alignment horizontal="left"/>
    </xf>
    <xf numFmtId="0" fontId="15" fillId="6" borderId="12" xfId="0" applyFont="1" applyFill="1" applyBorder="1" applyAlignment="1">
      <alignment horizontal="left"/>
    </xf>
    <xf numFmtId="0" fontId="0" fillId="0" borderId="14" xfId="0" applyFill="1" applyBorder="1" applyAlignment="1"/>
    <xf numFmtId="0" fontId="8" fillId="7" borderId="0" xfId="0" applyFont="1" applyFill="1" applyBorder="1" applyAlignment="1">
      <alignment horizontal="left"/>
    </xf>
    <xf numFmtId="0" fontId="16" fillId="7" borderId="14" xfId="0" applyFont="1" applyFill="1" applyBorder="1" applyAlignment="1">
      <alignment horizontal="left"/>
    </xf>
    <xf numFmtId="0" fontId="8" fillId="7" borderId="13" xfId="0" applyFont="1" applyFill="1" applyBorder="1" applyAlignment="1">
      <alignment horizontal="left"/>
    </xf>
    <xf numFmtId="0" fontId="17" fillId="6" borderId="12" xfId="0" applyFont="1" applyFill="1" applyBorder="1" applyAlignment="1">
      <alignment horizontal="right"/>
    </xf>
    <xf numFmtId="0" fontId="17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171" fontId="0" fillId="8" borderId="0" xfId="0" applyNumberFormat="1" applyFill="1" applyBorder="1" applyAlignment="1"/>
    <xf numFmtId="10" fontId="0" fillId="8" borderId="0" xfId="0" applyNumberFormat="1" applyFill="1" applyBorder="1" applyAlignment="1"/>
    <xf numFmtId="0" fontId="18" fillId="0" borderId="0" xfId="0" applyFont="1" applyFill="1" applyBorder="1" applyAlignment="1">
      <alignment vertical="top" wrapText="1"/>
    </xf>
    <xf numFmtId="0" fontId="3" fillId="9" borderId="0" xfId="0" applyFont="1" applyFill="1" applyAlignment="1">
      <alignment horizontal="left"/>
    </xf>
    <xf numFmtId="0" fontId="0" fillId="9" borderId="0" xfId="0" applyFill="1" applyAlignment="1">
      <alignment horizontal="right"/>
    </xf>
    <xf numFmtId="0" fontId="0" fillId="9" borderId="0" xfId="0" applyFill="1"/>
    <xf numFmtId="0" fontId="8" fillId="0" borderId="4" xfId="0" applyFont="1" applyBorder="1"/>
    <xf numFmtId="9" fontId="19" fillId="0" borderId="4" xfId="0" applyNumberFormat="1" applyFont="1" applyBorder="1"/>
    <xf numFmtId="171" fontId="9" fillId="0" borderId="7" xfId="0" applyNumberFormat="1" applyFont="1" applyBorder="1"/>
    <xf numFmtId="0" fontId="7" fillId="0" borderId="9" xfId="0" applyFont="1" applyBorder="1"/>
    <xf numFmtId="0" fontId="7" fillId="0" borderId="10" xfId="0" applyFont="1" applyBorder="1"/>
    <xf numFmtId="10" fontId="9" fillId="0" borderId="11" xfId="0" applyNumberFormat="1" applyFont="1" applyBorder="1"/>
    <xf numFmtId="0" fontId="3" fillId="9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520C-92E2-46CC-95F1-959B7A14F0C0}">
  <dimension ref="A1:J8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35" sqref="M35"/>
    </sheetView>
  </sheetViews>
  <sheetFormatPr defaultRowHeight="15" outlineLevelRow="2" x14ac:dyDescent="0.25"/>
  <cols>
    <col min="1" max="1" width="4.7109375" customWidth="1"/>
    <col min="2" max="3" width="14.7109375" customWidth="1"/>
    <col min="4" max="10" width="10.7109375" customWidth="1"/>
    <col min="11" max="18" width="12.7109375" customWidth="1"/>
  </cols>
  <sheetData>
    <row r="1" spans="1:10" x14ac:dyDescent="0.25">
      <c r="A1" t="s">
        <v>0</v>
      </c>
    </row>
    <row r="3" spans="1:10" x14ac:dyDescent="0.25">
      <c r="B3" t="s">
        <v>20</v>
      </c>
    </row>
    <row r="4" spans="1:10" x14ac:dyDescent="0.25">
      <c r="B4" s="2" t="s">
        <v>1</v>
      </c>
      <c r="C4" s="2"/>
      <c r="D4" s="9">
        <v>2020</v>
      </c>
      <c r="E4" s="9">
        <f>D4+1</f>
        <v>2021</v>
      </c>
      <c r="F4" s="10">
        <f t="shared" ref="F4:J4" si="0">E4+1</f>
        <v>2022</v>
      </c>
      <c r="G4" s="10">
        <f t="shared" si="0"/>
        <v>2023</v>
      </c>
      <c r="H4" s="10">
        <f t="shared" si="0"/>
        <v>2024</v>
      </c>
      <c r="I4" s="10">
        <f t="shared" si="0"/>
        <v>2025</v>
      </c>
      <c r="J4" s="10">
        <f t="shared" si="0"/>
        <v>2026</v>
      </c>
    </row>
    <row r="5" spans="1:10" s="4" customFormat="1" x14ac:dyDescent="0.25">
      <c r="B5" s="3" t="s">
        <v>12</v>
      </c>
      <c r="C5" s="3"/>
      <c r="D5" s="11"/>
      <c r="E5" s="11"/>
      <c r="F5" s="12"/>
      <c r="G5" s="12"/>
      <c r="H5" s="12"/>
      <c r="I5" s="12"/>
      <c r="J5" s="12"/>
    </row>
    <row r="6" spans="1:10" x14ac:dyDescent="0.25">
      <c r="A6" t="s">
        <v>26</v>
      </c>
      <c r="B6" s="97" t="str">
        <f>" Income Statement"&amp;"-"&amp;$B$3</f>
        <v xml:space="preserve"> Income Statement-Tata Steels</v>
      </c>
      <c r="C6" s="97"/>
      <c r="D6" s="98"/>
      <c r="E6" s="98"/>
      <c r="F6" s="98"/>
      <c r="G6" s="98"/>
      <c r="H6" s="98"/>
      <c r="I6" s="98"/>
      <c r="J6" s="98" t="s">
        <v>13</v>
      </c>
    </row>
    <row r="7" spans="1:10" outlineLevel="1" x14ac:dyDescent="0.25">
      <c r="B7" s="18" t="s">
        <v>2</v>
      </c>
      <c r="C7" s="18"/>
      <c r="D7" s="13">
        <v>20000</v>
      </c>
      <c r="E7" s="13">
        <v>22500</v>
      </c>
      <c r="F7" s="14">
        <f>E7*(1+F20)</f>
        <v>24750.000000000004</v>
      </c>
      <c r="G7" s="14">
        <f t="shared" ref="G7:J7" si="1">F7*(1+G20)</f>
        <v>27225.000000000007</v>
      </c>
      <c r="H7" s="14">
        <f t="shared" si="1"/>
        <v>31308.750000000007</v>
      </c>
      <c r="I7" s="14">
        <f t="shared" si="1"/>
        <v>36005.062500000007</v>
      </c>
      <c r="J7" s="14">
        <f t="shared" si="1"/>
        <v>41405.821875000009</v>
      </c>
    </row>
    <row r="8" spans="1:10" outlineLevel="1" x14ac:dyDescent="0.25">
      <c r="B8" s="27" t="s">
        <v>3</v>
      </c>
      <c r="C8" s="27"/>
      <c r="D8" s="28">
        <v>8000</v>
      </c>
      <c r="E8" s="28">
        <v>9000</v>
      </c>
      <c r="F8" s="29">
        <f>F7*F21</f>
        <v>9900.0000000000018</v>
      </c>
      <c r="G8" s="29">
        <f t="shared" ref="G8:J8" si="2">G7*G21</f>
        <v>10890.000000000004</v>
      </c>
      <c r="H8" s="29">
        <f t="shared" si="2"/>
        <v>12523.500000000004</v>
      </c>
      <c r="I8" s="29">
        <f t="shared" si="2"/>
        <v>14402.025000000003</v>
      </c>
      <c r="J8" s="29">
        <f t="shared" si="2"/>
        <v>16562.328750000004</v>
      </c>
    </row>
    <row r="9" spans="1:10" outlineLevel="1" x14ac:dyDescent="0.25">
      <c r="B9" s="18" t="s">
        <v>4</v>
      </c>
      <c r="C9" s="18"/>
      <c r="D9" s="26">
        <f>D7-D8</f>
        <v>12000</v>
      </c>
      <c r="E9" s="26">
        <f>E7-E8</f>
        <v>13500</v>
      </c>
      <c r="F9" s="26">
        <f t="shared" ref="F9:J9" si="3">F7-F8</f>
        <v>14850.000000000002</v>
      </c>
      <c r="G9" s="26">
        <f t="shared" si="3"/>
        <v>16335.000000000004</v>
      </c>
      <c r="H9" s="26">
        <f t="shared" si="3"/>
        <v>18785.250000000004</v>
      </c>
      <c r="I9" s="26">
        <f t="shared" si="3"/>
        <v>21603.037500000006</v>
      </c>
      <c r="J9" s="26">
        <f t="shared" si="3"/>
        <v>24843.493125000005</v>
      </c>
    </row>
    <row r="10" spans="1:10" outlineLevel="1" x14ac:dyDescent="0.25">
      <c r="B10" s="27" t="s">
        <v>6</v>
      </c>
      <c r="C10" s="27"/>
      <c r="D10" s="28">
        <v>2000</v>
      </c>
      <c r="E10" s="28">
        <v>2250</v>
      </c>
      <c r="F10" s="30">
        <f>G22</f>
        <v>2500</v>
      </c>
      <c r="G10" s="30">
        <f t="shared" ref="G10:I10" si="4">H22</f>
        <v>2500</v>
      </c>
      <c r="H10" s="30">
        <f t="shared" si="4"/>
        <v>2500</v>
      </c>
      <c r="I10" s="30">
        <f t="shared" si="4"/>
        <v>2500</v>
      </c>
      <c r="J10" s="30">
        <f>I10</f>
        <v>2500</v>
      </c>
    </row>
    <row r="11" spans="1:10" outlineLevel="1" x14ac:dyDescent="0.25">
      <c r="B11" s="18" t="s">
        <v>7</v>
      </c>
      <c r="C11" s="18"/>
      <c r="D11" s="15">
        <f>D9-D10</f>
        <v>10000</v>
      </c>
      <c r="E11" s="15">
        <f>E9-E10</f>
        <v>11250</v>
      </c>
      <c r="F11" s="15">
        <f t="shared" ref="F11:J11" si="5">F9-F10</f>
        <v>12350.000000000002</v>
      </c>
      <c r="G11" s="25">
        <f t="shared" si="5"/>
        <v>13835.000000000004</v>
      </c>
      <c r="H11" s="25">
        <f t="shared" si="5"/>
        <v>16285.250000000004</v>
      </c>
      <c r="I11" s="25">
        <f t="shared" si="5"/>
        <v>19103.037500000006</v>
      </c>
      <c r="J11" s="25">
        <f t="shared" si="5"/>
        <v>22343.493125000005</v>
      </c>
    </row>
    <row r="12" spans="1:10" outlineLevel="1" x14ac:dyDescent="0.25">
      <c r="B12" s="18" t="s">
        <v>8</v>
      </c>
      <c r="C12" s="18"/>
      <c r="D12" s="13">
        <v>800</v>
      </c>
      <c r="E12" s="13">
        <v>900</v>
      </c>
      <c r="F12" s="14">
        <f>F7*F23</f>
        <v>1237.5000000000002</v>
      </c>
      <c r="G12" s="25">
        <f t="shared" ref="G12:J12" si="6">G7*G23</f>
        <v>1361.2500000000005</v>
      </c>
      <c r="H12" s="25">
        <f t="shared" si="6"/>
        <v>1565.4375000000005</v>
      </c>
      <c r="I12" s="25">
        <f t="shared" si="6"/>
        <v>1800.2531250000004</v>
      </c>
      <c r="J12" s="25">
        <f t="shared" si="6"/>
        <v>2070.2910937500005</v>
      </c>
    </row>
    <row r="13" spans="1:10" outlineLevel="1" x14ac:dyDescent="0.25">
      <c r="B13" s="27" t="s">
        <v>9</v>
      </c>
      <c r="C13" s="27"/>
      <c r="D13" s="28">
        <v>200</v>
      </c>
      <c r="E13" s="28">
        <v>225</v>
      </c>
      <c r="F13" s="28">
        <f>F24</f>
        <v>250</v>
      </c>
      <c r="G13" s="30">
        <v>250</v>
      </c>
      <c r="H13" s="30">
        <v>250</v>
      </c>
      <c r="I13" s="30">
        <v>250</v>
      </c>
      <c r="J13" s="30">
        <v>250</v>
      </c>
    </row>
    <row r="14" spans="1:10" outlineLevel="1" x14ac:dyDescent="0.25">
      <c r="B14" s="18" t="s">
        <v>10</v>
      </c>
      <c r="C14" s="18"/>
      <c r="D14" s="16">
        <f>D11-SUM(D12:D13)</f>
        <v>9000</v>
      </c>
      <c r="E14" s="16">
        <f>E11-SUM(E12:E13)</f>
        <v>10125</v>
      </c>
      <c r="F14" s="16">
        <f t="shared" ref="F14:J14" si="7">F11-SUM(F12:F13)</f>
        <v>10862.500000000002</v>
      </c>
      <c r="G14" s="25">
        <f t="shared" si="7"/>
        <v>12223.750000000004</v>
      </c>
      <c r="H14" s="25">
        <f t="shared" si="7"/>
        <v>14469.812500000004</v>
      </c>
      <c r="I14" s="25">
        <f t="shared" si="7"/>
        <v>17052.784375000007</v>
      </c>
      <c r="J14" s="25">
        <f t="shared" si="7"/>
        <v>20023.202031250003</v>
      </c>
    </row>
    <row r="15" spans="1:10" outlineLevel="1" x14ac:dyDescent="0.25">
      <c r="B15" s="27" t="s">
        <v>5</v>
      </c>
      <c r="C15" s="27"/>
      <c r="D15" s="34">
        <v>2700</v>
      </c>
      <c r="E15" s="34">
        <v>3037.5</v>
      </c>
      <c r="F15" s="29">
        <f>F14*F25</f>
        <v>3258.7500000000005</v>
      </c>
      <c r="G15" s="30">
        <f t="shared" ref="G15:J15" si="8">G14*G25</f>
        <v>3667.1250000000009</v>
      </c>
      <c r="H15" s="30">
        <f>H14*H25</f>
        <v>4340.9437500000013</v>
      </c>
      <c r="I15" s="30">
        <f t="shared" si="8"/>
        <v>5115.8353125000021</v>
      </c>
      <c r="J15" s="30">
        <f t="shared" si="8"/>
        <v>6006.9606093750008</v>
      </c>
    </row>
    <row r="16" spans="1:10" ht="15.75" outlineLevel="1" thickBot="1" x14ac:dyDescent="0.3">
      <c r="B16" s="31" t="s">
        <v>11</v>
      </c>
      <c r="C16" s="31"/>
      <c r="D16" s="32">
        <f>D14-D15</f>
        <v>6300</v>
      </c>
      <c r="E16" s="32">
        <f>E14-E15</f>
        <v>7087.5</v>
      </c>
      <c r="F16" s="32">
        <f t="shared" ref="F16:J16" si="9">F14-F15</f>
        <v>7603.7500000000018</v>
      </c>
      <c r="G16" s="33">
        <f t="shared" si="9"/>
        <v>8556.6250000000036</v>
      </c>
      <c r="H16" s="33">
        <f t="shared" si="9"/>
        <v>10128.868750000001</v>
      </c>
      <c r="I16" s="33">
        <f t="shared" si="9"/>
        <v>11936.949062500003</v>
      </c>
      <c r="J16" s="33">
        <f t="shared" si="9"/>
        <v>14016.241421875002</v>
      </c>
    </row>
    <row r="17" spans="1:10" ht="15.75" thickTop="1" x14ac:dyDescent="0.25"/>
    <row r="19" spans="1:10" x14ac:dyDescent="0.25">
      <c r="A19" t="s">
        <v>26</v>
      </c>
      <c r="B19" s="106" t="str">
        <f>" Assumptions Drivers"&amp;"-"&amp;$B$3</f>
        <v xml:space="preserve"> Assumptions Drivers-Tata Steels</v>
      </c>
      <c r="C19" s="106"/>
      <c r="D19" s="99"/>
      <c r="E19" s="99"/>
      <c r="F19" s="99"/>
      <c r="G19" s="99"/>
      <c r="H19" s="99"/>
      <c r="I19" s="99"/>
      <c r="J19" s="99"/>
    </row>
    <row r="20" spans="1:10" outlineLevel="1" x14ac:dyDescent="0.25">
      <c r="B20" s="8" t="s">
        <v>9</v>
      </c>
      <c r="D20" s="14" t="s">
        <v>17</v>
      </c>
      <c r="E20" s="20">
        <f>E7/D7-1</f>
        <v>0.125</v>
      </c>
      <c r="F20" s="22">
        <v>0.1</v>
      </c>
      <c r="G20" s="24">
        <f>F20</f>
        <v>0.1</v>
      </c>
      <c r="H20" s="24">
        <f>0.15</f>
        <v>0.15</v>
      </c>
      <c r="I20" s="24">
        <f t="shared" ref="I20:J20" si="10">H20</f>
        <v>0.15</v>
      </c>
      <c r="J20" s="24">
        <f t="shared" si="10"/>
        <v>0.15</v>
      </c>
    </row>
    <row r="21" spans="1:10" outlineLevel="1" x14ac:dyDescent="0.25">
      <c r="B21" s="8" t="s">
        <v>14</v>
      </c>
      <c r="D21" s="19">
        <f>D8/D7</f>
        <v>0.4</v>
      </c>
      <c r="E21" s="19">
        <f>E8/E7</f>
        <v>0.4</v>
      </c>
      <c r="F21" s="22">
        <v>0.4</v>
      </c>
      <c r="G21" s="24">
        <f t="shared" ref="G21:J21" si="11">F21</f>
        <v>0.4</v>
      </c>
      <c r="H21" s="24">
        <f t="shared" si="11"/>
        <v>0.4</v>
      </c>
      <c r="I21" s="24">
        <f t="shared" si="11"/>
        <v>0.4</v>
      </c>
      <c r="J21" s="24">
        <f t="shared" si="11"/>
        <v>0.4</v>
      </c>
    </row>
    <row r="22" spans="1:10" outlineLevel="1" x14ac:dyDescent="0.25">
      <c r="B22" s="8" t="s">
        <v>15</v>
      </c>
      <c r="D22" s="15">
        <f>D10</f>
        <v>2000</v>
      </c>
      <c r="E22" s="15">
        <f>E10</f>
        <v>2250</v>
      </c>
      <c r="F22" s="17">
        <v>2500</v>
      </c>
      <c r="G22" s="15">
        <f t="shared" ref="G22:J22" si="12">F22</f>
        <v>2500</v>
      </c>
      <c r="H22" s="15">
        <f t="shared" si="12"/>
        <v>2500</v>
      </c>
      <c r="I22" s="15">
        <f t="shared" si="12"/>
        <v>2500</v>
      </c>
      <c r="J22" s="15">
        <f t="shared" si="12"/>
        <v>2500</v>
      </c>
    </row>
    <row r="23" spans="1:10" outlineLevel="1" x14ac:dyDescent="0.25">
      <c r="B23" s="8" t="s">
        <v>16</v>
      </c>
      <c r="D23" s="19">
        <f>D12/D7</f>
        <v>0.04</v>
      </c>
      <c r="E23" s="19">
        <f>E12/E7</f>
        <v>0.04</v>
      </c>
      <c r="F23" s="22">
        <v>0.05</v>
      </c>
      <c r="G23" s="24">
        <f t="shared" ref="G23:J23" si="13">F23</f>
        <v>0.05</v>
      </c>
      <c r="H23" s="24">
        <f t="shared" si="13"/>
        <v>0.05</v>
      </c>
      <c r="I23" s="24">
        <f t="shared" si="13"/>
        <v>0.05</v>
      </c>
      <c r="J23" s="24">
        <f t="shared" si="13"/>
        <v>0.05</v>
      </c>
    </row>
    <row r="24" spans="1:10" outlineLevel="1" x14ac:dyDescent="0.25">
      <c r="B24" s="8" t="s">
        <v>9</v>
      </c>
      <c r="D24" s="15">
        <f>D13</f>
        <v>200</v>
      </c>
      <c r="E24" s="15">
        <f>E13</f>
        <v>225</v>
      </c>
      <c r="F24" s="17">
        <v>250</v>
      </c>
      <c r="G24" s="17">
        <f>F24</f>
        <v>250</v>
      </c>
      <c r="H24" s="17">
        <f t="shared" ref="H24:J24" si="14">G24</f>
        <v>250</v>
      </c>
      <c r="I24" s="17">
        <f t="shared" si="14"/>
        <v>250</v>
      </c>
      <c r="J24" s="17">
        <f t="shared" si="14"/>
        <v>250</v>
      </c>
    </row>
    <row r="25" spans="1:10" outlineLevel="1" x14ac:dyDescent="0.25">
      <c r="B25" s="8" t="s">
        <v>5</v>
      </c>
      <c r="D25" s="21">
        <v>0.3</v>
      </c>
      <c r="E25" s="21">
        <v>0.3</v>
      </c>
      <c r="F25" s="23">
        <v>0.3</v>
      </c>
      <c r="G25" s="24">
        <f t="shared" ref="G25:J25" si="15">F25</f>
        <v>0.3</v>
      </c>
      <c r="H25" s="24">
        <f t="shared" si="15"/>
        <v>0.3</v>
      </c>
      <c r="I25" s="24">
        <f t="shared" si="15"/>
        <v>0.3</v>
      </c>
      <c r="J25" s="24">
        <f t="shared" si="15"/>
        <v>0.3</v>
      </c>
    </row>
    <row r="26" spans="1:10" x14ac:dyDescent="0.25">
      <c r="D26" s="14"/>
      <c r="E26" s="14"/>
      <c r="F26" s="14"/>
      <c r="G26" s="14"/>
      <c r="H26" s="14"/>
      <c r="I26" s="14"/>
      <c r="J26" s="14"/>
    </row>
    <row r="27" spans="1:10" x14ac:dyDescent="0.25">
      <c r="D27" s="14"/>
      <c r="E27" s="14"/>
      <c r="F27" s="14"/>
      <c r="G27" s="14"/>
      <c r="H27" s="14"/>
      <c r="I27" s="14"/>
      <c r="J27" s="14"/>
    </row>
    <row r="28" spans="1:10" x14ac:dyDescent="0.25">
      <c r="A28" t="s">
        <v>26</v>
      </c>
      <c r="B28" s="106" t="str">
        <f>" Common Size Statementt"&amp;"-"&amp;$B$3</f>
        <v xml:space="preserve"> Common Size Statementt-Tata Steels</v>
      </c>
      <c r="C28" s="106"/>
      <c r="D28" s="106"/>
      <c r="E28" s="99"/>
      <c r="F28" s="99"/>
      <c r="G28" s="99"/>
      <c r="H28" s="99"/>
      <c r="I28" s="99"/>
      <c r="J28" s="99"/>
    </row>
    <row r="29" spans="1:10" x14ac:dyDescent="0.25">
      <c r="D29" s="14"/>
      <c r="E29" s="14"/>
      <c r="F29" s="14"/>
      <c r="G29" s="14"/>
      <c r="H29" s="14"/>
      <c r="I29" s="14"/>
      <c r="J29" s="14"/>
    </row>
    <row r="30" spans="1:10" outlineLevel="1" x14ac:dyDescent="0.25">
      <c r="B30" s="8" t="s">
        <v>2</v>
      </c>
      <c r="D30" s="20">
        <f>D7/D7</f>
        <v>1</v>
      </c>
      <c r="E30" s="20">
        <f t="shared" ref="E30:J30" si="16">E7/E7</f>
        <v>1</v>
      </c>
      <c r="F30" s="20">
        <f t="shared" si="16"/>
        <v>1</v>
      </c>
      <c r="G30" s="20">
        <f t="shared" si="16"/>
        <v>1</v>
      </c>
      <c r="H30" s="20">
        <f t="shared" si="16"/>
        <v>1</v>
      </c>
      <c r="I30" s="20">
        <f t="shared" si="16"/>
        <v>1</v>
      </c>
      <c r="J30" s="20">
        <f t="shared" si="16"/>
        <v>1</v>
      </c>
    </row>
    <row r="31" spans="1:10" outlineLevel="1" x14ac:dyDescent="0.25">
      <c r="B31" s="8" t="s">
        <v>3</v>
      </c>
      <c r="D31" s="20">
        <f>D8/D$7</f>
        <v>0.4</v>
      </c>
      <c r="E31" s="20">
        <f t="shared" ref="E31:J31" si="17">E8/E$7</f>
        <v>0.4</v>
      </c>
      <c r="F31" s="20">
        <f>F8/F$7</f>
        <v>0.4</v>
      </c>
      <c r="G31" s="20">
        <f t="shared" si="17"/>
        <v>0.4</v>
      </c>
      <c r="H31" s="20">
        <f t="shared" si="17"/>
        <v>0.4</v>
      </c>
      <c r="I31" s="20">
        <f t="shared" si="17"/>
        <v>0.4</v>
      </c>
      <c r="J31" s="20">
        <f t="shared" si="17"/>
        <v>0.4</v>
      </c>
    </row>
    <row r="32" spans="1:10" outlineLevel="1" x14ac:dyDescent="0.25">
      <c r="B32" s="8" t="s">
        <v>4</v>
      </c>
      <c r="D32" s="20">
        <f t="shared" ref="D32:J39" si="18">D9/D$7</f>
        <v>0.6</v>
      </c>
      <c r="E32" s="20">
        <f t="shared" si="18"/>
        <v>0.6</v>
      </c>
      <c r="F32" s="20">
        <f t="shared" si="18"/>
        <v>0.6</v>
      </c>
      <c r="G32" s="20">
        <f t="shared" si="18"/>
        <v>0.6</v>
      </c>
      <c r="H32" s="20">
        <f t="shared" si="18"/>
        <v>0.6</v>
      </c>
      <c r="I32" s="20">
        <f t="shared" si="18"/>
        <v>0.60000000000000009</v>
      </c>
      <c r="J32" s="20">
        <f t="shared" si="18"/>
        <v>0.6</v>
      </c>
    </row>
    <row r="33" spans="1:10" outlineLevel="1" x14ac:dyDescent="0.25">
      <c r="B33" s="8" t="s">
        <v>18</v>
      </c>
      <c r="D33" s="20">
        <f t="shared" si="18"/>
        <v>0.1</v>
      </c>
      <c r="E33" s="20">
        <f t="shared" si="18"/>
        <v>0.1</v>
      </c>
      <c r="F33" s="20">
        <f t="shared" si="18"/>
        <v>0.10101010101010099</v>
      </c>
      <c r="G33" s="20">
        <f t="shared" si="18"/>
        <v>9.1827364554637261E-2</v>
      </c>
      <c r="H33" s="20">
        <f t="shared" si="18"/>
        <v>7.984988222142371E-2</v>
      </c>
      <c r="I33" s="20">
        <f t="shared" si="18"/>
        <v>6.9434680192542356E-2</v>
      </c>
      <c r="J33" s="20">
        <f t="shared" si="18"/>
        <v>6.0377982776123787E-2</v>
      </c>
    </row>
    <row r="34" spans="1:10" outlineLevel="1" x14ac:dyDescent="0.25">
      <c r="B34" s="8" t="s">
        <v>7</v>
      </c>
      <c r="D34" s="20">
        <f t="shared" si="18"/>
        <v>0.5</v>
      </c>
      <c r="E34" s="20">
        <f t="shared" si="18"/>
        <v>0.5</v>
      </c>
      <c r="F34" s="20">
        <f t="shared" si="18"/>
        <v>0.49898989898989898</v>
      </c>
      <c r="G34" s="20">
        <f t="shared" si="18"/>
        <v>0.50817263544536273</v>
      </c>
      <c r="H34" s="20">
        <f t="shared" si="18"/>
        <v>0.52015011777857623</v>
      </c>
      <c r="I34" s="20">
        <f t="shared" si="18"/>
        <v>0.53056531980745769</v>
      </c>
      <c r="J34" s="20">
        <f t="shared" si="18"/>
        <v>0.53962201722387615</v>
      </c>
    </row>
    <row r="35" spans="1:10" outlineLevel="1" x14ac:dyDescent="0.25">
      <c r="B35" s="8" t="s">
        <v>8</v>
      </c>
      <c r="D35" s="20">
        <f t="shared" si="18"/>
        <v>0.04</v>
      </c>
      <c r="E35" s="20">
        <f t="shared" si="18"/>
        <v>0.04</v>
      </c>
      <c r="F35" s="20">
        <f t="shared" si="18"/>
        <v>0.05</v>
      </c>
      <c r="G35" s="20">
        <f t="shared" si="18"/>
        <v>0.05</v>
      </c>
      <c r="H35" s="20">
        <f t="shared" si="18"/>
        <v>0.05</v>
      </c>
      <c r="I35" s="20">
        <f t="shared" si="18"/>
        <v>0.05</v>
      </c>
      <c r="J35" s="20">
        <f t="shared" si="18"/>
        <v>0.05</v>
      </c>
    </row>
    <row r="36" spans="1:10" outlineLevel="1" x14ac:dyDescent="0.25">
      <c r="B36" s="8" t="s">
        <v>9</v>
      </c>
      <c r="D36" s="20">
        <f t="shared" si="18"/>
        <v>0.01</v>
      </c>
      <c r="E36" s="20">
        <f t="shared" si="18"/>
        <v>0.01</v>
      </c>
      <c r="F36" s="20">
        <f t="shared" si="18"/>
        <v>1.01010101010101E-2</v>
      </c>
      <c r="G36" s="20">
        <f t="shared" si="18"/>
        <v>9.1827364554637261E-3</v>
      </c>
      <c r="H36" s="20">
        <f t="shared" si="18"/>
        <v>7.9849882221423706E-3</v>
      </c>
      <c r="I36" s="20">
        <f t="shared" si="18"/>
        <v>6.9434680192542357E-3</v>
      </c>
      <c r="J36" s="20">
        <f t="shared" si="18"/>
        <v>6.0377982776123789E-3</v>
      </c>
    </row>
    <row r="37" spans="1:10" outlineLevel="1" x14ac:dyDescent="0.25">
      <c r="B37" s="8" t="s">
        <v>10</v>
      </c>
      <c r="D37" s="20">
        <f t="shared" si="18"/>
        <v>0.45</v>
      </c>
      <c r="E37" s="20">
        <f t="shared" si="18"/>
        <v>0.45</v>
      </c>
      <c r="F37" s="20">
        <f t="shared" si="18"/>
        <v>0.43888888888888888</v>
      </c>
      <c r="G37" s="20">
        <f t="shared" si="18"/>
        <v>0.44898989898989899</v>
      </c>
      <c r="H37" s="20">
        <f t="shared" si="18"/>
        <v>0.46216512955643391</v>
      </c>
      <c r="I37" s="20">
        <f t="shared" si="18"/>
        <v>0.47362185178820349</v>
      </c>
      <c r="J37" s="20">
        <f t="shared" si="18"/>
        <v>0.4835842189462638</v>
      </c>
    </row>
    <row r="38" spans="1:10" outlineLevel="1" x14ac:dyDescent="0.25">
      <c r="B38" s="8" t="s">
        <v>5</v>
      </c>
      <c r="D38" s="20">
        <f t="shared" si="18"/>
        <v>0.13500000000000001</v>
      </c>
      <c r="E38" s="20">
        <f t="shared" si="18"/>
        <v>0.13500000000000001</v>
      </c>
      <c r="F38" s="20">
        <f t="shared" si="18"/>
        <v>0.13166666666666665</v>
      </c>
      <c r="G38" s="20">
        <f t="shared" si="18"/>
        <v>0.1346969696969697</v>
      </c>
      <c r="H38" s="20">
        <f t="shared" si="18"/>
        <v>0.13864953886693018</v>
      </c>
      <c r="I38" s="20">
        <f t="shared" si="18"/>
        <v>0.14208655553646105</v>
      </c>
      <c r="J38" s="20">
        <f t="shared" si="18"/>
        <v>0.14507526568387913</v>
      </c>
    </row>
    <row r="39" spans="1:10" outlineLevel="1" x14ac:dyDescent="0.25">
      <c r="B39" s="8" t="s">
        <v>11</v>
      </c>
      <c r="D39" s="20">
        <f t="shared" si="18"/>
        <v>0.315</v>
      </c>
      <c r="E39" s="20">
        <f t="shared" si="18"/>
        <v>0.315</v>
      </c>
      <c r="F39" s="20">
        <f t="shared" si="18"/>
        <v>0.30722222222222223</v>
      </c>
      <c r="G39" s="20">
        <f t="shared" si="18"/>
        <v>0.31429292929292935</v>
      </c>
      <c r="H39" s="20">
        <f t="shared" si="18"/>
        <v>0.3235155906895037</v>
      </c>
      <c r="I39" s="20">
        <f t="shared" si="18"/>
        <v>0.33153529625174238</v>
      </c>
      <c r="J39" s="20">
        <f t="shared" si="18"/>
        <v>0.33850895326238467</v>
      </c>
    </row>
    <row r="40" spans="1:10" x14ac:dyDescent="0.25">
      <c r="G40" s="6"/>
      <c r="H40" s="6"/>
    </row>
    <row r="41" spans="1:10" x14ac:dyDescent="0.25">
      <c r="G41" s="5"/>
      <c r="H41" s="5"/>
    </row>
    <row r="42" spans="1:10" x14ac:dyDescent="0.25">
      <c r="A42" t="s">
        <v>26</v>
      </c>
      <c r="B42" s="106" t="str">
        <f>"Change Analysis"&amp;"-"&amp;$B$3</f>
        <v>Change Analysis-Tata Steels</v>
      </c>
      <c r="C42" s="106"/>
      <c r="D42" s="99"/>
      <c r="E42" s="99"/>
      <c r="F42" s="99"/>
      <c r="G42" s="99"/>
      <c r="H42" s="99"/>
      <c r="I42" s="99"/>
      <c r="J42" s="99"/>
    </row>
    <row r="43" spans="1:10" hidden="1" outlineLevel="1" x14ac:dyDescent="0.25">
      <c r="B43" s="1" t="s">
        <v>19</v>
      </c>
      <c r="C43" s="35">
        <v>0.15</v>
      </c>
      <c r="G43" s="6"/>
      <c r="H43" s="6"/>
    </row>
    <row r="44" spans="1:10" hidden="1" outlineLevel="2" x14ac:dyDescent="0.25">
      <c r="B44" s="8"/>
      <c r="G44" s="5"/>
      <c r="H44" s="5"/>
    </row>
    <row r="45" spans="1:10" hidden="1" outlineLevel="2" x14ac:dyDescent="0.25">
      <c r="B45" s="18" t="s">
        <v>2</v>
      </c>
      <c r="C45" s="18"/>
      <c r="D45" s="15">
        <f>D7*(1+$C$43)</f>
        <v>23000</v>
      </c>
      <c r="E45" s="38">
        <f>E7*(1+$C$43)</f>
        <v>25874.999999999996</v>
      </c>
      <c r="F45" s="38">
        <f t="shared" ref="F45:J45" si="19">F7*(1+$C$43)</f>
        <v>28462.500000000004</v>
      </c>
      <c r="G45" s="38">
        <f t="shared" si="19"/>
        <v>31308.750000000007</v>
      </c>
      <c r="H45" s="38">
        <f t="shared" si="19"/>
        <v>36005.062500000007</v>
      </c>
      <c r="I45" s="38">
        <f t="shared" si="19"/>
        <v>41405.821875000009</v>
      </c>
      <c r="J45" s="38">
        <f t="shared" si="19"/>
        <v>47616.695156250003</v>
      </c>
    </row>
    <row r="46" spans="1:10" hidden="1" outlineLevel="2" x14ac:dyDescent="0.25">
      <c r="B46" s="27" t="s">
        <v>3</v>
      </c>
      <c r="C46" s="27"/>
      <c r="D46" s="40">
        <f t="shared" ref="D46:J46" si="20">D8*(1+$C$43)</f>
        <v>9200</v>
      </c>
      <c r="E46" s="41">
        <f t="shared" si="20"/>
        <v>10350</v>
      </c>
      <c r="F46" s="41">
        <f t="shared" si="20"/>
        <v>11385.000000000002</v>
      </c>
      <c r="G46" s="41">
        <f t="shared" si="20"/>
        <v>12523.500000000004</v>
      </c>
      <c r="H46" s="41">
        <f t="shared" si="20"/>
        <v>14402.025000000003</v>
      </c>
      <c r="I46" s="41">
        <f t="shared" si="20"/>
        <v>16562.328750000004</v>
      </c>
      <c r="J46" s="41">
        <f t="shared" si="20"/>
        <v>19046.678062500003</v>
      </c>
    </row>
    <row r="47" spans="1:10" hidden="1" outlineLevel="2" x14ac:dyDescent="0.25">
      <c r="B47" s="18" t="s">
        <v>4</v>
      </c>
      <c r="C47" s="18"/>
      <c r="D47" s="26">
        <f t="shared" ref="D47:J47" si="21">D9*(1+$C$43)</f>
        <v>13799.999999999998</v>
      </c>
      <c r="E47" s="38">
        <f t="shared" si="21"/>
        <v>15524.999999999998</v>
      </c>
      <c r="F47" s="38">
        <f t="shared" si="21"/>
        <v>17077.5</v>
      </c>
      <c r="G47" s="38">
        <f t="shared" si="21"/>
        <v>18785.250000000004</v>
      </c>
      <c r="H47" s="38">
        <f t="shared" si="21"/>
        <v>21603.037500000002</v>
      </c>
      <c r="I47" s="38">
        <f t="shared" si="21"/>
        <v>24843.493125000005</v>
      </c>
      <c r="J47" s="38">
        <f t="shared" si="21"/>
        <v>28570.017093750004</v>
      </c>
    </row>
    <row r="48" spans="1:10" hidden="1" outlineLevel="2" x14ac:dyDescent="0.25">
      <c r="B48" s="27" t="s">
        <v>6</v>
      </c>
      <c r="C48" s="27"/>
      <c r="D48" s="40">
        <f t="shared" ref="D48:J48" si="22">D10*(1+$C$43)</f>
        <v>2300</v>
      </c>
      <c r="E48" s="41">
        <f t="shared" si="22"/>
        <v>2587.5</v>
      </c>
      <c r="F48" s="36">
        <f t="shared" si="22"/>
        <v>2875</v>
      </c>
      <c r="G48" s="36">
        <f t="shared" si="22"/>
        <v>2875</v>
      </c>
      <c r="H48" s="36">
        <f t="shared" si="22"/>
        <v>2875</v>
      </c>
      <c r="I48" s="36">
        <f t="shared" si="22"/>
        <v>2875</v>
      </c>
      <c r="J48" s="36">
        <f t="shared" si="22"/>
        <v>2875</v>
      </c>
    </row>
    <row r="49" spans="2:10" hidden="1" outlineLevel="2" x14ac:dyDescent="0.25">
      <c r="B49" s="18" t="s">
        <v>7</v>
      </c>
      <c r="C49" s="18"/>
      <c r="D49" s="15">
        <f t="shared" ref="D49:J49" si="23">D11*(1+$C$43)</f>
        <v>11500</v>
      </c>
      <c r="E49" s="38">
        <f t="shared" si="23"/>
        <v>12937.499999999998</v>
      </c>
      <c r="F49" s="38">
        <f t="shared" si="23"/>
        <v>14202.500000000002</v>
      </c>
      <c r="G49" s="37">
        <f t="shared" si="23"/>
        <v>15910.250000000004</v>
      </c>
      <c r="H49" s="37">
        <f t="shared" si="23"/>
        <v>18728.037500000002</v>
      </c>
      <c r="I49" s="37">
        <f t="shared" si="23"/>
        <v>21968.493125000005</v>
      </c>
      <c r="J49" s="37">
        <f t="shared" si="23"/>
        <v>25695.017093750004</v>
      </c>
    </row>
    <row r="50" spans="2:10" hidden="1" outlineLevel="2" x14ac:dyDescent="0.25">
      <c r="B50" s="18" t="s">
        <v>8</v>
      </c>
      <c r="C50" s="18"/>
      <c r="D50" s="15">
        <f t="shared" ref="D50:J50" si="24">D12*(1+$C$43)</f>
        <v>919.99999999999989</v>
      </c>
      <c r="E50" s="38">
        <f t="shared" si="24"/>
        <v>1035</v>
      </c>
      <c r="F50" s="38">
        <f t="shared" si="24"/>
        <v>1423.1250000000002</v>
      </c>
      <c r="G50" s="37">
        <f t="shared" si="24"/>
        <v>1565.4375000000005</v>
      </c>
      <c r="H50" s="37">
        <f t="shared" si="24"/>
        <v>1800.2531250000004</v>
      </c>
      <c r="I50" s="37">
        <f t="shared" si="24"/>
        <v>2070.2910937500005</v>
      </c>
      <c r="J50" s="37">
        <f t="shared" si="24"/>
        <v>2380.8347578125004</v>
      </c>
    </row>
    <row r="51" spans="2:10" hidden="1" outlineLevel="2" x14ac:dyDescent="0.25">
      <c r="B51" s="27" t="s">
        <v>9</v>
      </c>
      <c r="C51" s="27"/>
      <c r="D51" s="40">
        <f t="shared" ref="D51:J51" si="25">D13*(1+$C$43)</f>
        <v>229.99999999999997</v>
      </c>
      <c r="E51" s="41">
        <f t="shared" si="25"/>
        <v>258.75</v>
      </c>
      <c r="F51" s="41">
        <f t="shared" si="25"/>
        <v>287.5</v>
      </c>
      <c r="G51" s="36">
        <f t="shared" si="25"/>
        <v>287.5</v>
      </c>
      <c r="H51" s="36">
        <f t="shared" si="25"/>
        <v>287.5</v>
      </c>
      <c r="I51" s="36">
        <f t="shared" si="25"/>
        <v>287.5</v>
      </c>
      <c r="J51" s="36">
        <f t="shared" si="25"/>
        <v>287.5</v>
      </c>
    </row>
    <row r="52" spans="2:10" hidden="1" outlineLevel="2" x14ac:dyDescent="0.25">
      <c r="B52" s="18" t="s">
        <v>10</v>
      </c>
      <c r="C52" s="18"/>
      <c r="D52" s="16">
        <f t="shared" ref="D52:J52" si="26">D14*(1+$C$43)</f>
        <v>10350</v>
      </c>
      <c r="E52" s="38">
        <f t="shared" si="26"/>
        <v>11643.75</v>
      </c>
      <c r="F52" s="38">
        <f t="shared" si="26"/>
        <v>12491.875000000002</v>
      </c>
      <c r="G52" s="37">
        <f t="shared" si="26"/>
        <v>14057.312500000004</v>
      </c>
      <c r="H52" s="37">
        <f t="shared" si="26"/>
        <v>16640.284375000003</v>
      </c>
      <c r="I52" s="37">
        <f t="shared" si="26"/>
        <v>19610.702031250006</v>
      </c>
      <c r="J52" s="37">
        <f t="shared" si="26"/>
        <v>23026.682335937501</v>
      </c>
    </row>
    <row r="53" spans="2:10" hidden="1" outlineLevel="2" x14ac:dyDescent="0.25">
      <c r="B53" s="27" t="s">
        <v>5</v>
      </c>
      <c r="C53" s="27"/>
      <c r="D53" s="40">
        <f t="shared" ref="D53:J53" si="27">D15*(1+$C$43)</f>
        <v>3104.9999999999995</v>
      </c>
      <c r="E53" s="41">
        <f t="shared" si="27"/>
        <v>3493.1249999999995</v>
      </c>
      <c r="F53" s="41">
        <f t="shared" si="27"/>
        <v>3747.5625000000005</v>
      </c>
      <c r="G53" s="36">
        <f t="shared" si="27"/>
        <v>4217.1937500000004</v>
      </c>
      <c r="H53" s="36">
        <f t="shared" si="27"/>
        <v>4992.0853125000012</v>
      </c>
      <c r="I53" s="36">
        <f t="shared" si="27"/>
        <v>5883.2106093750017</v>
      </c>
      <c r="J53" s="36">
        <f t="shared" si="27"/>
        <v>6908.00470078125</v>
      </c>
    </row>
    <row r="54" spans="2:10" ht="15.75" hidden="1" outlineLevel="1" collapsed="1" thickBot="1" x14ac:dyDescent="0.3">
      <c r="B54" s="31" t="s">
        <v>11</v>
      </c>
      <c r="C54" s="31"/>
      <c r="D54" s="32">
        <f t="shared" ref="D54:J54" si="28">D16*(1+$C$43)</f>
        <v>7244.9999999999991</v>
      </c>
      <c r="E54" s="42">
        <f t="shared" si="28"/>
        <v>8150.6249999999991</v>
      </c>
      <c r="F54" s="42">
        <f t="shared" si="28"/>
        <v>8744.3125000000018</v>
      </c>
      <c r="G54" s="39">
        <f t="shared" si="28"/>
        <v>9840.1187500000033</v>
      </c>
      <c r="H54" s="39">
        <f t="shared" si="28"/>
        <v>11648.199062500002</v>
      </c>
      <c r="I54" s="39">
        <f t="shared" si="28"/>
        <v>13727.491421875004</v>
      </c>
      <c r="J54" s="39">
        <f t="shared" si="28"/>
        <v>16118.677635156251</v>
      </c>
    </row>
    <row r="55" spans="2:10" collapsed="1" x14ac:dyDescent="0.25"/>
    <row r="58" spans="2:10" x14ac:dyDescent="0.25">
      <c r="B58" t="s">
        <v>21</v>
      </c>
      <c r="C58" s="43">
        <f>DATE(2022,1,15)</f>
        <v>44576</v>
      </c>
      <c r="D58">
        <v>0</v>
      </c>
      <c r="E58">
        <f>D58+1</f>
        <v>1</v>
      </c>
      <c r="F58">
        <f t="shared" ref="F58:J58" si="29">E58+1</f>
        <v>2</v>
      </c>
      <c r="G58">
        <f t="shared" si="29"/>
        <v>3</v>
      </c>
      <c r="H58">
        <f t="shared" si="29"/>
        <v>4</v>
      </c>
      <c r="I58">
        <f t="shared" si="29"/>
        <v>5</v>
      </c>
      <c r="J58">
        <f t="shared" si="29"/>
        <v>6</v>
      </c>
    </row>
    <row r="59" spans="2:10" x14ac:dyDescent="0.25">
      <c r="B59" t="s">
        <v>22</v>
      </c>
      <c r="D59" s="43">
        <f>EOMONTH($C$58,D58)</f>
        <v>44592</v>
      </c>
      <c r="E59" s="43">
        <f t="shared" ref="E59" si="30">EOMONTH($C$58,E58)</f>
        <v>44620</v>
      </c>
      <c r="F59" s="43">
        <f t="shared" ref="F59" si="31">EOMONTH($C$58,F58)</f>
        <v>44651</v>
      </c>
      <c r="G59" s="43">
        <f t="shared" ref="G59" si="32">EOMONTH($C$58,G58)</f>
        <v>44681</v>
      </c>
      <c r="H59" s="43">
        <f t="shared" ref="H59" si="33">EOMONTH($C$58,H58)</f>
        <v>44712</v>
      </c>
      <c r="I59" s="43">
        <f t="shared" ref="I59" si="34">EOMONTH($C$58,I58)</f>
        <v>44742</v>
      </c>
      <c r="J59" s="43">
        <f t="shared" ref="J59" si="35">EOMONTH($C$58,J58)</f>
        <v>44773</v>
      </c>
    </row>
    <row r="60" spans="2:10" x14ac:dyDescent="0.25">
      <c r="B60" t="s">
        <v>23</v>
      </c>
      <c r="D60" s="43">
        <f>DATE(YEAR($C$58)+D58,12,31)</f>
        <v>44926</v>
      </c>
      <c r="E60" s="43">
        <f t="shared" ref="E60:J60" si="36">DATE(YEAR($C$58)+E58,12,31)</f>
        <v>45291</v>
      </c>
      <c r="F60" s="43">
        <f t="shared" si="36"/>
        <v>45657</v>
      </c>
      <c r="G60" s="43">
        <f t="shared" si="36"/>
        <v>46022</v>
      </c>
      <c r="H60" s="43">
        <f t="shared" si="36"/>
        <v>46387</v>
      </c>
      <c r="I60" s="43">
        <f t="shared" si="36"/>
        <v>46752</v>
      </c>
      <c r="J60" s="43">
        <f t="shared" si="36"/>
        <v>47118</v>
      </c>
    </row>
    <row r="62" spans="2:10" x14ac:dyDescent="0.25">
      <c r="B62" t="s">
        <v>24</v>
      </c>
      <c r="D62">
        <f>YEARFRAC($C$58,D59)</f>
        <v>4.4444444444444446E-2</v>
      </c>
      <c r="E62">
        <f t="shared" ref="E62:J62" si="37">YEARFRAC($C$58,E59)</f>
        <v>0.11944444444444445</v>
      </c>
      <c r="F62">
        <f t="shared" si="37"/>
        <v>0.21111111111111111</v>
      </c>
      <c r="G62">
        <f t="shared" si="37"/>
        <v>0.29166666666666669</v>
      </c>
      <c r="H62">
        <f t="shared" si="37"/>
        <v>0.37777777777777777</v>
      </c>
      <c r="I62">
        <f t="shared" si="37"/>
        <v>0.45833333333333331</v>
      </c>
      <c r="J62">
        <f t="shared" si="37"/>
        <v>0.5444444444444444</v>
      </c>
    </row>
    <row r="63" spans="2:10" x14ac:dyDescent="0.25">
      <c r="B63" t="s">
        <v>25</v>
      </c>
      <c r="D63">
        <f>YEARFRAC($C$58,D60)</f>
        <v>0.96111111111111114</v>
      </c>
      <c r="E63">
        <f t="shared" ref="E63:J63" si="38">YEARFRAC($C$58,E60)</f>
        <v>1.961111111111111</v>
      </c>
      <c r="F63">
        <f t="shared" si="38"/>
        <v>2.9611111111111112</v>
      </c>
      <c r="G63">
        <f t="shared" si="38"/>
        <v>3.9611111111111112</v>
      </c>
      <c r="H63">
        <f t="shared" si="38"/>
        <v>4.9611111111111112</v>
      </c>
      <c r="I63">
        <f t="shared" si="38"/>
        <v>5.9611111111111112</v>
      </c>
      <c r="J63">
        <f t="shared" si="38"/>
        <v>6.9611111111111112</v>
      </c>
    </row>
    <row r="64" spans="2:10" x14ac:dyDescent="0.25">
      <c r="B64" s="1" t="s">
        <v>36</v>
      </c>
      <c r="D64" t="str">
        <f>IF(D63&lt;1,"stub","fullyear")</f>
        <v>stub</v>
      </c>
      <c r="E64" t="str">
        <f t="shared" ref="E64:J64" si="39">IF(E63&lt;1,"stub","fullyear")</f>
        <v>fullyear</v>
      </c>
      <c r="F64" t="str">
        <f t="shared" si="39"/>
        <v>fullyear</v>
      </c>
      <c r="G64" t="str">
        <f t="shared" si="39"/>
        <v>fullyear</v>
      </c>
      <c r="H64" t="str">
        <f t="shared" si="39"/>
        <v>fullyear</v>
      </c>
      <c r="I64" t="str">
        <f t="shared" si="39"/>
        <v>fullyear</v>
      </c>
      <c r="J64" t="str">
        <f t="shared" si="39"/>
        <v>fullyear</v>
      </c>
    </row>
    <row r="66" spans="2:10" x14ac:dyDescent="0.25">
      <c r="B66" s="1" t="s">
        <v>27</v>
      </c>
    </row>
    <row r="68" spans="2:10" x14ac:dyDescent="0.25">
      <c r="B68" t="s">
        <v>3</v>
      </c>
      <c r="C68" s="45">
        <v>0.1</v>
      </c>
      <c r="D68" s="7">
        <f>D8</f>
        <v>8000</v>
      </c>
      <c r="E68" s="7">
        <f>E8</f>
        <v>9000</v>
      </c>
      <c r="F68" s="7">
        <f t="shared" ref="F68:J68" si="40">F8</f>
        <v>9900.0000000000018</v>
      </c>
      <c r="G68" s="7">
        <f t="shared" si="40"/>
        <v>10890.000000000004</v>
      </c>
      <c r="H68" s="7">
        <f t="shared" si="40"/>
        <v>12523.500000000004</v>
      </c>
      <c r="I68" s="7">
        <f t="shared" si="40"/>
        <v>14402.025000000003</v>
      </c>
      <c r="J68" s="7">
        <f t="shared" si="40"/>
        <v>16562.328750000004</v>
      </c>
    </row>
    <row r="69" spans="2:10" x14ac:dyDescent="0.25">
      <c r="B69" t="s">
        <v>6</v>
      </c>
      <c r="C69" s="45">
        <v>0.2</v>
      </c>
      <c r="D69" s="7">
        <f>D10</f>
        <v>2000</v>
      </c>
      <c r="E69" s="7">
        <f>E10</f>
        <v>2250</v>
      </c>
      <c r="F69" s="7">
        <f t="shared" ref="F69:J69" si="41">F10</f>
        <v>2500</v>
      </c>
      <c r="G69" s="7">
        <f t="shared" si="41"/>
        <v>2500</v>
      </c>
      <c r="H69" s="7">
        <f t="shared" si="41"/>
        <v>2500</v>
      </c>
      <c r="I69" s="7">
        <f t="shared" si="41"/>
        <v>2500</v>
      </c>
      <c r="J69" s="7">
        <f t="shared" si="41"/>
        <v>2500</v>
      </c>
    </row>
    <row r="70" spans="2:10" x14ac:dyDescent="0.25">
      <c r="B70" t="s">
        <v>8</v>
      </c>
      <c r="C70" s="45">
        <v>0.2</v>
      </c>
      <c r="D70" s="7">
        <f>D12</f>
        <v>800</v>
      </c>
      <c r="E70" s="7">
        <f>E12</f>
        <v>900</v>
      </c>
      <c r="F70" s="7">
        <f t="shared" ref="F70:J70" si="42">F12</f>
        <v>1237.5000000000002</v>
      </c>
      <c r="G70" s="7">
        <f t="shared" si="42"/>
        <v>1361.2500000000005</v>
      </c>
      <c r="H70" s="7">
        <f t="shared" si="42"/>
        <v>1565.4375000000005</v>
      </c>
      <c r="I70" s="7">
        <f t="shared" si="42"/>
        <v>1800.2531250000004</v>
      </c>
      <c r="J70" s="7">
        <f t="shared" si="42"/>
        <v>2070.2910937500005</v>
      </c>
    </row>
    <row r="71" spans="2:10" x14ac:dyDescent="0.25">
      <c r="B71" t="s">
        <v>9</v>
      </c>
      <c r="C71" s="45">
        <v>0.3</v>
      </c>
      <c r="D71" s="7">
        <f>D13</f>
        <v>200</v>
      </c>
      <c r="E71" s="7">
        <f>E13</f>
        <v>225</v>
      </c>
      <c r="F71" s="7">
        <f t="shared" ref="F71:J71" si="43">F13</f>
        <v>250</v>
      </c>
      <c r="G71" s="7">
        <f t="shared" si="43"/>
        <v>250</v>
      </c>
      <c r="H71" s="7">
        <f t="shared" si="43"/>
        <v>250</v>
      </c>
      <c r="I71" s="7">
        <f t="shared" si="43"/>
        <v>250</v>
      </c>
      <c r="J71" s="7">
        <f t="shared" si="43"/>
        <v>250</v>
      </c>
    </row>
    <row r="72" spans="2:10" x14ac:dyDescent="0.25">
      <c r="B72" t="s">
        <v>5</v>
      </c>
      <c r="C72" s="45">
        <v>0.2</v>
      </c>
      <c r="D72" s="7">
        <f>D15</f>
        <v>2700</v>
      </c>
      <c r="E72" s="7">
        <f>E15</f>
        <v>3037.5</v>
      </c>
      <c r="F72" s="7">
        <f t="shared" ref="F72:J72" si="44">F15</f>
        <v>3258.7500000000005</v>
      </c>
      <c r="G72" s="7">
        <f t="shared" si="44"/>
        <v>3667.1250000000009</v>
      </c>
      <c r="H72" s="7">
        <f t="shared" si="44"/>
        <v>4340.9437500000013</v>
      </c>
      <c r="I72" s="7">
        <f t="shared" si="44"/>
        <v>5115.8353125000021</v>
      </c>
      <c r="J72" s="7">
        <f t="shared" si="44"/>
        <v>6006.9606093750008</v>
      </c>
    </row>
    <row r="73" spans="2:10" x14ac:dyDescent="0.25">
      <c r="B73" s="46" t="s">
        <v>28</v>
      </c>
      <c r="C73" s="47"/>
      <c r="D73" s="48">
        <f>SUM(D68:D72)</f>
        <v>13700</v>
      </c>
      <c r="E73" s="48">
        <f t="shared" ref="E73:J73" si="45">SUM(E68:E72)</f>
        <v>15412.5</v>
      </c>
      <c r="F73" s="48">
        <f t="shared" si="45"/>
        <v>17146.250000000004</v>
      </c>
      <c r="G73" s="48">
        <f t="shared" si="45"/>
        <v>18668.375000000004</v>
      </c>
      <c r="H73" s="48">
        <f t="shared" si="45"/>
        <v>21179.881250000006</v>
      </c>
      <c r="I73" s="48">
        <f t="shared" si="45"/>
        <v>24068.113437500004</v>
      </c>
      <c r="J73" s="48">
        <f t="shared" si="45"/>
        <v>27389.580453125007</v>
      </c>
    </row>
    <row r="76" spans="2:10" x14ac:dyDescent="0.25">
      <c r="B76" s="44" t="s">
        <v>29</v>
      </c>
      <c r="D76">
        <f>AVERAGE(D68:D73)</f>
        <v>4566.666666666667</v>
      </c>
      <c r="E76">
        <f t="shared" ref="E76:J76" si="46">AVERAGE(E68:E73)</f>
        <v>5137.5</v>
      </c>
      <c r="F76">
        <f t="shared" si="46"/>
        <v>5715.4166666666679</v>
      </c>
      <c r="G76">
        <f t="shared" si="46"/>
        <v>6222.7916666666679</v>
      </c>
      <c r="H76">
        <f t="shared" si="46"/>
        <v>7059.9604166666686</v>
      </c>
      <c r="I76">
        <f t="shared" si="46"/>
        <v>8022.7044791666676</v>
      </c>
      <c r="J76">
        <f t="shared" si="46"/>
        <v>9129.8601510416684</v>
      </c>
    </row>
    <row r="77" spans="2:10" x14ac:dyDescent="0.25">
      <c r="B77" s="44" t="s">
        <v>30</v>
      </c>
      <c r="D77">
        <f>SUMPRODUCT(D68:D72,$C$68:$C$72)</f>
        <v>1960</v>
      </c>
      <c r="E77">
        <f t="shared" ref="E77:J77" si="47">SUMPRODUCT(E68:E72,$C$68:$C$72)</f>
        <v>2205</v>
      </c>
      <c r="F77">
        <f t="shared" si="47"/>
        <v>2464.2500000000005</v>
      </c>
      <c r="G77">
        <f t="shared" si="47"/>
        <v>2669.6750000000006</v>
      </c>
      <c r="H77">
        <f t="shared" si="47"/>
        <v>3008.6262500000007</v>
      </c>
      <c r="I77">
        <f t="shared" si="47"/>
        <v>3398.4201875000008</v>
      </c>
      <c r="J77">
        <f t="shared" si="47"/>
        <v>3846.6832156250011</v>
      </c>
    </row>
    <row r="78" spans="2:10" x14ac:dyDescent="0.25">
      <c r="B78" s="44" t="s">
        <v>31</v>
      </c>
      <c r="D78" s="7">
        <f>MEDIAN(D68:D72)</f>
        <v>2000</v>
      </c>
      <c r="E78" s="7">
        <f t="shared" ref="E78:J78" si="48">MEDIAN(E68:E72)</f>
        <v>2250</v>
      </c>
      <c r="F78" s="7">
        <f t="shared" si="48"/>
        <v>2500</v>
      </c>
      <c r="G78" s="7">
        <f t="shared" si="48"/>
        <v>2500</v>
      </c>
      <c r="H78" s="7">
        <f t="shared" si="48"/>
        <v>2500</v>
      </c>
      <c r="I78" s="7">
        <f t="shared" si="48"/>
        <v>2500</v>
      </c>
      <c r="J78" s="7">
        <f t="shared" si="48"/>
        <v>2500</v>
      </c>
    </row>
    <row r="79" spans="2:10" x14ac:dyDescent="0.25">
      <c r="B79" s="8"/>
    </row>
    <row r="80" spans="2:10" x14ac:dyDescent="0.25">
      <c r="B80" s="44" t="s">
        <v>32</v>
      </c>
      <c r="D80" s="7">
        <f>MIN(D68:D72)</f>
        <v>200</v>
      </c>
      <c r="E80" s="7">
        <f t="shared" ref="E80:J80" si="49">MIN(E68:E72)</f>
        <v>225</v>
      </c>
      <c r="F80" s="7">
        <f t="shared" si="49"/>
        <v>250</v>
      </c>
      <c r="G80" s="7">
        <f t="shared" si="49"/>
        <v>250</v>
      </c>
      <c r="H80" s="7">
        <f t="shared" si="49"/>
        <v>250</v>
      </c>
      <c r="I80" s="7">
        <f t="shared" si="49"/>
        <v>250</v>
      </c>
      <c r="J80" s="7">
        <f t="shared" si="49"/>
        <v>250</v>
      </c>
    </row>
    <row r="81" spans="2:10" x14ac:dyDescent="0.25">
      <c r="B81" s="44" t="s">
        <v>33</v>
      </c>
      <c r="D81" s="7">
        <f>MAX(D68:D72)</f>
        <v>8000</v>
      </c>
      <c r="E81" s="7">
        <f t="shared" ref="E81:J81" si="50">MAX(E68:E72)</f>
        <v>9000</v>
      </c>
      <c r="F81" s="7">
        <f t="shared" si="50"/>
        <v>9900.0000000000018</v>
      </c>
      <c r="G81" s="7">
        <f t="shared" si="50"/>
        <v>10890.000000000004</v>
      </c>
      <c r="H81" s="7">
        <f t="shared" si="50"/>
        <v>12523.500000000004</v>
      </c>
      <c r="I81" s="7">
        <f t="shared" si="50"/>
        <v>14402.025000000003</v>
      </c>
      <c r="J81" s="7">
        <f t="shared" si="50"/>
        <v>16562.328750000004</v>
      </c>
    </row>
    <row r="82" spans="2:10" x14ac:dyDescent="0.25">
      <c r="B82" s="44" t="s">
        <v>34</v>
      </c>
      <c r="C82">
        <v>2</v>
      </c>
      <c r="D82">
        <f>SMALL(D68:D72,2)</f>
        <v>800</v>
      </c>
      <c r="E82">
        <f t="shared" ref="E82:J82" si="51">SMALL(E68:E72,2)</f>
        <v>900</v>
      </c>
      <c r="F82">
        <f t="shared" si="51"/>
        <v>1237.5000000000002</v>
      </c>
      <c r="G82">
        <f t="shared" si="51"/>
        <v>1361.2500000000005</v>
      </c>
      <c r="H82">
        <f t="shared" si="51"/>
        <v>1565.4375000000005</v>
      </c>
      <c r="I82">
        <f t="shared" si="51"/>
        <v>1800.2531250000004</v>
      </c>
      <c r="J82">
        <f t="shared" si="51"/>
        <v>2070.2910937500005</v>
      </c>
    </row>
    <row r="83" spans="2:10" x14ac:dyDescent="0.25">
      <c r="B83" s="44" t="s">
        <v>35</v>
      </c>
      <c r="C83">
        <v>2</v>
      </c>
      <c r="D83">
        <f>LARGE(D68:D72,3)</f>
        <v>2000</v>
      </c>
      <c r="E83">
        <f t="shared" ref="E83:J83" si="52">LARGE(E68:E72,3)</f>
        <v>2250</v>
      </c>
      <c r="F83">
        <f t="shared" si="52"/>
        <v>2500</v>
      </c>
      <c r="G83">
        <f t="shared" si="52"/>
        <v>2500</v>
      </c>
      <c r="H83">
        <f t="shared" si="52"/>
        <v>2500</v>
      </c>
      <c r="I83">
        <f t="shared" si="52"/>
        <v>2500</v>
      </c>
      <c r="J83">
        <f t="shared" si="52"/>
        <v>2500</v>
      </c>
    </row>
    <row r="85" spans="2:10" x14ac:dyDescent="0.25">
      <c r="B85" s="44" t="s">
        <v>37</v>
      </c>
    </row>
    <row r="86" spans="2:10" x14ac:dyDescent="0.25">
      <c r="B86" s="44" t="s">
        <v>38</v>
      </c>
      <c r="D86">
        <f>IF(D73&lt;17500,D73,0)</f>
        <v>13700</v>
      </c>
      <c r="E86">
        <f t="shared" ref="E86:J86" si="53">IF(E73&lt;17500,E73,0)</f>
        <v>15412.5</v>
      </c>
      <c r="F86">
        <f t="shared" si="53"/>
        <v>17146.250000000004</v>
      </c>
      <c r="G86">
        <f t="shared" si="53"/>
        <v>0</v>
      </c>
      <c r="H86">
        <f t="shared" si="53"/>
        <v>0</v>
      </c>
      <c r="I86">
        <f t="shared" si="53"/>
        <v>0</v>
      </c>
      <c r="J86">
        <f t="shared" si="53"/>
        <v>0</v>
      </c>
    </row>
    <row r="87" spans="2:10" x14ac:dyDescent="0.25">
      <c r="B87" s="44" t="s">
        <v>39</v>
      </c>
      <c r="D87">
        <f>IF(D73&lt;=17500,0,D73)</f>
        <v>0</v>
      </c>
      <c r="E87">
        <f t="shared" ref="E87:J87" si="54">IF(E73&lt;=17500,0,E73)</f>
        <v>0</v>
      </c>
      <c r="F87">
        <f t="shared" si="54"/>
        <v>0</v>
      </c>
      <c r="G87">
        <f t="shared" si="54"/>
        <v>18668.375000000004</v>
      </c>
      <c r="H87">
        <f t="shared" si="54"/>
        <v>21179.881250000006</v>
      </c>
      <c r="I87">
        <f t="shared" si="54"/>
        <v>24068.113437500004</v>
      </c>
      <c r="J87">
        <f t="shared" si="54"/>
        <v>27389.580453125007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EB6-7B0B-4605-88E2-A956193CF417}">
  <sheetPr>
    <outlinePr summaryBelow="0"/>
  </sheetPr>
  <dimension ref="B1:G21"/>
  <sheetViews>
    <sheetView showGridLines="0" workbookViewId="0">
      <selection activeCell="D7" sqref="D7"/>
    </sheetView>
  </sheetViews>
  <sheetFormatPr defaultRowHeight="15" outlineLevelRow="1" outlineLevelCol="1" x14ac:dyDescent="0.25"/>
  <cols>
    <col min="2" max="3" width="14.7109375" customWidth="1"/>
    <col min="4" max="7" width="14.7109375" customWidth="1" outlineLevel="1"/>
  </cols>
  <sheetData>
    <row r="1" spans="2:7" ht="15.75" thickBot="1" x14ac:dyDescent="0.3"/>
    <row r="2" spans="2:7" ht="15.75" x14ac:dyDescent="0.25">
      <c r="B2" s="86" t="s">
        <v>69</v>
      </c>
      <c r="C2" s="86"/>
      <c r="D2" s="91"/>
      <c r="E2" s="91"/>
      <c r="F2" s="91"/>
      <c r="G2" s="91"/>
    </row>
    <row r="3" spans="2:7" ht="15.75" collapsed="1" x14ac:dyDescent="0.25">
      <c r="B3" s="85"/>
      <c r="C3" s="85"/>
      <c r="D3" s="92" t="s">
        <v>71</v>
      </c>
      <c r="E3" s="92" t="s">
        <v>65</v>
      </c>
      <c r="F3" s="92" t="s">
        <v>67</v>
      </c>
      <c r="G3" s="92" t="s">
        <v>68</v>
      </c>
    </row>
    <row r="4" spans="2:7" ht="22.5" hidden="1" outlineLevel="1" x14ac:dyDescent="0.25">
      <c r="B4" s="88"/>
      <c r="C4" s="88"/>
      <c r="D4" s="81"/>
      <c r="E4" s="96" t="s">
        <v>66</v>
      </c>
      <c r="F4" s="96" t="s">
        <v>66</v>
      </c>
      <c r="G4" s="96" t="s">
        <v>66</v>
      </c>
    </row>
    <row r="5" spans="2:7" x14ac:dyDescent="0.25">
      <c r="B5" s="89" t="s">
        <v>70</v>
      </c>
      <c r="C5" s="89"/>
      <c r="D5" s="87"/>
      <c r="E5" s="87"/>
      <c r="F5" s="87"/>
      <c r="G5" s="87"/>
    </row>
    <row r="6" spans="2:7" outlineLevel="1" x14ac:dyDescent="0.25">
      <c r="B6" s="88"/>
      <c r="C6" s="88" t="s">
        <v>53</v>
      </c>
      <c r="D6" s="81" t="s">
        <v>47</v>
      </c>
      <c r="E6" s="93" t="s">
        <v>47</v>
      </c>
      <c r="F6" s="93" t="s">
        <v>47</v>
      </c>
      <c r="G6" s="93" t="s">
        <v>47</v>
      </c>
    </row>
    <row r="7" spans="2:7" outlineLevel="1" x14ac:dyDescent="0.25">
      <c r="B7" s="88"/>
      <c r="C7" s="88" t="s">
        <v>54</v>
      </c>
      <c r="D7" s="82">
        <v>14500</v>
      </c>
      <c r="E7" s="94">
        <v>14500</v>
      </c>
      <c r="F7" s="94">
        <v>11500</v>
      </c>
      <c r="G7" s="94">
        <v>19500</v>
      </c>
    </row>
    <row r="8" spans="2:7" outlineLevel="1" x14ac:dyDescent="0.25">
      <c r="B8" s="88"/>
      <c r="C8" s="88" t="s">
        <v>55</v>
      </c>
      <c r="D8" s="81" t="s">
        <v>48</v>
      </c>
      <c r="E8" s="93" t="s">
        <v>48</v>
      </c>
      <c r="F8" s="93" t="s">
        <v>48</v>
      </c>
      <c r="G8" s="93" t="s">
        <v>48</v>
      </c>
    </row>
    <row r="9" spans="2:7" outlineLevel="1" x14ac:dyDescent="0.25">
      <c r="B9" s="88"/>
      <c r="C9" s="88" t="s">
        <v>56</v>
      </c>
      <c r="D9" s="83">
        <v>0.1</v>
      </c>
      <c r="E9" s="95">
        <v>0.1</v>
      </c>
      <c r="F9" s="95">
        <v>0.05</v>
      </c>
      <c r="G9" s="95">
        <v>0.15</v>
      </c>
    </row>
    <row r="10" spans="2:7" outlineLevel="1" x14ac:dyDescent="0.25">
      <c r="B10" s="88"/>
      <c r="C10" s="88" t="s">
        <v>57</v>
      </c>
      <c r="D10" s="81" t="s">
        <v>49</v>
      </c>
      <c r="E10" s="93" t="s">
        <v>49</v>
      </c>
      <c r="F10" s="93" t="s">
        <v>49</v>
      </c>
      <c r="G10" s="93" t="s">
        <v>49</v>
      </c>
    </row>
    <row r="11" spans="2:7" outlineLevel="1" x14ac:dyDescent="0.25">
      <c r="B11" s="88"/>
      <c r="C11" s="88" t="s">
        <v>58</v>
      </c>
      <c r="D11" s="83">
        <v>0.6</v>
      </c>
      <c r="E11" s="95">
        <v>0.6</v>
      </c>
      <c r="F11" s="95">
        <v>0.5</v>
      </c>
      <c r="G11" s="95">
        <v>0.7</v>
      </c>
    </row>
    <row r="12" spans="2:7" x14ac:dyDescent="0.25">
      <c r="B12" s="89" t="s">
        <v>72</v>
      </c>
      <c r="C12" s="89"/>
      <c r="D12" s="87"/>
      <c r="E12" s="87"/>
      <c r="F12" s="87"/>
      <c r="G12" s="87"/>
    </row>
    <row r="13" spans="2:7" outlineLevel="1" x14ac:dyDescent="0.25">
      <c r="B13" s="88"/>
      <c r="C13" s="88" t="s">
        <v>59</v>
      </c>
      <c r="D13" s="81" t="s">
        <v>50</v>
      </c>
      <c r="E13" s="81" t="s">
        <v>50</v>
      </c>
      <c r="F13" s="81" t="s">
        <v>50</v>
      </c>
      <c r="G13" s="81" t="s">
        <v>50</v>
      </c>
    </row>
    <row r="14" spans="2:7" outlineLevel="1" x14ac:dyDescent="0.25">
      <c r="B14" s="88"/>
      <c r="C14" s="88" t="s">
        <v>60</v>
      </c>
      <c r="D14" s="81">
        <v>15950</v>
      </c>
      <c r="E14" s="81">
        <v>15950</v>
      </c>
      <c r="F14" s="81">
        <v>12075</v>
      </c>
      <c r="G14" s="81">
        <v>22425</v>
      </c>
    </row>
    <row r="15" spans="2:7" outlineLevel="1" x14ac:dyDescent="0.25">
      <c r="B15" s="88"/>
      <c r="C15" s="88" t="s">
        <v>61</v>
      </c>
      <c r="D15" s="81" t="s">
        <v>51</v>
      </c>
      <c r="E15" s="81" t="s">
        <v>51</v>
      </c>
      <c r="F15" s="81" t="s">
        <v>51</v>
      </c>
      <c r="G15" s="81" t="s">
        <v>51</v>
      </c>
    </row>
    <row r="16" spans="2:7" outlineLevel="1" x14ac:dyDescent="0.25">
      <c r="B16" s="88"/>
      <c r="C16" s="88" t="s">
        <v>62</v>
      </c>
      <c r="D16" s="81">
        <v>-6380</v>
      </c>
      <c r="E16" s="81">
        <v>-6380</v>
      </c>
      <c r="F16" s="81">
        <v>-6037.5</v>
      </c>
      <c r="G16" s="81">
        <v>-6727.5</v>
      </c>
    </row>
    <row r="17" spans="2:7" outlineLevel="1" x14ac:dyDescent="0.25">
      <c r="B17" s="88"/>
      <c r="C17" s="88" t="s">
        <v>63</v>
      </c>
      <c r="D17" s="81" t="s">
        <v>52</v>
      </c>
      <c r="E17" s="81" t="s">
        <v>52</v>
      </c>
      <c r="F17" s="81" t="s">
        <v>52</v>
      </c>
      <c r="G17" s="81" t="s">
        <v>52</v>
      </c>
    </row>
    <row r="18" spans="2:7" ht="15.75" outlineLevel="1" thickBot="1" x14ac:dyDescent="0.3">
      <c r="B18" s="90"/>
      <c r="C18" s="90" t="s">
        <v>64</v>
      </c>
      <c r="D18" s="84">
        <v>9570</v>
      </c>
      <c r="E18" s="84">
        <v>9570</v>
      </c>
      <c r="F18" s="84">
        <v>6037.5</v>
      </c>
      <c r="G18" s="84">
        <v>15697.5</v>
      </c>
    </row>
    <row r="19" spans="2:7" x14ac:dyDescent="0.25">
      <c r="B19" t="s">
        <v>73</v>
      </c>
    </row>
    <row r="20" spans="2:7" x14ac:dyDescent="0.25">
      <c r="B20" t="s">
        <v>74</v>
      </c>
    </row>
    <row r="21" spans="2:7" x14ac:dyDescent="0.25">
      <c r="B2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438B-A592-4B19-AFA1-2BE32D324DB9}">
  <dimension ref="A2:I45"/>
  <sheetViews>
    <sheetView showGridLines="0" workbookViewId="0">
      <selection activeCell="I30" sqref="I30"/>
    </sheetView>
  </sheetViews>
  <sheetFormatPr defaultRowHeight="15" x14ac:dyDescent="0.25"/>
  <cols>
    <col min="1" max="1" width="6.7109375" customWidth="1"/>
    <col min="2" max="2" width="12.7109375" customWidth="1"/>
    <col min="3" max="3" width="13.7109375" customWidth="1"/>
    <col min="4" max="14" width="12.7109375" customWidth="1"/>
  </cols>
  <sheetData>
    <row r="2" spans="1:4" x14ac:dyDescent="0.25">
      <c r="B2" s="1" t="s">
        <v>40</v>
      </c>
      <c r="C2" s="35">
        <v>0.25</v>
      </c>
    </row>
    <row r="3" spans="1:4" x14ac:dyDescent="0.25">
      <c r="A3" t="s">
        <v>12</v>
      </c>
      <c r="B3" s="1" t="s">
        <v>41</v>
      </c>
      <c r="C3" s="53">
        <f>VLOOKUP(C2,B6:D9,3,1)</f>
        <v>9.5000000000000001E-2</v>
      </c>
    </row>
    <row r="5" spans="1:4" x14ac:dyDescent="0.25">
      <c r="A5" t="s">
        <v>0</v>
      </c>
      <c r="B5" s="100" t="s">
        <v>40</v>
      </c>
      <c r="C5" s="101" t="s">
        <v>42</v>
      </c>
      <c r="D5" s="100" t="s">
        <v>41</v>
      </c>
    </row>
    <row r="6" spans="1:4" x14ac:dyDescent="0.25">
      <c r="B6" s="49">
        <v>0</v>
      </c>
      <c r="C6" s="50" t="s">
        <v>43</v>
      </c>
      <c r="D6" s="51">
        <v>9.5000000000000001E-2</v>
      </c>
    </row>
    <row r="7" spans="1:4" x14ac:dyDescent="0.25">
      <c r="B7" s="49">
        <v>0.3</v>
      </c>
      <c r="C7" s="50" t="s">
        <v>44</v>
      </c>
      <c r="D7" s="51">
        <v>9.7500000000000003E-2</v>
      </c>
    </row>
    <row r="8" spans="1:4" x14ac:dyDescent="0.25">
      <c r="B8" s="49">
        <v>0.5</v>
      </c>
      <c r="C8" s="52" t="s">
        <v>45</v>
      </c>
      <c r="D8" s="51">
        <v>0.1225</v>
      </c>
    </row>
    <row r="9" spans="1:4" x14ac:dyDescent="0.25">
      <c r="B9" s="49">
        <v>0.6</v>
      </c>
      <c r="C9" s="52" t="s">
        <v>46</v>
      </c>
      <c r="D9" s="51">
        <v>0.13750000000000001</v>
      </c>
    </row>
    <row r="12" spans="1:4" x14ac:dyDescent="0.25">
      <c r="B12" s="65" t="s">
        <v>47</v>
      </c>
      <c r="C12" s="102">
        <v>14500</v>
      </c>
    </row>
    <row r="13" spans="1:4" x14ac:dyDescent="0.25">
      <c r="B13" s="103" t="s">
        <v>48</v>
      </c>
      <c r="C13" s="57">
        <v>0.1</v>
      </c>
    </row>
    <row r="14" spans="1:4" x14ac:dyDescent="0.25">
      <c r="B14" s="104" t="s">
        <v>49</v>
      </c>
      <c r="C14" s="105">
        <v>0.6</v>
      </c>
    </row>
    <row r="17" spans="2:3" x14ac:dyDescent="0.25">
      <c r="B17" s="8" t="s">
        <v>50</v>
      </c>
      <c r="C17">
        <f>C12*(1+C13)</f>
        <v>15950.000000000002</v>
      </c>
    </row>
    <row r="18" spans="2:3" x14ac:dyDescent="0.25">
      <c r="B18" s="8" t="s">
        <v>51</v>
      </c>
      <c r="C18">
        <f>-C17*(1-C14)</f>
        <v>-6380.0000000000009</v>
      </c>
    </row>
    <row r="19" spans="2:3" ht="15.75" thickBot="1" x14ac:dyDescent="0.3">
      <c r="B19" s="8" t="s">
        <v>52</v>
      </c>
      <c r="C19" s="54">
        <f>C17+C18</f>
        <v>9570</v>
      </c>
    </row>
    <row r="20" spans="2:3" ht="15.75" thickTop="1" x14ac:dyDescent="0.25"/>
    <row r="22" spans="2:3" x14ac:dyDescent="0.25">
      <c r="B22" s="55" t="s">
        <v>48</v>
      </c>
      <c r="C22" s="55" t="s">
        <v>4</v>
      </c>
    </row>
    <row r="23" spans="2:3" x14ac:dyDescent="0.25">
      <c r="B23" s="60"/>
      <c r="C23" s="61">
        <f>C19</f>
        <v>9570</v>
      </c>
    </row>
    <row r="24" spans="2:3" x14ac:dyDescent="0.25">
      <c r="B24" s="62">
        <v>0.08</v>
      </c>
      <c r="C24" s="63">
        <f t="dataTable" ref="C24:C32" dt2D="0" dtr="0" r1="C13" ca="1"/>
        <v>9396</v>
      </c>
    </row>
    <row r="25" spans="2:3" x14ac:dyDescent="0.25">
      <c r="B25" s="62">
        <v>0.1</v>
      </c>
      <c r="C25" s="64">
        <v>9570</v>
      </c>
    </row>
    <row r="26" spans="2:3" x14ac:dyDescent="0.25">
      <c r="B26" s="62">
        <v>0.12</v>
      </c>
      <c r="C26" s="64">
        <v>9744</v>
      </c>
    </row>
    <row r="27" spans="2:3" x14ac:dyDescent="0.25">
      <c r="B27" s="62">
        <v>0.14000000000000001</v>
      </c>
      <c r="C27" s="64">
        <v>9918</v>
      </c>
    </row>
    <row r="28" spans="2:3" x14ac:dyDescent="0.25">
      <c r="B28" s="62">
        <v>0.16</v>
      </c>
      <c r="C28" s="64">
        <v>10092</v>
      </c>
    </row>
    <row r="29" spans="2:3" x14ac:dyDescent="0.25">
      <c r="B29" s="62">
        <v>0.18</v>
      </c>
      <c r="C29" s="64">
        <v>10266</v>
      </c>
    </row>
    <row r="30" spans="2:3" x14ac:dyDescent="0.25">
      <c r="B30" s="62">
        <v>0.2</v>
      </c>
      <c r="C30" s="64">
        <v>10440</v>
      </c>
    </row>
    <row r="31" spans="2:3" x14ac:dyDescent="0.25">
      <c r="B31" s="62">
        <v>0.22</v>
      </c>
      <c r="C31" s="64">
        <v>10614</v>
      </c>
    </row>
    <row r="32" spans="2:3" x14ac:dyDescent="0.25">
      <c r="B32" s="62">
        <v>0.24</v>
      </c>
      <c r="C32" s="64">
        <v>10788</v>
      </c>
    </row>
    <row r="34" spans="2:9" x14ac:dyDescent="0.25">
      <c r="B34" s="65"/>
      <c r="C34" s="79" t="s">
        <v>49</v>
      </c>
      <c r="D34" s="79"/>
      <c r="E34" s="79"/>
      <c r="F34" s="79"/>
      <c r="G34" s="79"/>
      <c r="H34" s="79"/>
      <c r="I34" s="80"/>
    </row>
    <row r="35" spans="2:9" x14ac:dyDescent="0.25">
      <c r="B35" s="66"/>
      <c r="C35" s="56">
        <f>C19</f>
        <v>9570</v>
      </c>
      <c r="D35" s="51">
        <v>0.4</v>
      </c>
      <c r="E35" s="51">
        <v>0.5</v>
      </c>
      <c r="F35" s="51">
        <v>0.6</v>
      </c>
      <c r="G35" s="51">
        <v>0.7</v>
      </c>
      <c r="H35" s="51">
        <v>0.8</v>
      </c>
      <c r="I35" s="57">
        <v>0.9</v>
      </c>
    </row>
    <row r="36" spans="2:9" x14ac:dyDescent="0.25">
      <c r="B36" s="67"/>
      <c r="C36" s="62">
        <v>0.08</v>
      </c>
      <c r="D36" s="58">
        <f t="dataTable" ref="D36:I44" dt2D="1" dtr="1" r1="C13" r2="C14" ca="1"/>
        <v>1624</v>
      </c>
      <c r="E36" s="68">
        <v>1740</v>
      </c>
      <c r="F36" s="68">
        <v>1856</v>
      </c>
      <c r="G36" s="68">
        <v>1972</v>
      </c>
      <c r="H36" s="68">
        <v>2088</v>
      </c>
      <c r="I36" s="69">
        <v>2204</v>
      </c>
    </row>
    <row r="37" spans="2:9" x14ac:dyDescent="0.25">
      <c r="B37" s="70"/>
      <c r="C37" s="62">
        <v>0.1</v>
      </c>
      <c r="D37" s="59">
        <v>2030</v>
      </c>
      <c r="E37" s="71">
        <v>2175</v>
      </c>
      <c r="F37" s="72">
        <v>2320</v>
      </c>
      <c r="G37" s="71">
        <v>2465</v>
      </c>
      <c r="H37" s="71">
        <v>2610</v>
      </c>
      <c r="I37" s="73">
        <v>2755</v>
      </c>
    </row>
    <row r="38" spans="2:9" x14ac:dyDescent="0.25">
      <c r="B38" s="70"/>
      <c r="C38" s="62">
        <v>0.12</v>
      </c>
      <c r="D38" s="59">
        <v>2436</v>
      </c>
      <c r="E38" s="71">
        <v>2610</v>
      </c>
      <c r="F38" s="71">
        <v>2784</v>
      </c>
      <c r="G38" s="71">
        <v>2958</v>
      </c>
      <c r="H38" s="71">
        <v>3132</v>
      </c>
      <c r="I38" s="73">
        <v>3306</v>
      </c>
    </row>
    <row r="39" spans="2:9" x14ac:dyDescent="0.25">
      <c r="B39" s="74" t="s">
        <v>48</v>
      </c>
      <c r="C39" s="62">
        <v>0.14000000000000001</v>
      </c>
      <c r="D39" s="59">
        <v>2842</v>
      </c>
      <c r="E39" s="71">
        <v>3045</v>
      </c>
      <c r="F39" s="71">
        <v>3248</v>
      </c>
      <c r="G39" s="71">
        <v>3451</v>
      </c>
      <c r="H39" s="71">
        <v>3654</v>
      </c>
      <c r="I39" s="73">
        <v>3857</v>
      </c>
    </row>
    <row r="40" spans="2:9" x14ac:dyDescent="0.25">
      <c r="B40" s="70"/>
      <c r="C40" s="62">
        <v>0.16</v>
      </c>
      <c r="D40" s="59">
        <v>3248</v>
      </c>
      <c r="E40" s="71">
        <v>3480</v>
      </c>
      <c r="F40" s="71">
        <v>3712</v>
      </c>
      <c r="G40" s="71">
        <v>3944</v>
      </c>
      <c r="H40" s="71">
        <v>4176</v>
      </c>
      <c r="I40" s="73">
        <v>4408</v>
      </c>
    </row>
    <row r="41" spans="2:9" x14ac:dyDescent="0.25">
      <c r="B41" s="70"/>
      <c r="C41" s="62">
        <v>0.18</v>
      </c>
      <c r="D41" s="59">
        <v>3654</v>
      </c>
      <c r="E41" s="71">
        <v>3915</v>
      </c>
      <c r="F41" s="71">
        <v>4176</v>
      </c>
      <c r="G41" s="71">
        <v>4437</v>
      </c>
      <c r="H41" s="71">
        <v>4698</v>
      </c>
      <c r="I41" s="73">
        <v>4959</v>
      </c>
    </row>
    <row r="42" spans="2:9" x14ac:dyDescent="0.25">
      <c r="B42" s="70"/>
      <c r="C42" s="62">
        <v>0.2</v>
      </c>
      <c r="D42" s="59">
        <v>4060</v>
      </c>
      <c r="E42" s="71">
        <v>4350</v>
      </c>
      <c r="F42" s="71">
        <v>4640</v>
      </c>
      <c r="G42" s="71">
        <v>4930</v>
      </c>
      <c r="H42" s="71">
        <v>5220</v>
      </c>
      <c r="I42" s="73">
        <v>5510</v>
      </c>
    </row>
    <row r="43" spans="2:9" x14ac:dyDescent="0.25">
      <c r="B43" s="70"/>
      <c r="C43" s="62">
        <v>0.22</v>
      </c>
      <c r="D43" s="59">
        <v>4466</v>
      </c>
      <c r="E43" s="71">
        <v>4785</v>
      </c>
      <c r="F43" s="71">
        <v>5104</v>
      </c>
      <c r="G43" s="71">
        <v>5423</v>
      </c>
      <c r="H43" s="71">
        <v>5742</v>
      </c>
      <c r="I43" s="73">
        <v>6061</v>
      </c>
    </row>
    <row r="44" spans="2:9" x14ac:dyDescent="0.25">
      <c r="B44" s="75"/>
      <c r="C44" s="62">
        <v>0.24</v>
      </c>
      <c r="D44" s="76">
        <v>4872</v>
      </c>
      <c r="E44" s="77">
        <v>5220</v>
      </c>
      <c r="F44" s="77">
        <v>5568</v>
      </c>
      <c r="G44" s="77">
        <v>5916</v>
      </c>
      <c r="H44" s="77">
        <v>6264</v>
      </c>
      <c r="I44" s="78">
        <v>6612</v>
      </c>
    </row>
    <row r="45" spans="2:9" x14ac:dyDescent="0.25">
      <c r="B45" s="51"/>
      <c r="C45" s="59"/>
      <c r="D45" s="59"/>
      <c r="E45" s="59"/>
      <c r="F45" s="59"/>
      <c r="G45" s="8"/>
      <c r="H45" s="8"/>
      <c r="I45" s="8"/>
    </row>
  </sheetData>
  <scenarios current="0" show="0" sqref="B17:C19">
    <scenario name="base case" locked="1" count="6" user="SIAM" comment="Created by SIAM on 11/17/2023">
      <inputCells r="B12" val="Current Sales"/>
      <inputCells r="C12" val="14500" numFmtId="171"/>
      <inputCells r="B13" val="Sales Growth"/>
      <inputCells r="C13" val="0.1" numFmtId="10"/>
      <inputCells r="B14" val="Gross Margin"/>
      <inputCells r="C14" val="0.6" numFmtId="10"/>
    </scenario>
    <scenario name="worst case" locked="1" count="6" user="SIAM" comment="Created by SIAM on 11/17/2023">
      <inputCells r="B12" val="Current Sales"/>
      <inputCells r="C12" val="11500" numFmtId="171"/>
      <inputCells r="B13" val="Sales Growth"/>
      <inputCells r="C13" val="0.05" numFmtId="10"/>
      <inputCells r="B14" val="Gross Margin"/>
      <inputCells r="C14" val="0.5" numFmtId="10"/>
    </scenario>
    <scenario name="best" locked="1" count="6" user="SIAM" comment="Created by SIAM on 11/17/2023">
      <inputCells r="B12" val="Current Sales"/>
      <inputCells r="C12" val="19500" numFmtId="171"/>
      <inputCells r="B13" val="Sales Growth"/>
      <inputCells r="C13" val="0.15" numFmtId="10"/>
      <inputCells r="B14" val="Gross Margin"/>
      <inputCells r="C14" val="0.7" numFmtId="10"/>
    </scenario>
  </scenarios>
  <mergeCells count="1">
    <mergeCell ref="C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Scenario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saif</dc:creator>
  <cp:lastModifiedBy>siam saif</cp:lastModifiedBy>
  <dcterms:created xsi:type="dcterms:W3CDTF">2023-11-14T21:24:39Z</dcterms:created>
  <dcterms:modified xsi:type="dcterms:W3CDTF">2023-11-17T12:58:54Z</dcterms:modified>
</cp:coreProperties>
</file>