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unibe365-my.sharepoint.com/personal/simon_buerki_students_unibe_ch/Documents/03_Masterarbeit/water stress index/00_data/irrigation/"/>
    </mc:Choice>
  </mc:AlternateContent>
  <xr:revisionPtr revIDLastSave="408" documentId="8_{12A686AD-DC8D-43C3-8B4E-7152AD57F648}" xr6:coauthVersionLast="47" xr6:coauthVersionMax="47" xr10:uidLastSave="{2012C896-6571-42F3-9BDE-F088D0CBE8E7}"/>
  <bookViews>
    <workbookView xWindow="29970" yWindow="-10470" windowWidth="28800" windowHeight="15435" xr2:uid="{CF678478-B09E-4FC8-95A6-CAF7F9D0B003}"/>
  </bookViews>
  <sheets>
    <sheet name="summary culture types" sheetId="2" r:id="rId1"/>
    <sheet name="crop_coefficients" sheetId="3" r:id="rId2"/>
    <sheet name="Anpassung Wachstumsperioden" sheetId="5" r:id="rId3"/>
    <sheet name="Kc Adjustments" sheetId="4" r:id="rId4"/>
    <sheet name="Alle Kulturen" sheetId="1" r:id="rId5"/>
    <sheet name="Tabelle6" sheetId="6" r:id="rId6"/>
  </sheets>
  <definedNames>
    <definedName name="_xlnm._FilterDatabase" localSheetId="4" hidden="1">'Alle Kulturen'!$A$1:$C$99</definedName>
    <definedName name="_xlnm._FilterDatabase" localSheetId="1" hidden="1">crop_coefficients!$A$1:$N$22</definedName>
    <definedName name="_xlnm._FilterDatabase" localSheetId="0" hidden="1">'summary culture types'!$A$1:$Q$39</definedName>
    <definedName name="_xlnm._FilterDatabase" localSheetId="5" hidden="1">Tabelle6!$A$1:$O$26</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42" i="2" l="1"/>
  <c r="H28" i="2"/>
  <c r="I28" i="2"/>
  <c r="J28" i="2"/>
  <c r="K28" i="2"/>
  <c r="L28" i="2"/>
  <c r="M28" i="2"/>
  <c r="N28" i="2"/>
  <c r="O28" i="2"/>
  <c r="P28" i="2"/>
  <c r="Q28" i="2"/>
  <c r="R3" i="2"/>
  <c r="H22" i="2"/>
  <c r="I22" i="2"/>
  <c r="J22" i="2"/>
  <c r="K22" i="2"/>
  <c r="L22" i="2"/>
  <c r="M22" i="2"/>
  <c r="N22" i="2"/>
  <c r="O22" i="2"/>
  <c r="P22" i="2"/>
  <c r="Q22" i="2"/>
  <c r="R4" i="2"/>
  <c r="H32" i="2"/>
  <c r="I32" i="2"/>
  <c r="J32" i="2"/>
  <c r="K32" i="2"/>
  <c r="L32" i="2"/>
  <c r="M32" i="2"/>
  <c r="N32" i="2"/>
  <c r="O32" i="2"/>
  <c r="P32" i="2"/>
  <c r="Q32" i="2"/>
  <c r="R5" i="2"/>
  <c r="H7" i="2"/>
  <c r="I7" i="2"/>
  <c r="J7" i="2"/>
  <c r="K7" i="2"/>
  <c r="L7" i="2"/>
  <c r="M7" i="2"/>
  <c r="N7" i="2"/>
  <c r="O7" i="2"/>
  <c r="P7" i="2"/>
  <c r="Q7" i="2"/>
  <c r="R6" i="2"/>
  <c r="H20" i="2"/>
  <c r="I20" i="2"/>
  <c r="J20" i="2"/>
  <c r="K20" i="2"/>
  <c r="L20" i="2"/>
  <c r="M20" i="2"/>
  <c r="N20" i="2"/>
  <c r="O20" i="2"/>
  <c r="P20" i="2"/>
  <c r="Q20" i="2"/>
  <c r="R7" i="2"/>
  <c r="H14" i="2"/>
  <c r="I14" i="2"/>
  <c r="J14" i="2"/>
  <c r="K14" i="2"/>
  <c r="L14" i="2"/>
  <c r="M14" i="2"/>
  <c r="N14" i="2"/>
  <c r="O14" i="2"/>
  <c r="P14" i="2"/>
  <c r="Q14" i="2"/>
  <c r="R8" i="2"/>
  <c r="H37" i="2"/>
  <c r="I37" i="2"/>
  <c r="J37" i="2"/>
  <c r="K37" i="2"/>
  <c r="L37" i="2"/>
  <c r="M37" i="2"/>
  <c r="N37" i="2"/>
  <c r="O37" i="2"/>
  <c r="P37" i="2"/>
  <c r="Q37" i="2"/>
  <c r="R9" i="2"/>
  <c r="H6" i="2"/>
  <c r="I6" i="2"/>
  <c r="J6" i="2"/>
  <c r="K6" i="2"/>
  <c r="L6" i="2"/>
  <c r="M6" i="2"/>
  <c r="N6" i="2"/>
  <c r="O6" i="2"/>
  <c r="P6" i="2"/>
  <c r="Q6" i="2"/>
  <c r="R10" i="2"/>
  <c r="H34" i="2"/>
  <c r="I34" i="2"/>
  <c r="J34" i="2"/>
  <c r="K34" i="2"/>
  <c r="L34" i="2"/>
  <c r="M34" i="2"/>
  <c r="N34" i="2"/>
  <c r="O34" i="2"/>
  <c r="P34" i="2"/>
  <c r="Q34" i="2"/>
  <c r="R11" i="2"/>
  <c r="H30" i="2"/>
  <c r="I30" i="2"/>
  <c r="J30" i="2"/>
  <c r="K30" i="2"/>
  <c r="L30" i="2"/>
  <c r="M30" i="2"/>
  <c r="N30" i="2"/>
  <c r="O30" i="2"/>
  <c r="P30" i="2"/>
  <c r="Q30" i="2"/>
  <c r="R12" i="2"/>
  <c r="H33" i="2"/>
  <c r="I33" i="2"/>
  <c r="J33" i="2"/>
  <c r="K33" i="2"/>
  <c r="L33" i="2"/>
  <c r="M33" i="2"/>
  <c r="N33" i="2"/>
  <c r="O33" i="2"/>
  <c r="P33" i="2"/>
  <c r="Q33" i="2"/>
  <c r="R13" i="2"/>
  <c r="H38" i="2"/>
  <c r="I38" i="2"/>
  <c r="J38" i="2"/>
  <c r="K38" i="2"/>
  <c r="L38" i="2"/>
  <c r="M38" i="2"/>
  <c r="N38" i="2"/>
  <c r="O38" i="2"/>
  <c r="P38" i="2"/>
  <c r="Q38" i="2"/>
  <c r="R14" i="2"/>
  <c r="H9" i="2"/>
  <c r="I9" i="2"/>
  <c r="J9" i="2"/>
  <c r="K9" i="2"/>
  <c r="L9" i="2"/>
  <c r="M9" i="2"/>
  <c r="N9" i="2"/>
  <c r="O9" i="2"/>
  <c r="P9" i="2"/>
  <c r="Q9" i="2"/>
  <c r="R15" i="2"/>
  <c r="H26" i="2"/>
  <c r="I26" i="2"/>
  <c r="J26" i="2"/>
  <c r="K26" i="2"/>
  <c r="L26" i="2"/>
  <c r="M26" i="2"/>
  <c r="N26" i="2"/>
  <c r="O26" i="2"/>
  <c r="P26" i="2"/>
  <c r="Q26" i="2"/>
  <c r="R16" i="2"/>
  <c r="H16" i="2"/>
  <c r="I16" i="2"/>
  <c r="J16" i="2"/>
  <c r="K16" i="2"/>
  <c r="L16" i="2"/>
  <c r="M16" i="2"/>
  <c r="N16" i="2"/>
  <c r="O16" i="2"/>
  <c r="P16" i="2"/>
  <c r="Q16" i="2"/>
  <c r="R17" i="2"/>
  <c r="H4" i="2"/>
  <c r="I4" i="2"/>
  <c r="J4" i="2"/>
  <c r="K4" i="2"/>
  <c r="L4" i="2"/>
  <c r="M4" i="2"/>
  <c r="N4" i="2"/>
  <c r="O4" i="2"/>
  <c r="P4" i="2"/>
  <c r="Q4" i="2"/>
  <c r="R18" i="2"/>
  <c r="H36" i="2"/>
  <c r="I36" i="2"/>
  <c r="J36" i="2"/>
  <c r="K36" i="2"/>
  <c r="L36" i="2"/>
  <c r="M36" i="2"/>
  <c r="N36" i="2"/>
  <c r="O36" i="2"/>
  <c r="P36" i="2"/>
  <c r="Q36" i="2"/>
  <c r="R19" i="2"/>
  <c r="H2" i="2"/>
  <c r="I2" i="2"/>
  <c r="J2" i="2"/>
  <c r="K2" i="2"/>
  <c r="L2" i="2"/>
  <c r="M2" i="2"/>
  <c r="N2" i="2"/>
  <c r="O2" i="2"/>
  <c r="P2" i="2"/>
  <c r="Q2" i="2"/>
  <c r="R20" i="2"/>
  <c r="H12" i="2"/>
  <c r="I12" i="2"/>
  <c r="J12" i="2"/>
  <c r="K12" i="2"/>
  <c r="L12" i="2"/>
  <c r="M12" i="2"/>
  <c r="N12" i="2"/>
  <c r="O12" i="2"/>
  <c r="P12" i="2"/>
  <c r="Q12" i="2"/>
  <c r="R21" i="2"/>
  <c r="H15" i="2"/>
  <c r="I15" i="2"/>
  <c r="J15" i="2"/>
  <c r="K15" i="2"/>
  <c r="L15" i="2"/>
  <c r="M15" i="2"/>
  <c r="N15" i="2"/>
  <c r="O15" i="2"/>
  <c r="P15" i="2"/>
  <c r="Q15" i="2"/>
  <c r="R22" i="2"/>
  <c r="H31" i="2"/>
  <c r="I31" i="2"/>
  <c r="J31" i="2"/>
  <c r="K31" i="2"/>
  <c r="L31" i="2"/>
  <c r="M31" i="2"/>
  <c r="N31" i="2"/>
  <c r="O31" i="2"/>
  <c r="P31" i="2"/>
  <c r="Q31" i="2"/>
  <c r="R23" i="2"/>
  <c r="H35" i="2"/>
  <c r="I35" i="2"/>
  <c r="J35" i="2"/>
  <c r="K35" i="2"/>
  <c r="L35" i="2"/>
  <c r="M35" i="2"/>
  <c r="N35" i="2"/>
  <c r="O35" i="2"/>
  <c r="P35" i="2"/>
  <c r="Q35" i="2"/>
  <c r="R24" i="2"/>
  <c r="H11" i="2"/>
  <c r="I11" i="2"/>
  <c r="J11" i="2"/>
  <c r="K11" i="2"/>
  <c r="L11" i="2"/>
  <c r="M11" i="2"/>
  <c r="N11" i="2"/>
  <c r="O11" i="2"/>
  <c r="P11" i="2"/>
  <c r="Q11" i="2"/>
  <c r="R25" i="2"/>
  <c r="H24" i="2"/>
  <c r="I24" i="2"/>
  <c r="J24" i="2"/>
  <c r="K24" i="2"/>
  <c r="L24" i="2"/>
  <c r="M24" i="2"/>
  <c r="N24" i="2"/>
  <c r="O24" i="2"/>
  <c r="P24" i="2"/>
  <c r="Q24" i="2"/>
  <c r="R26" i="2"/>
  <c r="H13" i="2"/>
  <c r="I13" i="2"/>
  <c r="J13" i="2"/>
  <c r="K13" i="2"/>
  <c r="L13" i="2"/>
  <c r="M13" i="2"/>
  <c r="N13" i="2"/>
  <c r="O13" i="2"/>
  <c r="P13" i="2"/>
  <c r="Q13" i="2"/>
  <c r="R27" i="2"/>
  <c r="H27" i="2"/>
  <c r="I27" i="2"/>
  <c r="J27" i="2"/>
  <c r="K27" i="2"/>
  <c r="L27" i="2"/>
  <c r="M27" i="2"/>
  <c r="N27" i="2"/>
  <c r="O27" i="2"/>
  <c r="P27" i="2"/>
  <c r="Q27" i="2"/>
  <c r="R28" i="2"/>
  <c r="H39" i="2"/>
  <c r="I39" i="2"/>
  <c r="J39" i="2"/>
  <c r="K39" i="2"/>
  <c r="L39" i="2"/>
  <c r="M39" i="2"/>
  <c r="N39" i="2"/>
  <c r="O39" i="2"/>
  <c r="P39" i="2"/>
  <c r="Q39" i="2"/>
  <c r="R29" i="2"/>
  <c r="H3" i="2"/>
  <c r="I3" i="2"/>
  <c r="J3" i="2"/>
  <c r="K3" i="2"/>
  <c r="L3" i="2"/>
  <c r="M3" i="2"/>
  <c r="N3" i="2"/>
  <c r="O3" i="2"/>
  <c r="P3" i="2"/>
  <c r="Q3" i="2"/>
  <c r="R30" i="2"/>
  <c r="H5" i="2"/>
  <c r="I5" i="2"/>
  <c r="J5" i="2"/>
  <c r="K5" i="2"/>
  <c r="L5" i="2"/>
  <c r="M5" i="2"/>
  <c r="N5" i="2"/>
  <c r="O5" i="2"/>
  <c r="P5" i="2"/>
  <c r="Q5" i="2"/>
  <c r="R31" i="2"/>
  <c r="H23" i="2"/>
  <c r="I23" i="2"/>
  <c r="J23" i="2"/>
  <c r="K23" i="2"/>
  <c r="L23" i="2"/>
  <c r="M23" i="2"/>
  <c r="N23" i="2"/>
  <c r="O23" i="2"/>
  <c r="P23" i="2"/>
  <c r="Q23" i="2"/>
  <c r="R32" i="2"/>
  <c r="H19" i="2"/>
  <c r="I19" i="2"/>
  <c r="J19" i="2"/>
  <c r="K19" i="2"/>
  <c r="L19" i="2"/>
  <c r="M19" i="2"/>
  <c r="N19" i="2"/>
  <c r="O19" i="2"/>
  <c r="P19" i="2"/>
  <c r="Q19" i="2"/>
  <c r="R33" i="2"/>
  <c r="H10" i="2"/>
  <c r="I10" i="2"/>
  <c r="J10" i="2"/>
  <c r="K10" i="2"/>
  <c r="L10" i="2"/>
  <c r="M10" i="2"/>
  <c r="N10" i="2"/>
  <c r="O10" i="2"/>
  <c r="P10" i="2"/>
  <c r="Q10" i="2"/>
  <c r="R34" i="2"/>
  <c r="H25" i="2"/>
  <c r="I25" i="2"/>
  <c r="J25" i="2"/>
  <c r="K25" i="2"/>
  <c r="L25" i="2"/>
  <c r="M25" i="2"/>
  <c r="N25" i="2"/>
  <c r="O25" i="2"/>
  <c r="P25" i="2"/>
  <c r="Q25" i="2"/>
  <c r="R35" i="2"/>
  <c r="H18" i="2"/>
  <c r="I18" i="2"/>
  <c r="J18" i="2"/>
  <c r="K18" i="2"/>
  <c r="L18" i="2"/>
  <c r="M18" i="2"/>
  <c r="N18" i="2"/>
  <c r="O18" i="2"/>
  <c r="P18" i="2"/>
  <c r="Q18" i="2"/>
  <c r="R36" i="2"/>
  <c r="H8" i="2"/>
  <c r="I8" i="2"/>
  <c r="J8" i="2"/>
  <c r="K8" i="2"/>
  <c r="L8" i="2"/>
  <c r="M8" i="2"/>
  <c r="N8" i="2"/>
  <c r="O8" i="2"/>
  <c r="P8" i="2"/>
  <c r="Q8" i="2"/>
  <c r="R37" i="2"/>
  <c r="H29" i="2"/>
  <c r="I29" i="2"/>
  <c r="J29" i="2"/>
  <c r="K29" i="2"/>
  <c r="L29" i="2"/>
  <c r="M29" i="2"/>
  <c r="N29" i="2"/>
  <c r="O29" i="2"/>
  <c r="P29" i="2"/>
  <c r="Q29" i="2"/>
  <c r="R38" i="2"/>
  <c r="H21" i="2"/>
  <c r="I21" i="2"/>
  <c r="J21" i="2"/>
  <c r="K21" i="2"/>
  <c r="L21" i="2"/>
  <c r="M21" i="2"/>
  <c r="N21" i="2"/>
  <c r="O21" i="2"/>
  <c r="P21" i="2"/>
  <c r="Q21" i="2"/>
  <c r="R39" i="2"/>
  <c r="R2" i="2"/>
  <c r="Q17" i="2"/>
  <c r="P17" i="2"/>
  <c r="O17" i="2"/>
  <c r="N17" i="2"/>
  <c r="M17" i="2"/>
  <c r="L17" i="2"/>
  <c r="K17" i="2"/>
  <c r="J17" i="2"/>
  <c r="I17" i="2"/>
  <c r="H17" i="2"/>
  <c r="P26" i="6"/>
  <c r="O26" i="6"/>
  <c r="N26" i="6"/>
  <c r="L23" i="3"/>
  <c r="B23" i="3" a="1"/>
  <c r="B23" i="3" s="1"/>
  <c r="I8" i="3"/>
  <c r="M26" i="6"/>
  <c r="C2" i="4"/>
  <c r="I9" i="3" s="1"/>
  <c r="B2" i="4"/>
  <c r="I10" i="3" s="1"/>
  <c r="I2" i="3"/>
  <c r="I3" i="3"/>
  <c r="I5" i="3"/>
  <c r="I6" i="3"/>
  <c r="I7" i="3"/>
  <c r="I11" i="3"/>
  <c r="I14" i="3"/>
  <c r="I19" i="3"/>
  <c r="I21" i="3"/>
  <c r="G19" i="3"/>
  <c r="L19" i="3"/>
  <c r="G21" i="3"/>
  <c r="L21" i="3" s="1"/>
  <c r="H19" i="3"/>
  <c r="C30" i="2"/>
  <c r="E30" i="2" s="1"/>
  <c r="G4" i="1"/>
  <c r="G3" i="1"/>
  <c r="G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2" i="1"/>
  <c r="E36" i="2"/>
  <c r="L3" i="3"/>
  <c r="L4" i="3"/>
  <c r="L5" i="3"/>
  <c r="L6" i="3"/>
  <c r="L7" i="3"/>
  <c r="L8" i="3"/>
  <c r="L11" i="3"/>
  <c r="L12" i="3"/>
  <c r="L15" i="3"/>
  <c r="G10" i="3"/>
  <c r="G2" i="3"/>
  <c r="B8" i="5"/>
  <c r="B9" i="5" s="1"/>
  <c r="C8" i="5"/>
  <c r="C9" i="5" s="1"/>
  <c r="D8" i="5"/>
  <c r="D9" i="5" s="1"/>
  <c r="E8" i="5"/>
  <c r="F8" i="5"/>
  <c r="H8" i="5"/>
  <c r="E9" i="5"/>
  <c r="F9" i="5"/>
  <c r="H3" i="3"/>
  <c r="H4" i="3"/>
  <c r="H5" i="3"/>
  <c r="H6" i="3"/>
  <c r="H7" i="3"/>
  <c r="H8" i="3"/>
  <c r="C9" i="3"/>
  <c r="D9" i="3"/>
  <c r="E9" i="3"/>
  <c r="F9" i="3"/>
  <c r="M9" i="3"/>
  <c r="J9" i="3"/>
  <c r="K9" i="3"/>
  <c r="H11" i="3"/>
  <c r="H12" i="3"/>
  <c r="J12" i="3"/>
  <c r="J14" i="3" s="1"/>
  <c r="K12" i="3"/>
  <c r="C13" i="3"/>
  <c r="D13" i="3"/>
  <c r="E13" i="3"/>
  <c r="F13" i="3"/>
  <c r="M13" i="3"/>
  <c r="J13" i="3"/>
  <c r="K13" i="3"/>
  <c r="C14" i="3"/>
  <c r="D14" i="3"/>
  <c r="E14" i="3"/>
  <c r="F14" i="3"/>
  <c r="G14" i="3"/>
  <c r="L14" i="3" s="1"/>
  <c r="M14" i="3"/>
  <c r="H15" i="3"/>
  <c r="B18" i="3"/>
  <c r="C18" i="3"/>
  <c r="D18" i="3"/>
  <c r="E18" i="3"/>
  <c r="F18" i="3"/>
  <c r="E26" i="2"/>
  <c r="E27" i="2"/>
  <c r="E25" i="2"/>
  <c r="E21" i="2"/>
  <c r="E34" i="2"/>
  <c r="E35" i="2"/>
  <c r="E16" i="2"/>
  <c r="E20" i="2"/>
  <c r="E5" i="2"/>
  <c r="E15" i="2"/>
  <c r="E4" i="2"/>
  <c r="E8" i="2"/>
  <c r="E39" i="2"/>
  <c r="E24" i="2"/>
  <c r="E2" i="2"/>
  <c r="E9" i="2"/>
  <c r="E10" i="2"/>
  <c r="E37" i="2"/>
  <c r="E38" i="2"/>
  <c r="E19" i="2"/>
  <c r="E23" i="2"/>
  <c r="E3" i="2"/>
  <c r="E6" i="2"/>
  <c r="E7" i="2"/>
  <c r="E11" i="2"/>
  <c r="E12" i="2"/>
  <c r="E13" i="2"/>
  <c r="E14" i="2"/>
  <c r="E17" i="2"/>
  <c r="E18" i="2"/>
  <c r="E22" i="2"/>
  <c r="E28" i="2"/>
  <c r="E29" i="2"/>
  <c r="E31" i="2"/>
  <c r="E32" i="2"/>
  <c r="E33" i="2"/>
  <c r="I23" i="3" l="1" a="1"/>
  <c r="I23" i="3" s="1"/>
  <c r="I12" i="3"/>
  <c r="I13" i="3"/>
  <c r="I18" i="3"/>
  <c r="I15" i="3"/>
  <c r="I4" i="3"/>
  <c r="G18" i="3"/>
  <c r="H2" i="3"/>
  <c r="G13" i="3"/>
  <c r="L10" i="3"/>
  <c r="G9" i="3"/>
  <c r="L9" i="3" s="1"/>
  <c r="L2" i="3"/>
  <c r="H10" i="3"/>
  <c r="L13" i="3"/>
  <c r="H18" i="3"/>
  <c r="H14" i="3"/>
  <c r="K14" i="3"/>
  <c r="L18" i="3" l="1"/>
  <c r="H9" i="3"/>
  <c r="H13" i="3"/>
  <c r="K23" i="3"/>
  <c r="J23" i="3"/>
  <c r="G23" i="3"/>
  <c r="F23" i="3"/>
  <c r="E23" i="3"/>
  <c r="D23" i="3"/>
  <c r="C23" i="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<sst xmlns="http://schemas.openxmlformats.org/spreadsheetml/2006/main" count="661" uniqueCount="201">
  <si>
    <t>Ruderalflächen, Steinhaufen und -wälle</t>
  </si>
  <si>
    <t>ausserhalb LN</t>
  </si>
  <si>
    <t>Landwirtschaftliche Produktion in Gebäuden (z. B. Champignon, Brüsseler)</t>
  </si>
  <si>
    <t>Regionsspezifische Biodiversitätsförderflächen</t>
  </si>
  <si>
    <t>BFF I Fläche</t>
  </si>
  <si>
    <t>Mehrjährige Gewürz- und Medizinalpflanzen</t>
  </si>
  <si>
    <t>übrige Nutzfläche</t>
  </si>
  <si>
    <t>Unbefestigte, natürliche Wege</t>
  </si>
  <si>
    <t>Übrige Kulturen in geschütztem Anbau ohne festes Fundament, beitragsberechtigt</t>
  </si>
  <si>
    <t>Einjährige Gewürz- und Medizinalpflanzen</t>
  </si>
  <si>
    <t>Gemüse</t>
  </si>
  <si>
    <t>Hausgärten</t>
  </si>
  <si>
    <t>Andere Bäume (regionsspezifische Biodiversitätsförderfläche)</t>
  </si>
  <si>
    <t>BFF I Einzelobjekt</t>
  </si>
  <si>
    <t>Übrige Spezialkulturen in Gewächshäusern mit festem Fundament</t>
  </si>
  <si>
    <t>Regionsspezifische Biodiversitätsförderflächen (Weiden)</t>
  </si>
  <si>
    <t>Quinoa</t>
  </si>
  <si>
    <t>Getreide</t>
  </si>
  <si>
    <t>Übrige Flächen mit Dauerkulturen, beitragsberechtigt</t>
  </si>
  <si>
    <t>Saum auf Ackerflächen</t>
  </si>
  <si>
    <t>Übrige Spezialkulturen in geschütztem Anbau ohne festes Fundament</t>
  </si>
  <si>
    <t>Hanf zur Nutzung der Samen</t>
  </si>
  <si>
    <t>Kulturpflanzen</t>
  </si>
  <si>
    <t>Flächen ohne landwirtschaftliche Hauptzweckbestimmung (erschlossenes Bauland, Spiel-, Reit-, Camping-, Golf-, Flug- und Militärplätze oder ausgemarchte Bereiche von Eisenbahnen, öffentlichen Strassen und Gewässern)</t>
  </si>
  <si>
    <t>Permakultur</t>
  </si>
  <si>
    <t>Andere Obstanlagen (Kiwis, Holunder usw.)</t>
  </si>
  <si>
    <t>Obst und Reben</t>
  </si>
  <si>
    <t>Mehrjährige Beeren</t>
  </si>
  <si>
    <t>Mischungen von Ackerbohnen, Eiweisserbsen und Lupinen zu Futterzwecken mit Getreide, mindestens 30% Anteil Leguminosen bei der Ernte</t>
  </si>
  <si>
    <t>Emmer, Einkorn</t>
  </si>
  <si>
    <t>Hirse zur Körnergewinnung</t>
  </si>
  <si>
    <t>Übrige Flächen ausserhalb der LN und SF</t>
  </si>
  <si>
    <t>Gemüsekulturen in geschütztem Anbau ohne festes Fundament; im gewachsenen Boden</t>
  </si>
  <si>
    <t>Uferwiesen (ohne Weiden)</t>
  </si>
  <si>
    <t>Sorghum zur Nutzung ganze Pflanze</t>
  </si>
  <si>
    <t>Übrige Grünfläche (Dauergrünflächen), nicht beitragsberechtigt</t>
  </si>
  <si>
    <t>Reben</t>
  </si>
  <si>
    <t>Einjährige gärtnerische Freilandkulturen (Blumen, Rollrasen usw.)</t>
  </si>
  <si>
    <t>Wassergräben, Tümpel, Teiche</t>
  </si>
  <si>
    <t>Einjährige Beeren (z.B. Erdbeeren)</t>
  </si>
  <si>
    <t>Christbäume</t>
  </si>
  <si>
    <t>Hafer</t>
  </si>
  <si>
    <t>Übrige offene Ackerfläche, nicht beitragsberechtigt</t>
  </si>
  <si>
    <t>Hecken-, Feld- und Ufergehölze (mit Pufferstreifen) (regionsspezifische Biodiversitätsförderfläche)</t>
  </si>
  <si>
    <t>Trüffelanlagen</t>
  </si>
  <si>
    <t>Übrige unproduktive Flächen (z.B. gemulchte Flächen, stark verunkrautete Flächen, Hecken ohne Pufferstreifen)</t>
  </si>
  <si>
    <t>Ackerbohnen zu Futterzwecken</t>
  </si>
  <si>
    <t>Mischel Futtergetreide</t>
  </si>
  <si>
    <t>Lupinen zu Futterzwecken</t>
  </si>
  <si>
    <t>Rotationsbrache</t>
  </si>
  <si>
    <t>Blühstreifen für Bestäuber und andere Nützlinge</t>
  </si>
  <si>
    <t>Heuwiesen im Sömmerungsgebiet, Übrige Wiesen</t>
  </si>
  <si>
    <t>übrige Nutzfläche Wiese</t>
  </si>
  <si>
    <t>Nussbäume (Punkte oder Flächen)</t>
  </si>
  <si>
    <t>BFF I Baum</t>
  </si>
  <si>
    <t>Übrige Flächen innerhalb der LN, beitragsberechtigt</t>
  </si>
  <si>
    <t>Soja</t>
  </si>
  <si>
    <t>Sommergerste</t>
  </si>
  <si>
    <t>Obstanlagen (Birnen)</t>
  </si>
  <si>
    <t>Freiland-Konservengemüse</t>
  </si>
  <si>
    <t>Waldweiden (ohne bewaldete Fläche)</t>
  </si>
  <si>
    <t>übrige Nutzfläche Weide</t>
  </si>
  <si>
    <t>Übrige offene Ackerfläche, beitragsberechtigt</t>
  </si>
  <si>
    <t>Getreide siliert</t>
  </si>
  <si>
    <t>Buntbrache</t>
  </si>
  <si>
    <t>Pflanzkartoffeln (Vertragsanbau)</t>
  </si>
  <si>
    <t>Obstanlagen (Steinobst)</t>
  </si>
  <si>
    <t>Dinkel</t>
  </si>
  <si>
    <t>Übrige Flächen innerhalb der LN, nicht beitragsberechtigt</t>
  </si>
  <si>
    <t>Streueflächen in der LN</t>
  </si>
  <si>
    <t>Übrige Kunstwiese, beitragsberechtigt (z.B. Schweineweide, Geflügelweide)</t>
  </si>
  <si>
    <t>Grünland</t>
  </si>
  <si>
    <t>Gute Bodenbedeckung im Winter; Saat: Mitte Aug, Anfang Sep; Ernte Mitte Jul</t>
  </si>
  <si>
    <t>Winterraps zur Speiseölgewinnung</t>
  </si>
  <si>
    <t>Wenig intensiv genutzte Wiesen (ohne Weiden)</t>
  </si>
  <si>
    <t>Weiden (Heimweiden, übrige Weiden ohne Sömmerungsweiden)</t>
  </si>
  <si>
    <t>Wald</t>
  </si>
  <si>
    <t>Als Dauergrünfläche gilt die mit Gräsern und Kräutern bewachsene Fläche ausserhalb der
Sömmerungsflächen (Art. 24). Sie besteht seit mehr als sechs Jahren als Dauerwiese oder als
Dauerweide.
(2 Als Dauerwiese gilt die Fläche, die jährlich mindestens ein Mal zur Futtergewinnung gemäht wird)</t>
  </si>
  <si>
    <t>Übrige Grünfläche (Dauergrünfläche), beitragsberechtigt</t>
  </si>
  <si>
    <t>Als Dauergrünfläche gilt die mit Gräsern und Kräutern bewachsene Fläche ausserhalb der
Sömmerungsflächen (Art. 24). Sie besteht seit mehr als sechs Jahren als Dauerwiese oder als
Dauerweide.
2 Als Dauerwiese gilt die Fläche, die jährlich mindestens ein Mal zur Futtergewinnung gemäht wird.</t>
  </si>
  <si>
    <t>Übrige Dauerwiesen (ohne Weiden)</t>
  </si>
  <si>
    <t>Sömmerungsweiden</t>
  </si>
  <si>
    <t>Sömmerungfläche</t>
  </si>
  <si>
    <t>Obstanlagen (Äpfel)</t>
  </si>
  <si>
    <t>1 Als Ackerfläche gilt die Fläche, welche in eine Fruchtfolge einbezogen ist. Sie setzt sich aus der
offenen Ackerfläche und den Kunstwiesen zusammen
Als Kunstwiese gilt die als Wiese angesäte Fläche, die innerhalb einer Fruchtfolge während
mindestens einer Vegetationsperiode bewirtschaftet wird</t>
  </si>
  <si>
    <t>Kunstwiesen (ohne Weiden)</t>
  </si>
  <si>
    <t>Hochstamm-Feldobstbäume (Punkte oder Flächen)</t>
  </si>
  <si>
    <t>1 Als Hecken und Ufergehölze gelten grösstenteils geschlossene, wenige Meter breite Gehölzstreifen,
die vorwiegend aus einheimischen und standortgerechten Stauden, Sträuchern und einzelnen Bäumen
bestehen.
2 Als Feldgehölze gelten flächig angeordnete Gruppen von einheimischen und standortgerechten
Sträuchern und Bäumen</t>
  </si>
  <si>
    <t>Hecken-, Feld- und Ufergehölze (mit Pufferstreifen)</t>
  </si>
  <si>
    <t>Hecken-, Feld- und Ufergehölze (mit Krautsaum)</t>
  </si>
  <si>
    <t>FAO Database, Oats</t>
  </si>
  <si>
    <t>Fraglich ob Winter- oder Sommerhafer, gem. Ersteindruck Quellen scheint Sommerhafer in CH weiter verbreitet</t>
  </si>
  <si>
    <t>Extensiv genutzte Wiesen (ohne Weiden)</t>
  </si>
  <si>
    <t>Extensiv genutzte Weiden</t>
  </si>
  <si>
    <t>Einheimische standortgerechte Einzelbäume und Alleen (Punkte oder Flächen)</t>
  </si>
  <si>
    <t>Wheat (Summer), FAO Database; Liebegg.ch</t>
  </si>
  <si>
    <t>Sommerweizen (ohne Futterweizen der Sortenliste swiss granum)</t>
  </si>
  <si>
    <t>FAO Datahase (Wheat); Strickhof. Rye</t>
  </si>
  <si>
    <t>Aussaat: Mitte September bis Mitte Oktober</t>
  </si>
  <si>
    <t>Roggen</t>
  </si>
  <si>
    <t>FAO Database, Wheat (Winter)</t>
  </si>
  <si>
    <t>Winterweizen (ohne Futterweizen der Sortenliste swiss granum)</t>
  </si>
  <si>
    <t>Futterweizen gemäss Sortenliste swiss granum</t>
  </si>
  <si>
    <t>FAO Database, Sunflower; Strickhof</t>
  </si>
  <si>
    <t>Sonnenblumen zur Speiseölgewinnung</t>
  </si>
  <si>
    <t>FAO Database, Sugarbeet</t>
  </si>
  <si>
    <t>Zuckerrüben</t>
  </si>
  <si>
    <t>Futterrüben</t>
  </si>
  <si>
    <t>Vielleicht auch Werte für "Cabbage" verwenden; keine Angabe Wachstumsperiode für Idaho, könnte man aber herausfinden….
Kc's wären 0.7&gt;&gt;1.05&gt;&gt;0.95… Evtl. Relevant, da Werte im Sommer geringer</t>
  </si>
  <si>
    <t>Einjährige Freilandgemüse, ohne Konservengemüse</t>
  </si>
  <si>
    <t>FAO Database, Potato</t>
  </si>
  <si>
    <t>Kartoffeln</t>
  </si>
  <si>
    <t>FAO Database, Pea</t>
  </si>
  <si>
    <t>Eiweisserbsen zu Futterzwecken</t>
  </si>
  <si>
    <t xml:space="preserve">FAO Database, Maize </t>
  </si>
  <si>
    <t>Silo- und Grünmais</t>
  </si>
  <si>
    <t>Körnermais</t>
  </si>
  <si>
    <t>FAO Database, Barley (Winter); Strickhof</t>
  </si>
  <si>
    <t>Kürzerer Vegetationszyklus, früher reif und geringerer Wasserbedarf als Weizen (Strickhof)</t>
  </si>
  <si>
    <t>Wintergerste</t>
  </si>
  <si>
    <t>FAO Database, Barley (Summer)</t>
  </si>
  <si>
    <t xml:space="preserve">kurze Vegetationszeit von 110 bis zu 130; </t>
  </si>
  <si>
    <t>FAO Database, Aspargus</t>
  </si>
  <si>
    <t>Spargel</t>
  </si>
  <si>
    <t xml:space="preserve">FAO Database (Wheat); Strickhof. Triticale </t>
  </si>
  <si>
    <t>Kreuzung Roggen und Weizen</t>
  </si>
  <si>
    <t>Triticale</t>
  </si>
  <si>
    <t>kc_end</t>
  </si>
  <si>
    <t>kc_mid</t>
  </si>
  <si>
    <t>kc_ini</t>
  </si>
  <si>
    <t>kont</t>
  </si>
  <si>
    <t>gp_total</t>
  </si>
  <si>
    <t>gp_late</t>
  </si>
  <si>
    <t>gp_mid_season</t>
  </si>
  <si>
    <t>gp_crop_dev</t>
  </si>
  <si>
    <t>gp_ini</t>
  </si>
  <si>
    <t>gp_plant_date</t>
  </si>
  <si>
    <t>Source</t>
  </si>
  <si>
    <t>Kommentar</t>
  </si>
  <si>
    <t>sign_groesse</t>
  </si>
  <si>
    <t>Irrigation (yes/no)</t>
  </si>
  <si>
    <t>area [m]</t>
  </si>
  <si>
    <t>KULTURT_KU</t>
  </si>
  <si>
    <t>KULTGRUT_K</t>
  </si>
  <si>
    <t>Wiesen</t>
  </si>
  <si>
    <t>Weiden</t>
  </si>
  <si>
    <t>Aug</t>
  </si>
  <si>
    <t>Mar</t>
  </si>
  <si>
    <t>Oct</t>
  </si>
  <si>
    <t>FAO Database, Alfalfa (cutting cycles)</t>
  </si>
  <si>
    <t>Apr</t>
  </si>
  <si>
    <t>May</t>
  </si>
  <si>
    <t>Feb</t>
  </si>
  <si>
    <t>Idaho, USA, Kc Ini values for frozen soil</t>
  </si>
  <si>
    <t>comment</t>
  </si>
  <si>
    <t>gp_harvest</t>
  </si>
  <si>
    <t>irrig. Depth [mm]</t>
  </si>
  <si>
    <t>kc_ini  Fig 30</t>
  </si>
  <si>
    <t>Kc_ini Fig 29</t>
  </si>
  <si>
    <t>Kc_ini</t>
  </si>
  <si>
    <t>Fall</t>
  </si>
  <si>
    <t>Spring</t>
  </si>
  <si>
    <t>Jul/Aug</t>
  </si>
  <si>
    <t>Jui/Aug</t>
  </si>
  <si>
    <t>Juli</t>
  </si>
  <si>
    <t xml:space="preserve">Erntedatum </t>
  </si>
  <si>
    <t>Okt</t>
  </si>
  <si>
    <t>Okt/Sept</t>
  </si>
  <si>
    <t xml:space="preserve">Pflanzdatum </t>
  </si>
  <si>
    <t>Diff FAO</t>
  </si>
  <si>
    <t>Kornreife</t>
  </si>
  <si>
    <t>Blüte</t>
  </si>
  <si>
    <t>Ährenschieben</t>
  </si>
  <si>
    <t>Halmentwicklung</t>
  </si>
  <si>
    <t>Bestockung</t>
  </si>
  <si>
    <t>Keimung</t>
  </si>
  <si>
    <t>Ref Wheat FAO</t>
  </si>
  <si>
    <t>Winterroggen</t>
  </si>
  <si>
    <t>Sommerweizen</t>
  </si>
  <si>
    <t>Winterweizen</t>
  </si>
  <si>
    <t>ok</t>
  </si>
  <si>
    <t>ja</t>
  </si>
  <si>
    <t>nein</t>
  </si>
  <si>
    <t>Typ_Feld</t>
  </si>
  <si>
    <t>Fläche [m2]</t>
  </si>
  <si>
    <t>&gt;5000m2</t>
  </si>
  <si>
    <t>&lt;5000m2</t>
  </si>
  <si>
    <t>Nicht beachtet [%]</t>
  </si>
  <si>
    <t>Übrige Kulturen</t>
  </si>
  <si>
    <t>Flächen, welche nicht genug gross waren, um einzeln behandelt zu werden (&lt;5000m2)</t>
  </si>
  <si>
    <t>Hecken</t>
  </si>
  <si>
    <t>FAO Databse, Rapeseed</t>
  </si>
  <si>
    <t>Weighted Mean Values</t>
  </si>
  <si>
    <t>kc_ini (lit)</t>
  </si>
  <si>
    <t>FAO Database, Alley (Walnut Tree)</t>
  </si>
  <si>
    <t>FAO Database, Orchard (Apple)</t>
  </si>
  <si>
    <t>values for single cutting-period</t>
  </si>
  <si>
    <t>NA</t>
  </si>
  <si>
    <t>kc_ini_lit</t>
  </si>
  <si>
    <t>Misc. (mean)</t>
  </si>
  <si>
    <t>eher_nein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</si>
</sst>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Arial"/>
      <family val="2"/>
    </font>
    <font>
      <b/>
      <sz val="11"/>
      <color theme="1"/>
      <name val="Arial"/>
      <family val="2"/>
    </font>
    <font>
      <sz val="11"/>
      <color theme="1"/>
      <name val="Calibri"/>
      <family val="2"/>
      <scheme val="minor"/>
    </font>
    <font>
      <sz val="10"/>
      <name val="Arial"/>
      <family val="2"/>
    </font>
    <font>
      <sz val="10"/>
      <color theme="1"/>
      <name val="Arial"/>
      <family val="2"/>
    </font>
    <font>
      <b/>
      <i/>
      <sz val="11"/>
      <color theme="1"/>
      <name val="Calibri"/>
      <family val="2"/>
      <scheme val="minor"/>
    </font>
    <font>
      <b/>
      <i/>
      <sz val="10"/>
      <color theme="1"/>
      <name val="Arial"/>
      <family val="2"/>
    </font>
    <font>
      <b/>
      <i/>
      <sz val="10"/>
      <name val="Arial"/>
      <family val="2"/>
    </font>
    <font>
      <b/>
      <sz val="10"/>
      <name val="Arial"/>
      <family val="2"/>
    </font>
  </fonts>
  <fills count="3">
    <fill>
      <patternFill patternType="none"/>
    </fill>
    <fill>
      <patternFill patternType="gray125"/>
    </fill>
    <fill>
      <patternFill patternType="solid">
        <fgColor theme="0" tint="-0.14999847407452621"/>
        <bgColor theme="0" tint="-0.14999847407452621"/>
      </patternFill>
    </fill>
  </fills>
  <borders count="18">
    <border>
      <left/>
      <right/>
      <top/>
      <bottom/>
      <diagonal/>
    </border>
    <border>
      <left/>
      <right/>
      <top/>
      <bottom style="thin">
        <color theme="1"/>
      </bottom>
      <diagonal/>
    </border>
    <border>
      <left/>
      <right/>
      <top style="thin">
        <color indexed="64"/>
      </top>
      <bottom/>
      <diagonal/>
    </border>
    <border>
      <left/>
      <right/>
      <top/>
      <bottom style="thin">
        <color indexed="64"/>
      </bottom>
      <diagonal/>
    </border>
    <border>
      <left/>
      <right/>
      <top style="thin">
        <color theme="1"/>
      </top>
      <bottom/>
      <diagonal/>
    </border>
    <border>
      <left/>
      <right/>
      <top style="thin">
        <color theme="1"/>
      </top>
      <bottom style="thin">
        <color theme="1"/>
      </bottom>
      <diagonal/>
    </border>
    <border>
      <left/>
      <right/>
      <top style="thin">
        <color theme="1"/>
      </top>
      <bottom style="thin">
        <color indexed="64"/>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s>
  <cellStyleXfs count="3">
    <xf numFmtId="0" fontId="0" fillId="0" borderId="0"/>
    <xf numFmtId="0" fontId="2" fillId="0" borderId="0"/>
    <xf numFmtId="0" fontId="3" fillId="0" borderId="0"/>
  </cellStyleXfs>
  <cellXfs count="51">
    <xf numFmtId="0" fontId="0" fillId="0" borderId="0" xfId="0"/>
    <xf numFmtId="0" fontId="2" fillId="0" borderId="0" xfId="1"/>
    <xf numFmtId="0" fontId="3" fillId="0" borderId="0" xfId="2"/>
    <xf numFmtId="2" fontId="2" fillId="0" borderId="0" xfId="1" applyNumberFormat="1"/>
    <xf numFmtId="0" fontId="2" fillId="2" borderId="0" xfId="1" applyFill="1"/>
    <xf numFmtId="2" fontId="2" fillId="2" borderId="0" xfId="1" applyNumberFormat="1" applyFill="1"/>
    <xf numFmtId="0" fontId="4" fillId="0" borderId="0" xfId="2" applyFont="1"/>
    <xf numFmtId="0" fontId="4" fillId="2" borderId="0" xfId="2" applyFont="1" applyFill="1"/>
    <xf numFmtId="0" fontId="2" fillId="0" borderId="0" xfId="2" applyFont="1"/>
    <xf numFmtId="0" fontId="2" fillId="2" borderId="0" xfId="2" applyFont="1" applyFill="1"/>
    <xf numFmtId="0" fontId="2" fillId="2" borderId="2" xfId="1" applyFill="1" applyBorder="1"/>
    <xf numFmtId="2" fontId="2" fillId="2" borderId="2" xfId="1" applyNumberFormat="1" applyFill="1" applyBorder="1"/>
    <xf numFmtId="164" fontId="3" fillId="0" borderId="0" xfId="2" applyNumberFormat="1"/>
    <xf numFmtId="164" fontId="7" fillId="0" borderId="3" xfId="2" applyNumberFormat="1" applyFont="1" applyBorder="1"/>
    <xf numFmtId="0" fontId="7" fillId="0" borderId="3" xfId="2" applyFont="1" applyBorder="1"/>
    <xf numFmtId="0" fontId="3" fillId="0" borderId="7" xfId="2" applyBorder="1" applyAlignment="1">
      <alignment vertical="center" wrapText="1"/>
    </xf>
    <xf numFmtId="0" fontId="3" fillId="0" borderId="3" xfId="2" applyBorder="1"/>
    <xf numFmtId="0" fontId="8" fillId="0" borderId="3" xfId="2" applyFont="1" applyBorder="1" applyAlignment="1">
      <alignment vertical="center" wrapText="1"/>
    </xf>
    <xf numFmtId="0" fontId="8" fillId="0" borderId="0" xfId="2" applyFont="1"/>
    <xf numFmtId="0" fontId="3" fillId="0" borderId="8" xfId="2" applyBorder="1" applyAlignment="1">
      <alignment vertical="center" wrapText="1"/>
    </xf>
    <xf numFmtId="0" fontId="7" fillId="0" borderId="9" xfId="2" applyFont="1" applyBorder="1" applyAlignment="1">
      <alignment vertical="center" wrapText="1"/>
    </xf>
    <xf numFmtId="0" fontId="7" fillId="0" borderId="0" xfId="2" applyFont="1"/>
    <xf numFmtId="0" fontId="7" fillId="0" borderId="8" xfId="2" applyFont="1" applyBorder="1" applyAlignment="1">
      <alignment vertical="center" wrapText="1"/>
    </xf>
    <xf numFmtId="0" fontId="5" fillId="0" borderId="4" xfId="1" applyFont="1" applyBorder="1"/>
    <xf numFmtId="2" fontId="5" fillId="0" borderId="4" xfId="1" applyNumberFormat="1" applyFont="1" applyBorder="1"/>
    <xf numFmtId="0" fontId="0" fillId="0" borderId="3" xfId="0" applyBorder="1"/>
    <xf numFmtId="0" fontId="2" fillId="0" borderId="2" xfId="1" applyBorder="1"/>
    <xf numFmtId="2" fontId="2" fillId="0" borderId="2" xfId="1" applyNumberFormat="1" applyBorder="1"/>
    <xf numFmtId="0" fontId="2" fillId="0" borderId="1" xfId="1" applyBorder="1"/>
    <xf numFmtId="2" fontId="2" fillId="0" borderId="1" xfId="1" applyNumberFormat="1" applyBorder="1"/>
    <xf numFmtId="0" fontId="5" fillId="0" borderId="3" xfId="0" applyFont="1" applyBorder="1"/>
    <xf numFmtId="0" fontId="0" fillId="0" borderId="12" xfId="0" quotePrefix="1" applyBorder="1"/>
    <xf numFmtId="2" fontId="0" fillId="0" borderId="13" xfId="0" applyNumberFormat="1" applyBorder="1"/>
    <xf numFmtId="0" fontId="0" fillId="0" borderId="14" xfId="0" quotePrefix="1" applyBorder="1"/>
    <xf numFmtId="2" fontId="0" fillId="0" borderId="15" xfId="0" applyNumberFormat="1" applyBorder="1"/>
    <xf numFmtId="0" fontId="0" fillId="0" borderId="16" xfId="0" applyBorder="1"/>
    <xf numFmtId="10" fontId="0" fillId="0" borderId="17" xfId="0" applyNumberFormat="1" applyBorder="1"/>
    <xf numFmtId="0" fontId="1" fillId="0" borderId="10" xfId="0" applyFont="1" applyBorder="1"/>
    <xf numFmtId="0" fontId="1" fillId="0" borderId="11" xfId="0" applyFont="1" applyBorder="1"/>
    <xf numFmtId="0" fontId="5" fillId="0" borderId="6" xfId="2" applyFont="1" applyBorder="1"/>
    <xf numFmtId="2" fontId="6" fillId="0" borderId="5" xfId="2" applyNumberFormat="1" applyFont="1" applyBorder="1"/>
    <xf numFmtId="0" fontId="6" fillId="0" borderId="5" xfId="2" applyFont="1" applyBorder="1"/>
    <xf numFmtId="0" fontId="4" fillId="0" borderId="0" xfId="2" quotePrefix="1" applyFont="1"/>
    <xf numFmtId="0" fontId="2" fillId="0" borderId="0" xfId="2" applyFont="1" applyAlignment="1">
      <alignment horizontal="right"/>
    </xf>
    <xf numFmtId="0" fontId="3" fillId="0" borderId="0" xfId="2" applyAlignment="1">
      <alignment horizontal="right"/>
    </xf>
    <xf numFmtId="2" fontId="4" fillId="0" borderId="0" xfId="2" applyNumberFormat="1" applyFont="1" applyAlignment="1">
      <alignment horizontal="right"/>
    </xf>
    <xf numFmtId="0" fontId="4" fillId="0" borderId="0" xfId="2" applyFont="1" applyAlignment="1">
      <alignment horizontal="right"/>
    </xf>
    <xf numFmtId="0" fontId="4" fillId="0" borderId="0" xfId="2" quotePrefix="1" applyFont="1" applyAlignment="1">
      <alignment horizontal="right"/>
    </xf>
    <xf numFmtId="0" fontId="5" fillId="0" borderId="0" xfId="1" applyFont="1"/>
    <xf numFmtId="2" fontId="5" fillId="0" borderId="0" xfId="1" applyNumberFormat="1" applyFont="1"/>
    <xf numFmtId="3" fontId="2" fillId="0" borderId="0" xfId="1" applyNumberFormat="1"/>
  </cellXfs>
  <cellStyles count="3">
    <cellStyle name="Standard" xfId="0" builtinId="0"/>
    <cellStyle name="Standard 2" xfId="1" xr:uid="{50499816-A184-471E-A42B-DC4DCABC177C}"/>
    <cellStyle name="Standard 3" xfId="2" xr:uid="{EAFB1BFF-9CA0-48E6-8CA0-34EF9A5451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319325</xdr:colOff>
      <xdr:row>0</xdr:row>
      <xdr:rowOff>140971</xdr:rowOff>
    </xdr:from>
    <xdr:ext cx="3450908" cy="745309"/>
    <xdr:pic>
      <xdr:nvPicPr>
        <xdr:cNvPr id="2" name="Grafik 1">
          <a:extLst>
            <a:ext uri="{FF2B5EF4-FFF2-40B4-BE49-F238E27FC236}">
              <a16:creationId xmlns:a16="http://schemas.microsoft.com/office/drawing/2014/main" id="{2A4BDE92-8E96-4920-87FD-896AC806EAF1}"/>
            </a:ext>
          </a:extLst>
        </xdr:cNvPr>
        <xdr:cNvPicPr>
          <a:picLocks noChangeAspect="1"/>
        </xdr:cNvPicPr>
      </xdr:nvPicPr>
      <xdr:blipFill>
        <a:blip xmlns:r="http://schemas.openxmlformats.org/officeDocument/2006/relationships" r:embed="rId1"/>
        <a:stretch>
          <a:fillRect/>
        </a:stretch>
      </xdr:blipFill>
      <xdr:spPr>
        <a:xfrm>
          <a:off x="2694860" y="139066"/>
          <a:ext cx="3450908" cy="745309"/>
        </a:xfrm>
        <a:prstGeom prst="rect">
          <a:avLst/>
        </a:prstGeom>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42865-24C9-4C9E-B2E2-BCA9649B1700}">
  <sheetPr filterMode="1"/>
  <dimension ref="A1:R42"/>
  <sheetViews>
    <sheetView tabSelected="1" topLeftCell="C1" workbookViewId="0">
      <pane ySplit="1" topLeftCell="A2" activePane="bottomLeft" state="frozen"/>
      <selection pane="bottomLeft" activeCell="G39" sqref="G4:G39"/>
    </sheetView>
  </sheetViews>
  <sheetFormatPr baseColWidth="10" defaultColWidth="11.25" defaultRowHeight="15" x14ac:dyDescent="0.25"/>
  <cols>
    <col min="1" max="1" width="20.25" style="1" customWidth="1"/>
    <col min="2" max="2" width="65.75" style="1" customWidth="1"/>
    <col min="3" max="3" width="11.25" style="3"/>
    <col min="4" max="4" width="11.25" style="2" customWidth="1"/>
    <col min="5" max="5" width="10.75" style="3" customWidth="1"/>
    <col min="6" max="6" width="17" style="3" customWidth="1"/>
    <col min="7" max="7" width="27.25" style="1" customWidth="1"/>
    <col min="8" max="8" width="10.375" style="2" customWidth="1"/>
    <col min="9" max="10" width="19.375" style="1" customWidth="1"/>
    <col min="11" max="11" width="15.5" style="1" customWidth="1"/>
    <col min="12" max="12" width="12.75" style="1" customWidth="1"/>
    <col min="13" max="13" width="19.375" style="1" customWidth="1"/>
    <col min="14" max="14" width="11.25" style="1"/>
    <col min="15" max="15" width="8.875" style="1" customWidth="1"/>
    <col min="16" max="16" width="8" style="1" customWidth="1"/>
    <col min="17" max="16384" width="11.25" style="1"/>
  </cols>
  <sheetData>
    <row r="1" spans="1:18" s="48" customFormat="1" x14ac:dyDescent="0.25">
      <c r="A1" s="48" t="s">
        <v>143</v>
      </c>
      <c r="B1" s="48" t="s">
        <v>142</v>
      </c>
      <c r="C1" s="49" t="s">
        <v>141</v>
      </c>
      <c r="D1" s="48" t="s">
        <v>140</v>
      </c>
      <c r="E1" s="49" t="s">
        <v>139</v>
      </c>
      <c r="F1" s="49" t="s">
        <v>138</v>
      </c>
      <c r="G1" s="48" t="s">
        <v>137</v>
      </c>
      <c r="H1" s="48" t="s">
        <v>136</v>
      </c>
      <c r="I1" s="48" t="s">
        <v>135</v>
      </c>
      <c r="J1" s="48" t="s">
        <v>134</v>
      </c>
      <c r="K1" s="48" t="s">
        <v>133</v>
      </c>
      <c r="L1" s="48" t="s">
        <v>132</v>
      </c>
      <c r="M1" s="48" t="s">
        <v>131</v>
      </c>
      <c r="N1" s="48" t="s">
        <v>130</v>
      </c>
      <c r="O1" s="48" t="s">
        <v>129</v>
      </c>
      <c r="P1" s="48" t="s">
        <v>128</v>
      </c>
      <c r="Q1" s="48" t="s">
        <v>127</v>
      </c>
      <c r="R1" s="48" t="s">
        <v>198</v>
      </c>
    </row>
    <row r="2" spans="1:18" hidden="1" x14ac:dyDescent="0.25">
      <c r="A2" s="1" t="s">
        <v>17</v>
      </c>
      <c r="B2" s="1" t="s">
        <v>67</v>
      </c>
      <c r="C2" s="3">
        <v>327818.49266567</v>
      </c>
      <c r="D2" s="1" t="s">
        <v>200</v>
      </c>
      <c r="E2" s="3" t="str">
        <f>IF(C2&gt;=50000,"ja","nein")</f>
        <v>ja</v>
      </c>
      <c r="G2" s="1" t="s">
        <v>100</v>
      </c>
      <c r="H2" s="1" t="str">
        <f>VLOOKUP($G2,crop_coefficients!$A$2:$N$23,2,FALSE)</f>
        <v>Oct</v>
      </c>
      <c r="I2" s="1">
        <f>VLOOKUP($G2,crop_coefficients!$A$2:$N$23,3,FALSE)</f>
        <v>160</v>
      </c>
      <c r="J2" s="1">
        <f>VLOOKUP($G2,crop_coefficients!$A$2:$N$23,4,FALSE)</f>
        <v>55</v>
      </c>
      <c r="K2" s="1">
        <f>VLOOKUP($G2,crop_coefficients!$A$2:$N$23,5,FALSE)</f>
        <v>55</v>
      </c>
      <c r="L2" s="1">
        <f>VLOOKUP($G2,crop_coefficients!$A$2:$N$23,6,FALSE)</f>
        <v>20</v>
      </c>
      <c r="M2" s="1">
        <f>VLOOKUP($G2,crop_coefficients!$A$2:$N$23,7,FALSE)</f>
        <v>290</v>
      </c>
      <c r="N2" s="1" t="str">
        <f>VLOOKUP($G2,crop_coefficients!$A$2:$N$23,8,FALSE)</f>
        <v>ok</v>
      </c>
      <c r="O2" s="1">
        <f>VLOOKUP($G2,crop_coefficients!$A$2:$N$23,9,FALSE)</f>
        <v>1</v>
      </c>
      <c r="P2" s="1">
        <f>VLOOKUP($G2,crop_coefficients!$A$2:$N$23,10,FALSE)</f>
        <v>1.1499999999999999</v>
      </c>
      <c r="Q2" s="1">
        <f>VLOOKUP($G2,crop_coefficients!$A$2:$N$23,11,FALSE)</f>
        <v>0.25</v>
      </c>
      <c r="R2" s="1">
        <f>VLOOKUP($G2,crop_coefficients!$A$2:$N$23,13,FALSE)</f>
        <v>0.4</v>
      </c>
    </row>
    <row r="3" spans="1:18" hidden="1" x14ac:dyDescent="0.25">
      <c r="A3" s="1" t="s">
        <v>54</v>
      </c>
      <c r="B3" s="1" t="s">
        <v>94</v>
      </c>
      <c r="C3" s="3">
        <v>121086.639988537</v>
      </c>
      <c r="D3" s="1" t="s">
        <v>182</v>
      </c>
      <c r="E3" s="3" t="str">
        <f>IF(C3&gt;=50000,"ja","nein")</f>
        <v>ja</v>
      </c>
      <c r="G3" s="1" t="s">
        <v>194</v>
      </c>
      <c r="H3" s="1" t="str">
        <f>VLOOKUP($G3,crop_coefficients!$A$2:$N$23,2,FALSE)</f>
        <v>Mar</v>
      </c>
      <c r="I3" s="1">
        <f>VLOOKUP($G3,crop_coefficients!$A$2:$N$23,3,FALSE)</f>
        <v>30</v>
      </c>
      <c r="J3" s="1">
        <f>VLOOKUP($G3,crop_coefficients!$A$2:$N$23,4,FALSE)</f>
        <v>20</v>
      </c>
      <c r="K3" s="1">
        <f>VLOOKUP($G3,crop_coefficients!$A$2:$N$23,5,FALSE)</f>
        <v>130</v>
      </c>
      <c r="L3" s="1">
        <f>VLOOKUP($G3,crop_coefficients!$A$2:$N$23,6,FALSE)</f>
        <v>30</v>
      </c>
      <c r="M3" s="1">
        <f>VLOOKUP($G3,crop_coefficients!$A$2:$N$23,7,FALSE)</f>
        <v>210</v>
      </c>
      <c r="N3" s="1" t="str">
        <f>VLOOKUP($G3,crop_coefficients!$A$2:$N$23,8,FALSE)</f>
        <v>ok</v>
      </c>
      <c r="O3" s="1">
        <f>VLOOKUP($G3,crop_coefficients!$A$2:$N$23,9,FALSE)</f>
        <v>1</v>
      </c>
      <c r="P3" s="1">
        <f>VLOOKUP($G3,crop_coefficients!$A$2:$N$23,10,FALSE)</f>
        <v>1.1000000000000001</v>
      </c>
      <c r="Q3" s="1">
        <f>VLOOKUP($G3,crop_coefficients!$A$2:$N$23,11,FALSE)</f>
        <v>0.65</v>
      </c>
      <c r="R3" s="1">
        <f>VLOOKUP($G3,crop_coefficients!$A$2:$N$23,13,FALSE)</f>
        <v>0.5</v>
      </c>
    </row>
    <row r="4" spans="1:18" x14ac:dyDescent="0.25">
      <c r="A4" s="1" t="s">
        <v>10</v>
      </c>
      <c r="B4" s="1" t="s">
        <v>109</v>
      </c>
      <c r="C4" s="50">
        <v>389862.88523847598</v>
      </c>
      <c r="D4" s="1" t="s">
        <v>181</v>
      </c>
      <c r="E4" s="3" t="str">
        <f>IF(C4&gt;=50000,"ja","nein")</f>
        <v>ja</v>
      </c>
      <c r="F4" s="3" t="s">
        <v>108</v>
      </c>
      <c r="G4" s="6" t="s">
        <v>105</v>
      </c>
      <c r="H4" s="1" t="str">
        <f>VLOOKUP($G4,crop_coefficients!$A$2:$N$23,2,FALSE)</f>
        <v>Apr</v>
      </c>
      <c r="I4" s="1">
        <f>VLOOKUP($G4,crop_coefficients!$A$2:$N$23,3,FALSE)</f>
        <v>35</v>
      </c>
      <c r="J4" s="1">
        <f>VLOOKUP($G4,crop_coefficients!$A$2:$N$23,4,FALSE)</f>
        <v>55</v>
      </c>
      <c r="K4" s="1">
        <f>VLOOKUP($G4,crop_coefficients!$A$2:$N$23,5,FALSE)</f>
        <v>50</v>
      </c>
      <c r="L4" s="1">
        <f>VLOOKUP($G4,crop_coefficients!$A$2:$N$23,6,FALSE)</f>
        <v>40</v>
      </c>
      <c r="M4" s="1">
        <f>VLOOKUP($G4,crop_coefficients!$A$2:$N$23,7,FALSE)</f>
        <v>180</v>
      </c>
      <c r="N4" s="1" t="str">
        <f>VLOOKUP($G4,crop_coefficients!$A$2:$N$23,8,FALSE)</f>
        <v>ok</v>
      </c>
      <c r="O4" s="1">
        <f>VLOOKUP($G4,crop_coefficients!$A$2:$N$23,9,FALSE)</f>
        <v>1</v>
      </c>
      <c r="P4" s="1">
        <f>VLOOKUP($G4,crop_coefficients!$A$2:$N$23,10,FALSE)</f>
        <v>1.2</v>
      </c>
      <c r="Q4" s="1">
        <f>VLOOKUP($G4,crop_coefficients!$A$2:$N$23,11,FALSE)</f>
        <v>1</v>
      </c>
      <c r="R4" s="1">
        <f>VLOOKUP($G4,crop_coefficients!$A$2:$N$23,13,FALSE)</f>
        <v>0.35</v>
      </c>
    </row>
    <row r="5" spans="1:18" x14ac:dyDescent="0.25">
      <c r="A5" s="1" t="s">
        <v>22</v>
      </c>
      <c r="B5" s="1" t="s">
        <v>113</v>
      </c>
      <c r="C5" s="50">
        <v>119456.908902839</v>
      </c>
      <c r="D5" s="1" t="s">
        <v>181</v>
      </c>
      <c r="E5" s="3" t="str">
        <f>IF(C5&gt;=50000,"ja","nein")</f>
        <v>ja</v>
      </c>
      <c r="G5" s="6" t="s">
        <v>112</v>
      </c>
      <c r="H5" s="1" t="str">
        <f>VLOOKUP($G5,crop_coefficients!$A$2:$N$23,2,FALSE)</f>
        <v>Apr</v>
      </c>
      <c r="I5" s="1">
        <f>VLOOKUP($G5,crop_coefficients!$A$2:$N$23,3,FALSE)</f>
        <v>35</v>
      </c>
      <c r="J5" s="1">
        <f>VLOOKUP($G5,crop_coefficients!$A$2:$N$23,4,FALSE)</f>
        <v>35</v>
      </c>
      <c r="K5" s="1">
        <f>VLOOKUP($G5,crop_coefficients!$A$2:$N$23,5,FALSE)</f>
        <v>30</v>
      </c>
      <c r="L5" s="1">
        <f>VLOOKUP($G5,crop_coefficients!$A$2:$N$23,6,FALSE)</f>
        <v>20</v>
      </c>
      <c r="M5" s="1">
        <f>VLOOKUP($G5,crop_coefficients!$A$2:$N$23,7,FALSE)</f>
        <v>120</v>
      </c>
      <c r="N5" s="1" t="str">
        <f>VLOOKUP($G5,crop_coefficients!$A$2:$N$23,8,FALSE)</f>
        <v>ok</v>
      </c>
      <c r="O5" s="1">
        <f>VLOOKUP($G5,crop_coefficients!$A$2:$N$23,9,FALSE)</f>
        <v>1</v>
      </c>
      <c r="P5" s="1">
        <f>VLOOKUP($G5,crop_coefficients!$A$2:$N$23,10,FALSE)</f>
        <v>1.1499999999999999</v>
      </c>
      <c r="Q5" s="1">
        <f>VLOOKUP($G5,crop_coefficients!$A$2:$N$23,11,FALSE)</f>
        <v>1.1000000000000001</v>
      </c>
      <c r="R5" s="1">
        <f>VLOOKUP($G5,crop_coefficients!$A$2:$N$23,13,FALSE)</f>
        <v>0.5</v>
      </c>
    </row>
    <row r="6" spans="1:18" hidden="1" x14ac:dyDescent="0.25">
      <c r="A6" s="1" t="s">
        <v>4</v>
      </c>
      <c r="B6" s="1" t="s">
        <v>93</v>
      </c>
      <c r="C6" s="3">
        <v>1148044.9401624401</v>
      </c>
      <c r="D6" s="1" t="s">
        <v>182</v>
      </c>
      <c r="E6" s="3" t="str">
        <f>IF(C6&gt;=50000,"ja","nein")</f>
        <v>ja</v>
      </c>
      <c r="G6" s="1" t="s">
        <v>145</v>
      </c>
      <c r="H6" s="1" t="str">
        <f>VLOOKUP($G6,crop_coefficients!$A$2:$N$23,2,FALSE)</f>
        <v>NA</v>
      </c>
      <c r="I6" s="1" t="str">
        <f>VLOOKUP($G6,crop_coefficients!$A$2:$N$23,3,FALSE)</f>
        <v>NA</v>
      </c>
      <c r="J6" s="1" t="str">
        <f>VLOOKUP($G6,crop_coefficients!$A$2:$N$23,4,FALSE)</f>
        <v>NA</v>
      </c>
      <c r="K6" s="1" t="str">
        <f>VLOOKUP($G6,crop_coefficients!$A$2:$N$23,5,FALSE)</f>
        <v>NA</v>
      </c>
      <c r="L6" s="1" t="str">
        <f>VLOOKUP($G6,crop_coefficients!$A$2:$N$23,6,FALSE)</f>
        <v>NA</v>
      </c>
      <c r="M6" s="1" t="str">
        <f>VLOOKUP($G6,crop_coefficients!$A$2:$N$23,7,FALSE)</f>
        <v>NA</v>
      </c>
      <c r="N6" s="1" t="str">
        <f>VLOOKUP($G6,crop_coefficients!$A$2:$N$23,8,FALSE)</f>
        <v>NA</v>
      </c>
      <c r="O6" s="1" t="str">
        <f>VLOOKUP($G6,crop_coefficients!$A$2:$N$23,9,FALSE)</f>
        <v>NA</v>
      </c>
      <c r="P6" s="1" t="str">
        <f>VLOOKUP($G6,crop_coefficients!$A$2:$N$23,10,FALSE)</f>
        <v>NA</v>
      </c>
      <c r="Q6" s="1" t="str">
        <f>VLOOKUP($G6,crop_coefficients!$A$2:$N$23,11,FALSE)</f>
        <v>NA</v>
      </c>
      <c r="R6" s="1" t="str">
        <f>VLOOKUP($G6,crop_coefficients!$A$2:$N$23,13,FALSE)</f>
        <v>NA</v>
      </c>
    </row>
    <row r="7" spans="1:18" hidden="1" x14ac:dyDescent="0.25">
      <c r="A7" s="1" t="s">
        <v>4</v>
      </c>
      <c r="B7" s="1" t="s">
        <v>92</v>
      </c>
      <c r="C7" s="3">
        <v>4232230.2018817803</v>
      </c>
      <c r="D7" s="1" t="s">
        <v>182</v>
      </c>
      <c r="E7" s="3" t="str">
        <f>IF(C7&gt;=50000,"ja","nein")</f>
        <v>ja</v>
      </c>
      <c r="G7" s="1" t="s">
        <v>144</v>
      </c>
      <c r="H7" s="1" t="str">
        <f>VLOOKUP($G7,crop_coefficients!$A$2:$N$23,2,FALSE)</f>
        <v>NA</v>
      </c>
      <c r="I7" s="1" t="str">
        <f>VLOOKUP($G7,crop_coefficients!$A$2:$N$23,3,FALSE)</f>
        <v>NA</v>
      </c>
      <c r="J7" s="1" t="str">
        <f>VLOOKUP($G7,crop_coefficients!$A$2:$N$23,4,FALSE)</f>
        <v>NA</v>
      </c>
      <c r="K7" s="1" t="str">
        <f>VLOOKUP($G7,crop_coefficients!$A$2:$N$23,5,FALSE)</f>
        <v>NA</v>
      </c>
      <c r="L7" s="1" t="str">
        <f>VLOOKUP($G7,crop_coefficients!$A$2:$N$23,6,FALSE)</f>
        <v>NA</v>
      </c>
      <c r="M7" s="1" t="str">
        <f>VLOOKUP($G7,crop_coefficients!$A$2:$N$23,7,FALSE)</f>
        <v>NA</v>
      </c>
      <c r="N7" s="1" t="str">
        <f>VLOOKUP($G7,crop_coefficients!$A$2:$N$23,8,FALSE)</f>
        <v>NA</v>
      </c>
      <c r="O7" s="1" t="str">
        <f>VLOOKUP($G7,crop_coefficients!$A$2:$N$23,9,FALSE)</f>
        <v>NA</v>
      </c>
      <c r="P7" s="1" t="str">
        <f>VLOOKUP($G7,crop_coefficients!$A$2:$N$23,10,FALSE)</f>
        <v>NA</v>
      </c>
      <c r="Q7" s="1" t="str">
        <f>VLOOKUP($G7,crop_coefficients!$A$2:$N$23,11,FALSE)</f>
        <v>NA</v>
      </c>
      <c r="R7" s="1" t="str">
        <f>VLOOKUP($G7,crop_coefficients!$A$2:$N$23,13,FALSE)</f>
        <v>NA</v>
      </c>
    </row>
    <row r="8" spans="1:18" x14ac:dyDescent="0.25">
      <c r="A8" s="1" t="s">
        <v>22</v>
      </c>
      <c r="B8" s="1" t="s">
        <v>107</v>
      </c>
      <c r="C8" s="50">
        <v>62212.000176695001</v>
      </c>
      <c r="D8" s="1" t="s">
        <v>181</v>
      </c>
      <c r="E8" s="3" t="str">
        <f>IF(C8&gt;=50000,"ja","nein")</f>
        <v>ja</v>
      </c>
      <c r="G8" s="6" t="s">
        <v>105</v>
      </c>
      <c r="H8" s="1" t="str">
        <f>VLOOKUP($G8,crop_coefficients!$A$2:$N$23,2,FALSE)</f>
        <v>Apr</v>
      </c>
      <c r="I8" s="1">
        <f>VLOOKUP($G8,crop_coefficients!$A$2:$N$23,3,FALSE)</f>
        <v>35</v>
      </c>
      <c r="J8" s="1">
        <f>VLOOKUP($G8,crop_coefficients!$A$2:$N$23,4,FALSE)</f>
        <v>55</v>
      </c>
      <c r="K8" s="1">
        <f>VLOOKUP($G8,crop_coefficients!$A$2:$N$23,5,FALSE)</f>
        <v>50</v>
      </c>
      <c r="L8" s="1">
        <f>VLOOKUP($G8,crop_coefficients!$A$2:$N$23,6,FALSE)</f>
        <v>40</v>
      </c>
      <c r="M8" s="1">
        <f>VLOOKUP($G8,crop_coefficients!$A$2:$N$23,7,FALSE)</f>
        <v>180</v>
      </c>
      <c r="N8" s="1" t="str">
        <f>VLOOKUP($G8,crop_coefficients!$A$2:$N$23,8,FALSE)</f>
        <v>ok</v>
      </c>
      <c r="O8" s="1">
        <f>VLOOKUP($G8,crop_coefficients!$A$2:$N$23,9,FALSE)</f>
        <v>1</v>
      </c>
      <c r="P8" s="1">
        <f>VLOOKUP($G8,crop_coefficients!$A$2:$N$23,10,FALSE)</f>
        <v>1.2</v>
      </c>
      <c r="Q8" s="1">
        <f>VLOOKUP($G8,crop_coefficients!$A$2:$N$23,11,FALSE)</f>
        <v>1</v>
      </c>
      <c r="R8" s="1">
        <f>VLOOKUP($G8,crop_coefficients!$A$2:$N$23,13,FALSE)</f>
        <v>0.35</v>
      </c>
    </row>
    <row r="9" spans="1:18" hidden="1" x14ac:dyDescent="0.25">
      <c r="A9" s="1" t="s">
        <v>17</v>
      </c>
      <c r="B9" s="1" t="s">
        <v>102</v>
      </c>
      <c r="C9" s="3">
        <v>802481.10269687895</v>
      </c>
      <c r="D9" s="1" t="s">
        <v>200</v>
      </c>
      <c r="E9" s="3" t="str">
        <f>IF(C9&gt;=50000,"ja","nein")</f>
        <v>ja</v>
      </c>
      <c r="G9" s="1" t="s">
        <v>100</v>
      </c>
      <c r="H9" s="1" t="str">
        <f>VLOOKUP($G9,crop_coefficients!$A$2:$N$23,2,FALSE)</f>
        <v>Oct</v>
      </c>
      <c r="I9" s="1">
        <f>VLOOKUP($G9,crop_coefficients!$A$2:$N$23,3,FALSE)</f>
        <v>160</v>
      </c>
      <c r="J9" s="1">
        <f>VLOOKUP($G9,crop_coefficients!$A$2:$N$23,4,FALSE)</f>
        <v>55</v>
      </c>
      <c r="K9" s="1">
        <f>VLOOKUP($G9,crop_coefficients!$A$2:$N$23,5,FALSE)</f>
        <v>55</v>
      </c>
      <c r="L9" s="1">
        <f>VLOOKUP($G9,crop_coefficients!$A$2:$N$23,6,FALSE)</f>
        <v>20</v>
      </c>
      <c r="M9" s="1">
        <f>VLOOKUP($G9,crop_coefficients!$A$2:$N$23,7,FALSE)</f>
        <v>290</v>
      </c>
      <c r="N9" s="1" t="str">
        <f>VLOOKUP($G9,crop_coefficients!$A$2:$N$23,8,FALSE)</f>
        <v>ok</v>
      </c>
      <c r="O9" s="1">
        <f>VLOOKUP($G9,crop_coefficients!$A$2:$N$23,9,FALSE)</f>
        <v>1</v>
      </c>
      <c r="P9" s="1">
        <f>VLOOKUP($G9,crop_coefficients!$A$2:$N$23,10,FALSE)</f>
        <v>1.1499999999999999</v>
      </c>
      <c r="Q9" s="1">
        <f>VLOOKUP($G9,crop_coefficients!$A$2:$N$23,11,FALSE)</f>
        <v>0.25</v>
      </c>
      <c r="R9" s="1">
        <f>VLOOKUP($G9,crop_coefficients!$A$2:$N$23,13,FALSE)</f>
        <v>0.4</v>
      </c>
    </row>
    <row r="10" spans="1:18" hidden="1" x14ac:dyDescent="0.25">
      <c r="A10" s="1" t="s">
        <v>4</v>
      </c>
      <c r="B10" s="1" t="s">
        <v>102</v>
      </c>
      <c r="C10" s="3">
        <v>105332.056988389</v>
      </c>
      <c r="D10" s="1" t="s">
        <v>200</v>
      </c>
      <c r="E10" s="3" t="str">
        <f>IF(C10&gt;=50000,"ja","nein")</f>
        <v>ja</v>
      </c>
      <c r="G10" s="1" t="s">
        <v>100</v>
      </c>
      <c r="H10" s="1" t="str">
        <f>VLOOKUP($G10,crop_coefficients!$A$2:$N$23,2,FALSE)</f>
        <v>Oct</v>
      </c>
      <c r="I10" s="1">
        <f>VLOOKUP($G10,crop_coefficients!$A$2:$N$23,3,FALSE)</f>
        <v>160</v>
      </c>
      <c r="J10" s="1">
        <f>VLOOKUP($G10,crop_coefficients!$A$2:$N$23,4,FALSE)</f>
        <v>55</v>
      </c>
      <c r="K10" s="1">
        <f>VLOOKUP($G10,crop_coefficients!$A$2:$N$23,5,FALSE)</f>
        <v>55</v>
      </c>
      <c r="L10" s="1">
        <f>VLOOKUP($G10,crop_coefficients!$A$2:$N$23,6,FALSE)</f>
        <v>20</v>
      </c>
      <c r="M10" s="1">
        <f>VLOOKUP($G10,crop_coefficients!$A$2:$N$23,7,FALSE)</f>
        <v>290</v>
      </c>
      <c r="N10" s="1" t="str">
        <f>VLOOKUP($G10,crop_coefficients!$A$2:$N$23,8,FALSE)</f>
        <v>ok</v>
      </c>
      <c r="O10" s="1">
        <f>VLOOKUP($G10,crop_coefficients!$A$2:$N$23,9,FALSE)</f>
        <v>1</v>
      </c>
      <c r="P10" s="1">
        <f>VLOOKUP($G10,crop_coefficients!$A$2:$N$23,10,FALSE)</f>
        <v>1.1499999999999999</v>
      </c>
      <c r="Q10" s="1">
        <f>VLOOKUP($G10,crop_coefficients!$A$2:$N$23,11,FALSE)</f>
        <v>0.25</v>
      </c>
      <c r="R10" s="1">
        <f>VLOOKUP($G10,crop_coefficients!$A$2:$N$23,13,FALSE)</f>
        <v>0.4</v>
      </c>
    </row>
    <row r="11" spans="1:18" x14ac:dyDescent="0.25">
      <c r="A11" s="1" t="s">
        <v>17</v>
      </c>
      <c r="B11" s="1" t="s">
        <v>41</v>
      </c>
      <c r="C11" s="50">
        <v>176042.86412745001</v>
      </c>
      <c r="D11" s="1" t="s">
        <v>181</v>
      </c>
      <c r="E11" s="3" t="str">
        <f>IF(C11&gt;=50000,"ja","nein")</f>
        <v>ja</v>
      </c>
      <c r="F11" s="3" t="s">
        <v>91</v>
      </c>
      <c r="G11" s="1" t="s">
        <v>90</v>
      </c>
      <c r="H11" s="1" t="str">
        <f>VLOOKUP($G11,crop_coefficients!$A$2:$N$23,2,FALSE)</f>
        <v>Oct</v>
      </c>
      <c r="I11" s="1">
        <f>VLOOKUP($G11,crop_coefficients!$A$2:$N$23,3,FALSE)</f>
        <v>160</v>
      </c>
      <c r="J11" s="1">
        <f>VLOOKUP($G11,crop_coefficients!$A$2:$N$23,4,FALSE)</f>
        <v>55</v>
      </c>
      <c r="K11" s="1">
        <f>VLOOKUP($G11,crop_coefficients!$A$2:$N$23,5,FALSE)</f>
        <v>55</v>
      </c>
      <c r="L11" s="1">
        <f>VLOOKUP($G11,crop_coefficients!$A$2:$N$23,6,FALSE)</f>
        <v>20</v>
      </c>
      <c r="M11" s="1">
        <f>VLOOKUP($G11,crop_coefficients!$A$2:$N$23,7,FALSE)</f>
        <v>290</v>
      </c>
      <c r="N11" s="1" t="str">
        <f>VLOOKUP($G11,crop_coefficients!$A$2:$N$23,8,FALSE)</f>
        <v>ok</v>
      </c>
      <c r="O11" s="1">
        <f>VLOOKUP($G11,crop_coefficients!$A$2:$N$23,9,FALSE)</f>
        <v>1</v>
      </c>
      <c r="P11" s="1">
        <f>VLOOKUP($G11,crop_coefficients!$A$2:$N$23,10,FALSE)</f>
        <v>1.1000000000000001</v>
      </c>
      <c r="Q11" s="1">
        <f>VLOOKUP($G11,crop_coefficients!$A$2:$N$23,11,FALSE)</f>
        <v>0.15</v>
      </c>
      <c r="R11" s="1">
        <f>VLOOKUP($G11,crop_coefficients!$A$2:$N$23,13,FALSE)</f>
        <v>0.15</v>
      </c>
    </row>
    <row r="12" spans="1:18" hidden="1" x14ac:dyDescent="0.25">
      <c r="A12" s="1" t="s">
        <v>4</v>
      </c>
      <c r="B12" s="1" t="s">
        <v>89</v>
      </c>
      <c r="C12" s="3">
        <v>247935.84483034001</v>
      </c>
      <c r="D12" s="1" t="s">
        <v>182</v>
      </c>
      <c r="E12" s="3" t="str">
        <f>IF(C12&gt;=50000,"ja","nein")</f>
        <v>ja</v>
      </c>
      <c r="F12" s="3" t="s">
        <v>87</v>
      </c>
      <c r="G12" s="1" t="s">
        <v>190</v>
      </c>
      <c r="H12" s="1" t="str">
        <f>VLOOKUP($G12,crop_coefficients!$A$2:$N$23,2,FALSE)</f>
        <v>NA</v>
      </c>
      <c r="I12" s="1" t="str">
        <f>VLOOKUP($G12,crop_coefficients!$A$2:$N$23,3,FALSE)</f>
        <v>NA</v>
      </c>
      <c r="J12" s="1" t="str">
        <f>VLOOKUP($G12,crop_coefficients!$A$2:$N$23,4,FALSE)</f>
        <v>NA</v>
      </c>
      <c r="K12" s="1" t="str">
        <f>VLOOKUP($G12,crop_coefficients!$A$2:$N$23,5,FALSE)</f>
        <v>NA</v>
      </c>
      <c r="L12" s="1" t="str">
        <f>VLOOKUP($G12,crop_coefficients!$A$2:$N$23,6,FALSE)</f>
        <v>NA</v>
      </c>
      <c r="M12" s="1" t="str">
        <f>VLOOKUP($G12,crop_coefficients!$A$2:$N$23,7,FALSE)</f>
        <v>NA</v>
      </c>
      <c r="N12" s="1" t="str">
        <f>VLOOKUP($G12,crop_coefficients!$A$2:$N$23,8,FALSE)</f>
        <v>NA</v>
      </c>
      <c r="O12" s="1" t="str">
        <f>VLOOKUP($G12,crop_coefficients!$A$2:$N$23,9,FALSE)</f>
        <v>NA</v>
      </c>
      <c r="P12" s="1" t="str">
        <f>VLOOKUP($G12,crop_coefficients!$A$2:$N$23,10,FALSE)</f>
        <v>NA</v>
      </c>
      <c r="Q12" s="1" t="str">
        <f>VLOOKUP($G12,crop_coefficients!$A$2:$N$23,11,FALSE)</f>
        <v>NA</v>
      </c>
      <c r="R12" s="1" t="str">
        <f>VLOOKUP($G12,crop_coefficients!$A$2:$N$23,13,FALSE)</f>
        <v>NA</v>
      </c>
    </row>
    <row r="13" spans="1:18" hidden="1" x14ac:dyDescent="0.25">
      <c r="A13" s="1" t="s">
        <v>6</v>
      </c>
      <c r="B13" s="1" t="s">
        <v>88</v>
      </c>
      <c r="C13" s="3">
        <v>146714.35749192399</v>
      </c>
      <c r="D13" s="1" t="s">
        <v>182</v>
      </c>
      <c r="E13" s="3" t="str">
        <f>IF(C13&gt;=50000,"ja","nein")</f>
        <v>ja</v>
      </c>
      <c r="F13" s="3" t="s">
        <v>87</v>
      </c>
      <c r="G13" s="1" t="s">
        <v>190</v>
      </c>
      <c r="H13" s="1" t="str">
        <f>VLOOKUP($G13,crop_coefficients!$A$2:$N$23,2,FALSE)</f>
        <v>NA</v>
      </c>
      <c r="I13" s="1" t="str">
        <f>VLOOKUP($G13,crop_coefficients!$A$2:$N$23,3,FALSE)</f>
        <v>NA</v>
      </c>
      <c r="J13" s="1" t="str">
        <f>VLOOKUP($G13,crop_coefficients!$A$2:$N$23,4,FALSE)</f>
        <v>NA</v>
      </c>
      <c r="K13" s="1" t="str">
        <f>VLOOKUP($G13,crop_coefficients!$A$2:$N$23,5,FALSE)</f>
        <v>NA</v>
      </c>
      <c r="L13" s="1" t="str">
        <f>VLOOKUP($G13,crop_coefficients!$A$2:$N$23,6,FALSE)</f>
        <v>NA</v>
      </c>
      <c r="M13" s="1" t="str">
        <f>VLOOKUP($G13,crop_coefficients!$A$2:$N$23,7,FALSE)</f>
        <v>NA</v>
      </c>
      <c r="N13" s="1" t="str">
        <f>VLOOKUP($G13,crop_coefficients!$A$2:$N$23,8,FALSE)</f>
        <v>NA</v>
      </c>
      <c r="O13" s="1" t="str">
        <f>VLOOKUP($G13,crop_coefficients!$A$2:$N$23,9,FALSE)</f>
        <v>NA</v>
      </c>
      <c r="P13" s="1" t="str">
        <f>VLOOKUP($G13,crop_coefficients!$A$2:$N$23,10,FALSE)</f>
        <v>NA</v>
      </c>
      <c r="Q13" s="1" t="str">
        <f>VLOOKUP($G13,crop_coefficients!$A$2:$N$23,11,FALSE)</f>
        <v>NA</v>
      </c>
      <c r="R13" s="1" t="str">
        <f>VLOOKUP($G13,crop_coefficients!$A$2:$N$23,13,FALSE)</f>
        <v>NA</v>
      </c>
    </row>
    <row r="14" spans="1:18" x14ac:dyDescent="0.25">
      <c r="A14" s="1" t="s">
        <v>54</v>
      </c>
      <c r="B14" s="1" t="s">
        <v>86</v>
      </c>
      <c r="C14" s="50">
        <v>2252149.4318472599</v>
      </c>
      <c r="D14" s="1" t="s">
        <v>181</v>
      </c>
      <c r="E14" s="3" t="str">
        <f>IF(C14&gt;=50000,"ja","nein")</f>
        <v>ja</v>
      </c>
      <c r="G14" s="1" t="s">
        <v>195</v>
      </c>
      <c r="H14" s="1" t="str">
        <f>VLOOKUP($G14,crop_coefficients!$A$2:$N$23,2,FALSE)</f>
        <v>Mar</v>
      </c>
      <c r="I14" s="1">
        <f>VLOOKUP($G14,crop_coefficients!$A$2:$N$23,3,FALSE)</f>
        <v>20</v>
      </c>
      <c r="J14" s="1">
        <f>VLOOKUP($G14,crop_coefficients!$A$2:$N$23,4,FALSE)</f>
        <v>70</v>
      </c>
      <c r="K14" s="1">
        <f>VLOOKUP($G14,crop_coefficients!$A$2:$N$23,5,FALSE)</f>
        <v>90</v>
      </c>
      <c r="L14" s="1">
        <f>VLOOKUP($G14,crop_coefficients!$A$2:$N$23,6,FALSE)</f>
        <v>30</v>
      </c>
      <c r="M14" s="1">
        <f>VLOOKUP($G14,crop_coefficients!$A$2:$N$23,7,FALSE)</f>
        <v>210</v>
      </c>
      <c r="N14" s="1" t="str">
        <f>VLOOKUP($G14,crop_coefficients!$A$2:$N$23,8,FALSE)</f>
        <v>ok</v>
      </c>
      <c r="O14" s="1">
        <f>VLOOKUP($G14,crop_coefficients!$A$2:$N$23,9,FALSE)</f>
        <v>1</v>
      </c>
      <c r="P14" s="1">
        <f>VLOOKUP($G14,crop_coefficients!$A$2:$N$23,10,FALSE)</f>
        <v>0.95</v>
      </c>
      <c r="Q14" s="1">
        <f>VLOOKUP($G14,crop_coefficients!$A$2:$N$23,11,FALSE)</f>
        <v>0.7</v>
      </c>
      <c r="R14" s="1">
        <f>VLOOKUP($G14,crop_coefficients!$A$2:$N$23,13,FALSE)</f>
        <v>0.45</v>
      </c>
    </row>
    <row r="15" spans="1:18" x14ac:dyDescent="0.25">
      <c r="A15" s="1" t="s">
        <v>22</v>
      </c>
      <c r="B15" s="1" t="s">
        <v>111</v>
      </c>
      <c r="C15" s="50">
        <v>239188.30300840401</v>
      </c>
      <c r="D15" s="1" t="s">
        <v>181</v>
      </c>
      <c r="E15" s="3" t="str">
        <f>IF(C15&gt;=50000,"ja","nein")</f>
        <v>ja</v>
      </c>
      <c r="G15" s="6" t="s">
        <v>110</v>
      </c>
      <c r="H15" s="1" t="str">
        <f>VLOOKUP($G15,crop_coefficients!$A$2:$N$23,2,FALSE)</f>
        <v>May</v>
      </c>
      <c r="I15" s="1">
        <f>VLOOKUP($G15,crop_coefficients!$A$2:$N$23,3,FALSE)</f>
        <v>30</v>
      </c>
      <c r="J15" s="1">
        <f>VLOOKUP($G15,crop_coefficients!$A$2:$N$23,4,FALSE)</f>
        <v>35</v>
      </c>
      <c r="K15" s="1">
        <f>VLOOKUP($G15,crop_coefficients!$A$2:$N$23,5,FALSE)</f>
        <v>50</v>
      </c>
      <c r="L15" s="1">
        <f>VLOOKUP($G15,crop_coefficients!$A$2:$N$23,6,FALSE)</f>
        <v>25</v>
      </c>
      <c r="M15" s="1">
        <f>VLOOKUP($G15,crop_coefficients!$A$2:$N$23,7,FALSE)</f>
        <v>140</v>
      </c>
      <c r="N15" s="1" t="str">
        <f>VLOOKUP($G15,crop_coefficients!$A$2:$N$23,8,FALSE)</f>
        <v>ok</v>
      </c>
      <c r="O15" s="1">
        <f>VLOOKUP($G15,crop_coefficients!$A$2:$N$23,9,FALSE)</f>
        <v>1</v>
      </c>
      <c r="P15" s="1">
        <f>VLOOKUP($G15,crop_coefficients!$A$2:$N$23,10,FALSE)</f>
        <v>1.1499999999999999</v>
      </c>
      <c r="Q15" s="1">
        <f>VLOOKUP($G15,crop_coefficients!$A$2:$N$23,11,FALSE)</f>
        <v>0.5</v>
      </c>
      <c r="R15" s="1">
        <f>VLOOKUP($G15,crop_coefficients!$A$2:$N$23,13,FALSE)</f>
        <v>0.5</v>
      </c>
    </row>
    <row r="16" spans="1:18" x14ac:dyDescent="0.25">
      <c r="A16" s="1" t="s">
        <v>17</v>
      </c>
      <c r="B16" s="1" t="s">
        <v>116</v>
      </c>
      <c r="C16" s="50">
        <v>472975.19181439001</v>
      </c>
      <c r="D16" s="1" t="s">
        <v>181</v>
      </c>
      <c r="E16" s="3" t="str">
        <f>IF(C16&gt;=50000,"ja","nein")</f>
        <v>ja</v>
      </c>
      <c r="G16" s="8" t="s">
        <v>114</v>
      </c>
      <c r="H16" s="1" t="str">
        <f>VLOOKUP($G16,crop_coefficients!$A$2:$N$23,2,FALSE)</f>
        <v>Apr</v>
      </c>
      <c r="I16" s="1">
        <f>VLOOKUP($G16,crop_coefficients!$A$2:$N$23,3,FALSE)</f>
        <v>30</v>
      </c>
      <c r="J16" s="1">
        <f>VLOOKUP($G16,crop_coefficients!$A$2:$N$23,4,FALSE)</f>
        <v>40</v>
      </c>
      <c r="K16" s="1">
        <f>VLOOKUP($G16,crop_coefficients!$A$2:$N$23,5,FALSE)</f>
        <v>50</v>
      </c>
      <c r="L16" s="1">
        <f>VLOOKUP($G16,crop_coefficients!$A$2:$N$23,6,FALSE)</f>
        <v>50</v>
      </c>
      <c r="M16" s="1">
        <f>VLOOKUP($G16,crop_coefficients!$A$2:$N$23,7,FALSE)</f>
        <v>170</v>
      </c>
      <c r="N16" s="1" t="str">
        <f>VLOOKUP($G16,crop_coefficients!$A$2:$N$23,8,FALSE)</f>
        <v>ok</v>
      </c>
      <c r="O16" s="1">
        <f>VLOOKUP($G16,crop_coefficients!$A$2:$N$23,9,FALSE)</f>
        <v>1</v>
      </c>
      <c r="P16" s="1">
        <f>VLOOKUP($G16,crop_coefficients!$A$2:$N$23,10,FALSE)</f>
        <v>1.2</v>
      </c>
      <c r="Q16" s="1">
        <f>VLOOKUP($G16,crop_coefficients!$A$2:$N$23,11,FALSE)</f>
        <v>0.5</v>
      </c>
      <c r="R16" s="1">
        <f>VLOOKUP($G16,crop_coefficients!$A$2:$N$23,13,FALSE)</f>
        <v>0.3</v>
      </c>
    </row>
    <row r="17" spans="1:18" hidden="1" x14ac:dyDescent="0.25">
      <c r="A17" s="1" t="s">
        <v>71</v>
      </c>
      <c r="B17" s="1" t="s">
        <v>85</v>
      </c>
      <c r="C17" s="3">
        <v>17297470.405200701</v>
      </c>
      <c r="D17" s="1" t="s">
        <v>182</v>
      </c>
      <c r="E17" s="3" t="str">
        <f>IF(C17&gt;=50000,"ja","nein")</f>
        <v>ja</v>
      </c>
      <c r="F17" s="3" t="s">
        <v>84</v>
      </c>
      <c r="G17" s="1" t="s">
        <v>144</v>
      </c>
      <c r="H17" s="1" t="str">
        <f>VLOOKUP($G17,crop_coefficients!$A$2:$N$23,2,FALSE)</f>
        <v>NA</v>
      </c>
      <c r="I17" s="1" t="str">
        <f>VLOOKUP($G17,crop_coefficients!$A$2:$N$23,3,FALSE)</f>
        <v>NA</v>
      </c>
      <c r="J17" s="1" t="str">
        <f>VLOOKUP($G17,crop_coefficients!$A$2:$N$23,4,FALSE)</f>
        <v>NA</v>
      </c>
      <c r="K17" s="1" t="str">
        <f>VLOOKUP($G17,crop_coefficients!$A$2:$N$23,5,FALSE)</f>
        <v>NA</v>
      </c>
      <c r="L17" s="1" t="str">
        <f>VLOOKUP($G17,crop_coefficients!$A$2:$N$23,6,FALSE)</f>
        <v>NA</v>
      </c>
      <c r="M17" s="1" t="str">
        <f>VLOOKUP($G17,crop_coefficients!$A$2:$N$23,7,FALSE)</f>
        <v>NA</v>
      </c>
      <c r="N17" s="1" t="str">
        <f>VLOOKUP($G17,crop_coefficients!$A$2:$N$23,8,FALSE)</f>
        <v>NA</v>
      </c>
      <c r="O17" s="1" t="str">
        <f>VLOOKUP($G17,crop_coefficients!$A$2:$N$23,9,FALSE)</f>
        <v>NA</v>
      </c>
      <c r="P17" s="1" t="str">
        <f>VLOOKUP($G17,crop_coefficients!$A$2:$N$23,10,FALSE)</f>
        <v>NA</v>
      </c>
      <c r="Q17" s="1" t="str">
        <f>VLOOKUP($G17,crop_coefficients!$A$2:$N$23,11,FALSE)</f>
        <v>NA</v>
      </c>
      <c r="R17" s="1" t="str">
        <f>VLOOKUP($G17,crop_coefficients!$A$2:$N$23,13,FALSE)</f>
        <v>NA</v>
      </c>
    </row>
    <row r="18" spans="1:18" x14ac:dyDescent="0.25">
      <c r="A18" s="1" t="s">
        <v>26</v>
      </c>
      <c r="B18" s="1" t="s">
        <v>83</v>
      </c>
      <c r="C18" s="50">
        <v>90908.785037142996</v>
      </c>
      <c r="D18" s="1" t="s">
        <v>181</v>
      </c>
      <c r="E18" s="3" t="str">
        <f>IF(C18&gt;=50000,"ja","nein")</f>
        <v>ja</v>
      </c>
      <c r="G18" s="1" t="s">
        <v>195</v>
      </c>
      <c r="H18" s="1" t="str">
        <f>VLOOKUP($G18,crop_coefficients!$A$2:$N$23,2,FALSE)</f>
        <v>Mar</v>
      </c>
      <c r="I18" s="1">
        <f>VLOOKUP($G18,crop_coefficients!$A$2:$N$23,3,FALSE)</f>
        <v>20</v>
      </c>
      <c r="J18" s="1">
        <f>VLOOKUP($G18,crop_coefficients!$A$2:$N$23,4,FALSE)</f>
        <v>70</v>
      </c>
      <c r="K18" s="1">
        <f>VLOOKUP($G18,crop_coefficients!$A$2:$N$23,5,FALSE)</f>
        <v>90</v>
      </c>
      <c r="L18" s="1">
        <f>VLOOKUP($G18,crop_coefficients!$A$2:$N$23,6,FALSE)</f>
        <v>30</v>
      </c>
      <c r="M18" s="1">
        <f>VLOOKUP($G18,crop_coefficients!$A$2:$N$23,7,FALSE)</f>
        <v>210</v>
      </c>
      <c r="N18" s="1" t="str">
        <f>VLOOKUP($G18,crop_coefficients!$A$2:$N$23,8,FALSE)</f>
        <v>ok</v>
      </c>
      <c r="O18" s="1">
        <f>VLOOKUP($G18,crop_coefficients!$A$2:$N$23,9,FALSE)</f>
        <v>1</v>
      </c>
      <c r="P18" s="1">
        <f>VLOOKUP($G18,crop_coefficients!$A$2:$N$23,10,FALSE)</f>
        <v>0.95</v>
      </c>
      <c r="Q18" s="1">
        <f>VLOOKUP($G18,crop_coefficients!$A$2:$N$23,11,FALSE)</f>
        <v>0.7</v>
      </c>
      <c r="R18" s="1">
        <f>VLOOKUP($G18,crop_coefficients!$A$2:$N$23,13,FALSE)</f>
        <v>0.45</v>
      </c>
    </row>
    <row r="19" spans="1:18" hidden="1" x14ac:dyDescent="0.25">
      <c r="A19" s="1" t="s">
        <v>17</v>
      </c>
      <c r="B19" s="1" t="s">
        <v>99</v>
      </c>
      <c r="C19" s="3">
        <v>111537.37449798</v>
      </c>
      <c r="D19" s="1" t="s">
        <v>200</v>
      </c>
      <c r="E19" s="3" t="str">
        <f>IF(C19&gt;=50000,"ja","nein")</f>
        <v>ja</v>
      </c>
      <c r="F19" s="3" t="s">
        <v>98</v>
      </c>
      <c r="G19" s="1" t="s">
        <v>97</v>
      </c>
      <c r="H19" s="1" t="str">
        <f>VLOOKUP($G19,crop_coefficients!$A$2:$N$23,2,FALSE)</f>
        <v>Oct</v>
      </c>
      <c r="I19" s="1">
        <f>VLOOKUP($G19,crop_coefficients!$A$2:$N$23,3,FALSE)</f>
        <v>160</v>
      </c>
      <c r="J19" s="1">
        <f>VLOOKUP($G19,crop_coefficients!$A$2:$N$23,4,FALSE)</f>
        <v>55</v>
      </c>
      <c r="K19" s="1">
        <f>VLOOKUP($G19,crop_coefficients!$A$2:$N$23,5,FALSE)</f>
        <v>55</v>
      </c>
      <c r="L19" s="1">
        <f>VLOOKUP($G19,crop_coefficients!$A$2:$N$23,6,FALSE)</f>
        <v>20</v>
      </c>
      <c r="M19" s="1">
        <f>VLOOKUP($G19,crop_coefficients!$A$2:$N$23,7,FALSE)</f>
        <v>290</v>
      </c>
      <c r="N19" s="1" t="str">
        <f>VLOOKUP($G19,crop_coefficients!$A$2:$N$23,8,FALSE)</f>
        <v>ok</v>
      </c>
      <c r="O19" s="1">
        <f>VLOOKUP($G19,crop_coefficients!$A$2:$N$23,9,FALSE)</f>
        <v>1</v>
      </c>
      <c r="P19" s="1">
        <f>VLOOKUP($G19,crop_coefficients!$A$2:$N$23,10,FALSE)</f>
        <v>1.1499999999999999</v>
      </c>
      <c r="Q19" s="1">
        <f>VLOOKUP($G19,crop_coefficients!$A$2:$N$23,11,FALSE)</f>
        <v>0.25</v>
      </c>
      <c r="R19" s="1">
        <f>VLOOKUP($G19,crop_coefficients!$A$2:$N$23,13,FALSE)</f>
        <v>0.4</v>
      </c>
    </row>
    <row r="20" spans="1:18" x14ac:dyDescent="0.25">
      <c r="A20" s="1" t="s">
        <v>22</v>
      </c>
      <c r="B20" s="1" t="s">
        <v>115</v>
      </c>
      <c r="C20" s="50">
        <v>3702054.9666901999</v>
      </c>
      <c r="D20" s="1" t="s">
        <v>181</v>
      </c>
      <c r="E20" s="3" t="str">
        <f>IF(C20&gt;=50000,"ja","nein")</f>
        <v>ja</v>
      </c>
      <c r="G20" s="8" t="s">
        <v>114</v>
      </c>
      <c r="H20" s="1" t="str">
        <f>VLOOKUP($G20,crop_coefficients!$A$2:$N$23,2,FALSE)</f>
        <v>Apr</v>
      </c>
      <c r="I20" s="1">
        <f>VLOOKUP($G20,crop_coefficients!$A$2:$N$23,3,FALSE)</f>
        <v>30</v>
      </c>
      <c r="J20" s="1">
        <f>VLOOKUP($G20,crop_coefficients!$A$2:$N$23,4,FALSE)</f>
        <v>40</v>
      </c>
      <c r="K20" s="1">
        <f>VLOOKUP($G20,crop_coefficients!$A$2:$N$23,5,FALSE)</f>
        <v>50</v>
      </c>
      <c r="L20" s="1">
        <f>VLOOKUP($G20,crop_coefficients!$A$2:$N$23,6,FALSE)</f>
        <v>50</v>
      </c>
      <c r="M20" s="1">
        <f>VLOOKUP($G20,crop_coefficients!$A$2:$N$23,7,FALSE)</f>
        <v>170</v>
      </c>
      <c r="N20" s="1" t="str">
        <f>VLOOKUP($G20,crop_coefficients!$A$2:$N$23,8,FALSE)</f>
        <v>ok</v>
      </c>
      <c r="O20" s="1">
        <f>VLOOKUP($G20,crop_coefficients!$A$2:$N$23,9,FALSE)</f>
        <v>1</v>
      </c>
      <c r="P20" s="1">
        <f>VLOOKUP($G20,crop_coefficients!$A$2:$N$23,10,FALSE)</f>
        <v>1.2</v>
      </c>
      <c r="Q20" s="1">
        <f>VLOOKUP($G20,crop_coefficients!$A$2:$N$23,11,FALSE)</f>
        <v>0.5</v>
      </c>
      <c r="R20" s="1">
        <f>VLOOKUP($G20,crop_coefficients!$A$2:$N$23,13,FALSE)</f>
        <v>0.3</v>
      </c>
    </row>
    <row r="21" spans="1:18" hidden="1" x14ac:dyDescent="0.25">
      <c r="A21" s="1" t="s">
        <v>17</v>
      </c>
      <c r="B21" s="1" t="s">
        <v>57</v>
      </c>
      <c r="C21" s="3">
        <v>52716.681500730003</v>
      </c>
      <c r="D21" s="1" t="s">
        <v>200</v>
      </c>
      <c r="E21" s="3" t="str">
        <f>IF(C21&gt;=50000,"ja","nein")</f>
        <v>ja</v>
      </c>
      <c r="F21" s="3" t="s">
        <v>121</v>
      </c>
      <c r="G21" s="1" t="s">
        <v>120</v>
      </c>
      <c r="H21" s="1" t="str">
        <f>VLOOKUP($G21,crop_coefficients!$A$2:$N$23,2,FALSE)</f>
        <v>Mar</v>
      </c>
      <c r="I21" s="1">
        <f>VLOOKUP($G21,crop_coefficients!$A$2:$N$23,3,FALSE)</f>
        <v>40</v>
      </c>
      <c r="J21" s="1">
        <f>VLOOKUP($G21,crop_coefficients!$A$2:$N$23,4,FALSE)</f>
        <v>30</v>
      </c>
      <c r="K21" s="1">
        <f>VLOOKUP($G21,crop_coefficients!$A$2:$N$23,5,FALSE)</f>
        <v>40</v>
      </c>
      <c r="L21" s="1">
        <f>VLOOKUP($G21,crop_coefficients!$A$2:$N$23,6,FALSE)</f>
        <v>20</v>
      </c>
      <c r="M21" s="1">
        <f>VLOOKUP($G21,crop_coefficients!$A$2:$N$23,7,FALSE)</f>
        <v>130</v>
      </c>
      <c r="N21" s="1" t="str">
        <f>VLOOKUP($G21,crop_coefficients!$A$2:$N$23,8,FALSE)</f>
        <v>ok</v>
      </c>
      <c r="O21" s="1">
        <f>VLOOKUP($G21,crop_coefficients!$A$2:$N$23,9,FALSE)</f>
        <v>1</v>
      </c>
      <c r="P21" s="1">
        <f>VLOOKUP($G21,crop_coefficients!$A$2:$N$23,10,FALSE)</f>
        <v>1.1499999999999999</v>
      </c>
      <c r="Q21" s="1">
        <f>VLOOKUP($G21,crop_coefficients!$A$2:$N$23,11,FALSE)</f>
        <v>0.25</v>
      </c>
      <c r="R21" s="1">
        <f>VLOOKUP($G21,crop_coefficients!$A$2:$N$23,13,FALSE)</f>
        <v>0.3</v>
      </c>
    </row>
    <row r="22" spans="1:18" hidden="1" x14ac:dyDescent="0.25">
      <c r="A22" s="1" t="s">
        <v>82</v>
      </c>
      <c r="B22" s="1" t="s">
        <v>81</v>
      </c>
      <c r="C22" s="3">
        <v>16377485.2871264</v>
      </c>
      <c r="D22" s="1" t="s">
        <v>182</v>
      </c>
      <c r="E22" s="3" t="str">
        <f>IF(C22&gt;=50000,"ja","nein")</f>
        <v>ja</v>
      </c>
      <c r="G22" s="1" t="s">
        <v>145</v>
      </c>
      <c r="H22" s="1" t="str">
        <f>VLOOKUP($G22,crop_coefficients!$A$2:$N$23,2,FALSE)</f>
        <v>NA</v>
      </c>
      <c r="I22" s="1" t="str">
        <f>VLOOKUP($G22,crop_coefficients!$A$2:$N$23,3,FALSE)</f>
        <v>NA</v>
      </c>
      <c r="J22" s="1" t="str">
        <f>VLOOKUP($G22,crop_coefficients!$A$2:$N$23,4,FALSE)</f>
        <v>NA</v>
      </c>
      <c r="K22" s="1" t="str">
        <f>VLOOKUP($G22,crop_coefficients!$A$2:$N$23,5,FALSE)</f>
        <v>NA</v>
      </c>
      <c r="L22" s="1" t="str">
        <f>VLOOKUP($G22,crop_coefficients!$A$2:$N$23,6,FALSE)</f>
        <v>NA</v>
      </c>
      <c r="M22" s="1" t="str">
        <f>VLOOKUP($G22,crop_coefficients!$A$2:$N$23,7,FALSE)</f>
        <v>NA</v>
      </c>
      <c r="N22" s="1" t="str">
        <f>VLOOKUP($G22,crop_coefficients!$A$2:$N$23,8,FALSE)</f>
        <v>NA</v>
      </c>
      <c r="O22" s="1" t="str">
        <f>VLOOKUP($G22,crop_coefficients!$A$2:$N$23,9,FALSE)</f>
        <v>NA</v>
      </c>
      <c r="P22" s="1" t="str">
        <f>VLOOKUP($G22,crop_coefficients!$A$2:$N$23,10,FALSE)</f>
        <v>NA</v>
      </c>
      <c r="Q22" s="1" t="str">
        <f>VLOOKUP($G22,crop_coefficients!$A$2:$N$23,11,FALSE)</f>
        <v>NA</v>
      </c>
      <c r="R22" s="1" t="str">
        <f>VLOOKUP($G22,crop_coefficients!$A$2:$N$23,13,FALSE)</f>
        <v>NA</v>
      </c>
    </row>
    <row r="23" spans="1:18" hidden="1" x14ac:dyDescent="0.25">
      <c r="A23" s="1" t="s">
        <v>17</v>
      </c>
      <c r="B23" s="1" t="s">
        <v>96</v>
      </c>
      <c r="C23" s="3">
        <v>111547.06098939</v>
      </c>
      <c r="D23" s="1" t="s">
        <v>200</v>
      </c>
      <c r="E23" s="3" t="str">
        <f>IF(C23&gt;=50000,"ja","nein")</f>
        <v>ja</v>
      </c>
      <c r="G23" s="1" t="s">
        <v>95</v>
      </c>
      <c r="H23" s="1" t="str">
        <f>VLOOKUP($G23,crop_coefficients!$A$2:$N$23,2,FALSE)</f>
        <v>Feb</v>
      </c>
      <c r="I23" s="1">
        <f>VLOOKUP($G23,crop_coefficients!$A$2:$N$23,3,FALSE)</f>
        <v>40</v>
      </c>
      <c r="J23" s="1">
        <f>VLOOKUP($G23,crop_coefficients!$A$2:$N$23,4,FALSE)</f>
        <v>30</v>
      </c>
      <c r="K23" s="1">
        <f>VLOOKUP($G23,crop_coefficients!$A$2:$N$23,5,FALSE)</f>
        <v>40</v>
      </c>
      <c r="L23" s="1">
        <f>VLOOKUP($G23,crop_coefficients!$A$2:$N$23,6,FALSE)</f>
        <v>20</v>
      </c>
      <c r="M23" s="1">
        <f>VLOOKUP($G23,crop_coefficients!$A$2:$N$23,7,FALSE)</f>
        <v>130</v>
      </c>
      <c r="N23" s="1" t="str">
        <f>VLOOKUP($G23,crop_coefficients!$A$2:$N$23,8,FALSE)</f>
        <v>ok</v>
      </c>
      <c r="O23" s="1">
        <f>VLOOKUP($G23,crop_coefficients!$A$2:$N$23,9,FALSE)</f>
        <v>1</v>
      </c>
      <c r="P23" s="1">
        <f>VLOOKUP($G23,crop_coefficients!$A$2:$N$23,10,FALSE)</f>
        <v>1.1499999999999999</v>
      </c>
      <c r="Q23" s="1">
        <f>VLOOKUP($G23,crop_coefficients!$A$2:$N$23,11,FALSE)</f>
        <v>0.25</v>
      </c>
      <c r="R23" s="1">
        <f>VLOOKUP($G23,crop_coefficients!$A$2:$N$23,13,FALSE)</f>
        <v>0.4</v>
      </c>
    </row>
    <row r="24" spans="1:18" x14ac:dyDescent="0.25">
      <c r="A24" s="1" t="s">
        <v>22</v>
      </c>
      <c r="B24" s="1" t="s">
        <v>104</v>
      </c>
      <c r="C24" s="50">
        <v>150788.98520818999</v>
      </c>
      <c r="D24" s="1" t="s">
        <v>181</v>
      </c>
      <c r="E24" s="3" t="str">
        <f>IF(C24&gt;=50000,"ja","nein")</f>
        <v>ja</v>
      </c>
      <c r="G24" s="6" t="s">
        <v>103</v>
      </c>
      <c r="H24" s="1" t="str">
        <f>VLOOKUP($G24,crop_coefficients!$A$2:$N$23,2,FALSE)</f>
        <v>Apr</v>
      </c>
      <c r="I24" s="1">
        <f>VLOOKUP($G24,crop_coefficients!$A$2:$N$23,3,FALSE)</f>
        <v>25</v>
      </c>
      <c r="J24" s="1">
        <f>VLOOKUP($G24,crop_coefficients!$A$2:$N$23,4,FALSE)</f>
        <v>45</v>
      </c>
      <c r="K24" s="1">
        <f>VLOOKUP($G24,crop_coefficients!$A$2:$N$23,5,FALSE)</f>
        <v>55</v>
      </c>
      <c r="L24" s="1">
        <f>VLOOKUP($G24,crop_coefficients!$A$2:$N$23,6,FALSE)</f>
        <v>25</v>
      </c>
      <c r="M24" s="1">
        <f>VLOOKUP($G24,crop_coefficients!$A$2:$N$23,7,FALSE)</f>
        <v>150</v>
      </c>
      <c r="N24" s="1" t="str">
        <f>VLOOKUP($G24,crop_coefficients!$A$2:$N$23,8,FALSE)</f>
        <v>ok</v>
      </c>
      <c r="O24" s="1">
        <f>VLOOKUP($G24,crop_coefficients!$A$2:$N$23,9,FALSE)</f>
        <v>1</v>
      </c>
      <c r="P24" s="1">
        <f>VLOOKUP($G24,crop_coefficients!$A$2:$N$23,10,FALSE)</f>
        <v>1</v>
      </c>
      <c r="Q24" s="1">
        <f>VLOOKUP($G24,crop_coefficients!$A$2:$N$23,11,FALSE)</f>
        <v>0.35</v>
      </c>
      <c r="R24" s="1">
        <f>VLOOKUP($G24,crop_coefficients!$A$2:$N$23,13,FALSE)</f>
        <v>0.35</v>
      </c>
    </row>
    <row r="25" spans="1:18" x14ac:dyDescent="0.25">
      <c r="A25" s="1" t="s">
        <v>6</v>
      </c>
      <c r="B25" s="1" t="s">
        <v>123</v>
      </c>
      <c r="C25" s="50">
        <v>101132.484203642</v>
      </c>
      <c r="D25" s="1" t="s">
        <v>181</v>
      </c>
      <c r="E25" s="3" t="str">
        <f>IF(C25&gt;=50000,"ja","nein")</f>
        <v>ja</v>
      </c>
      <c r="G25" s="6" t="s">
        <v>122</v>
      </c>
      <c r="H25" s="1" t="str">
        <f>VLOOKUP($G25,crop_coefficients!$A$2:$N$23,2,FALSE)</f>
        <v>Apr</v>
      </c>
      <c r="I25" s="1">
        <f>VLOOKUP($G25,crop_coefficients!$A$2:$N$23,3,FALSE)</f>
        <v>90</v>
      </c>
      <c r="J25" s="1">
        <f>VLOOKUP($G25,crop_coefficients!$A$2:$N$23,4,FALSE)</f>
        <v>30</v>
      </c>
      <c r="K25" s="1">
        <f>VLOOKUP($G25,crop_coefficients!$A$2:$N$23,5,FALSE)</f>
        <v>200</v>
      </c>
      <c r="L25" s="1">
        <f>VLOOKUP($G25,crop_coefficients!$A$2:$N$23,6,FALSE)</f>
        <v>45</v>
      </c>
      <c r="M25" s="1">
        <f>VLOOKUP($G25,crop_coefficients!$A$2:$N$23,7,FALSE)</f>
        <v>365</v>
      </c>
      <c r="N25" s="1" t="str">
        <f>VLOOKUP($G25,crop_coefficients!$A$2:$N$23,8,FALSE)</f>
        <v>ok</v>
      </c>
      <c r="O25" s="1">
        <f>VLOOKUP($G25,crop_coefficients!$A$2:$N$23,9,FALSE)</f>
        <v>1</v>
      </c>
      <c r="P25" s="1">
        <f>VLOOKUP($G25,crop_coefficients!$A$2:$N$23,10,FALSE)</f>
        <v>0.95</v>
      </c>
      <c r="Q25" s="1">
        <f>VLOOKUP($G25,crop_coefficients!$A$2:$N$23,11,FALSE)</f>
        <v>0.3</v>
      </c>
      <c r="R25" s="1">
        <f>VLOOKUP($G25,crop_coefficients!$A$2:$N$23,13,FALSE)</f>
        <v>0.5</v>
      </c>
    </row>
    <row r="26" spans="1:18" hidden="1" x14ac:dyDescent="0.25">
      <c r="A26" s="1" t="s">
        <v>17</v>
      </c>
      <c r="B26" s="1" t="s">
        <v>126</v>
      </c>
      <c r="C26" s="3">
        <v>793458.60078906</v>
      </c>
      <c r="D26" s="1" t="s">
        <v>200</v>
      </c>
      <c r="E26" s="3" t="str">
        <f>IF(C26&gt;=50000,"ja","nein")</f>
        <v>ja</v>
      </c>
      <c r="F26" s="1" t="s">
        <v>125</v>
      </c>
      <c r="G26" s="1" t="s">
        <v>124</v>
      </c>
      <c r="H26" s="1" t="str">
        <f>VLOOKUP($G26,crop_coefficients!$A$2:$N$23,2,FALSE)</f>
        <v>Oct</v>
      </c>
      <c r="I26" s="1">
        <f>VLOOKUP($G26,crop_coefficients!$A$2:$N$23,3,FALSE)</f>
        <v>160</v>
      </c>
      <c r="J26" s="1">
        <f>VLOOKUP($G26,crop_coefficients!$A$2:$N$23,4,FALSE)</f>
        <v>55</v>
      </c>
      <c r="K26" s="1">
        <f>VLOOKUP($G26,crop_coefficients!$A$2:$N$23,5,FALSE)</f>
        <v>55</v>
      </c>
      <c r="L26" s="1">
        <f>VLOOKUP($G26,crop_coefficients!$A$2:$N$23,6,FALSE)</f>
        <v>20</v>
      </c>
      <c r="M26" s="1">
        <f>VLOOKUP($G26,crop_coefficients!$A$2:$N$23,7,FALSE)</f>
        <v>290</v>
      </c>
      <c r="N26" s="1" t="str">
        <f>VLOOKUP($G26,crop_coefficients!$A$2:$N$23,8,FALSE)</f>
        <v>ok</v>
      </c>
      <c r="O26" s="1">
        <f>VLOOKUP($G26,crop_coefficients!$A$2:$N$23,9,FALSE)</f>
        <v>1</v>
      </c>
      <c r="P26" s="1">
        <f>VLOOKUP($G26,crop_coefficients!$A$2:$N$23,10,FALSE)</f>
        <v>1.1499999999999999</v>
      </c>
      <c r="Q26" s="1">
        <f>VLOOKUP($G26,crop_coefficients!$A$2:$N$23,11,FALSE)</f>
        <v>0.25</v>
      </c>
      <c r="R26" s="1">
        <f>VLOOKUP($G26,crop_coefficients!$A$2:$N$23,13,FALSE)</f>
        <v>0.4</v>
      </c>
    </row>
    <row r="27" spans="1:18" hidden="1" x14ac:dyDescent="0.25">
      <c r="A27" s="1" t="s">
        <v>4</v>
      </c>
      <c r="B27" s="1" t="s">
        <v>126</v>
      </c>
      <c r="C27" s="3">
        <v>132904.26974712999</v>
      </c>
      <c r="D27" s="1" t="s">
        <v>200</v>
      </c>
      <c r="E27" s="3" t="str">
        <f>IF(C27&gt;=50000,"ja","nein")</f>
        <v>ja</v>
      </c>
      <c r="F27" s="1" t="s">
        <v>125</v>
      </c>
      <c r="G27" s="1" t="s">
        <v>124</v>
      </c>
      <c r="H27" s="1" t="str">
        <f>VLOOKUP($G27,crop_coefficients!$A$2:$N$23,2,FALSE)</f>
        <v>Oct</v>
      </c>
      <c r="I27" s="1">
        <f>VLOOKUP($G27,crop_coefficients!$A$2:$N$23,3,FALSE)</f>
        <v>160</v>
      </c>
      <c r="J27" s="1">
        <f>VLOOKUP($G27,crop_coefficients!$A$2:$N$23,4,FALSE)</f>
        <v>55</v>
      </c>
      <c r="K27" s="1">
        <f>VLOOKUP($G27,crop_coefficients!$A$2:$N$23,5,FALSE)</f>
        <v>55</v>
      </c>
      <c r="L27" s="1">
        <f>VLOOKUP($G27,crop_coefficients!$A$2:$N$23,6,FALSE)</f>
        <v>20</v>
      </c>
      <c r="M27" s="1">
        <f>VLOOKUP($G27,crop_coefficients!$A$2:$N$23,7,FALSE)</f>
        <v>290</v>
      </c>
      <c r="N27" s="1" t="str">
        <f>VLOOKUP($G27,crop_coefficients!$A$2:$N$23,8,FALSE)</f>
        <v>ok</v>
      </c>
      <c r="O27" s="1">
        <f>VLOOKUP($G27,crop_coefficients!$A$2:$N$23,9,FALSE)</f>
        <v>1</v>
      </c>
      <c r="P27" s="1">
        <f>VLOOKUP($G27,crop_coefficients!$A$2:$N$23,10,FALSE)</f>
        <v>1.1499999999999999</v>
      </c>
      <c r="Q27" s="1">
        <f>VLOOKUP($G27,crop_coefficients!$A$2:$N$23,11,FALSE)</f>
        <v>0.25</v>
      </c>
      <c r="R27" s="1">
        <f>VLOOKUP($G27,crop_coefficients!$A$2:$N$23,13,FALSE)</f>
        <v>0.4</v>
      </c>
    </row>
    <row r="28" spans="1:18" hidden="1" x14ac:dyDescent="0.25">
      <c r="A28" s="1" t="s">
        <v>52</v>
      </c>
      <c r="B28" s="1" t="s">
        <v>80</v>
      </c>
      <c r="C28" s="3">
        <v>17122354.229362801</v>
      </c>
      <c r="D28" s="1" t="s">
        <v>182</v>
      </c>
      <c r="E28" s="3" t="str">
        <f>IF(C28&gt;=50000,"ja","nein")</f>
        <v>ja</v>
      </c>
      <c r="F28" s="3" t="s">
        <v>79</v>
      </c>
      <c r="G28" s="1" t="s">
        <v>144</v>
      </c>
      <c r="H28" s="1" t="str">
        <f>VLOOKUP($G28,crop_coefficients!$A$2:$N$23,2,FALSE)</f>
        <v>NA</v>
      </c>
      <c r="I28" s="1" t="str">
        <f>VLOOKUP($G28,crop_coefficients!$A$2:$N$23,3,FALSE)</f>
        <v>NA</v>
      </c>
      <c r="J28" s="1" t="str">
        <f>VLOOKUP($G28,crop_coefficients!$A$2:$N$23,4,FALSE)</f>
        <v>NA</v>
      </c>
      <c r="K28" s="1" t="str">
        <f>VLOOKUP($G28,crop_coefficients!$A$2:$N$23,5,FALSE)</f>
        <v>NA</v>
      </c>
      <c r="L28" s="1" t="str">
        <f>VLOOKUP($G28,crop_coefficients!$A$2:$N$23,6,FALSE)</f>
        <v>NA</v>
      </c>
      <c r="M28" s="1" t="str">
        <f>VLOOKUP($G28,crop_coefficients!$A$2:$N$23,7,FALSE)</f>
        <v>NA</v>
      </c>
      <c r="N28" s="1" t="str">
        <f>VLOOKUP($G28,crop_coefficients!$A$2:$N$23,8,FALSE)</f>
        <v>NA</v>
      </c>
      <c r="O28" s="1" t="str">
        <f>VLOOKUP($G28,crop_coefficients!$A$2:$N$23,9,FALSE)</f>
        <v>NA</v>
      </c>
      <c r="P28" s="1" t="str">
        <f>VLOOKUP($G28,crop_coefficients!$A$2:$N$23,10,FALSE)</f>
        <v>NA</v>
      </c>
      <c r="Q28" s="1" t="str">
        <f>VLOOKUP($G28,crop_coefficients!$A$2:$N$23,11,FALSE)</f>
        <v>NA</v>
      </c>
      <c r="R28" s="1" t="str">
        <f>VLOOKUP($G28,crop_coefficients!$A$2:$N$23,13,FALSE)</f>
        <v>NA</v>
      </c>
    </row>
    <row r="29" spans="1:18" hidden="1" x14ac:dyDescent="0.25">
      <c r="A29" s="1" t="s">
        <v>6</v>
      </c>
      <c r="B29" s="1" t="s">
        <v>78</v>
      </c>
      <c r="C29" s="3">
        <v>58114.927610604398</v>
      </c>
      <c r="D29" s="1" t="s">
        <v>182</v>
      </c>
      <c r="E29" s="3" t="str">
        <f>IF(C29&gt;=50000,"ja","nein")</f>
        <v>ja</v>
      </c>
      <c r="F29" s="3" t="s">
        <v>77</v>
      </c>
      <c r="G29" s="1" t="s">
        <v>144</v>
      </c>
      <c r="H29" s="1" t="str">
        <f>VLOOKUP($G29,crop_coefficients!$A$2:$N$23,2,FALSE)</f>
        <v>NA</v>
      </c>
      <c r="I29" s="1" t="str">
        <f>VLOOKUP($G29,crop_coefficients!$A$2:$N$23,3,FALSE)</f>
        <v>NA</v>
      </c>
      <c r="J29" s="1" t="str">
        <f>VLOOKUP($G29,crop_coefficients!$A$2:$N$23,4,FALSE)</f>
        <v>NA</v>
      </c>
      <c r="K29" s="1" t="str">
        <f>VLOOKUP($G29,crop_coefficients!$A$2:$N$23,5,FALSE)</f>
        <v>NA</v>
      </c>
      <c r="L29" s="1" t="str">
        <f>VLOOKUP($G29,crop_coefficients!$A$2:$N$23,6,FALSE)</f>
        <v>NA</v>
      </c>
      <c r="M29" s="1" t="str">
        <f>VLOOKUP($G29,crop_coefficients!$A$2:$N$23,7,FALSE)</f>
        <v>NA</v>
      </c>
      <c r="N29" s="1" t="str">
        <f>VLOOKUP($G29,crop_coefficients!$A$2:$N$23,8,FALSE)</f>
        <v>NA</v>
      </c>
      <c r="O29" s="1" t="str">
        <f>VLOOKUP($G29,crop_coefficients!$A$2:$N$23,9,FALSE)</f>
        <v>NA</v>
      </c>
      <c r="P29" s="1" t="str">
        <f>VLOOKUP($G29,crop_coefficients!$A$2:$N$23,10,FALSE)</f>
        <v>NA</v>
      </c>
      <c r="Q29" s="1" t="str">
        <f>VLOOKUP($G29,crop_coefficients!$A$2:$N$23,11,FALSE)</f>
        <v>NA</v>
      </c>
      <c r="R29" s="1" t="str">
        <f>VLOOKUP($G29,crop_coefficients!$A$2:$N$23,13,FALSE)</f>
        <v>NA</v>
      </c>
    </row>
    <row r="30" spans="1:18" x14ac:dyDescent="0.25">
      <c r="A30" s="1" t="s">
        <v>22</v>
      </c>
      <c r="B30" s="1" t="s">
        <v>188</v>
      </c>
      <c r="C30" s="50">
        <f>'Alle Kulturen'!G3</f>
        <v>973529.66414758691</v>
      </c>
      <c r="D30" s="1" t="s">
        <v>181</v>
      </c>
      <c r="E30" s="3" t="str">
        <f>IF(C30&gt;=50000,"ja","nein")</f>
        <v>ja</v>
      </c>
      <c r="F30" s="3" t="s">
        <v>189</v>
      </c>
      <c r="G30" s="1" t="s">
        <v>199</v>
      </c>
      <c r="H30" s="1" t="str">
        <f>VLOOKUP($G30,crop_coefficients!$A$2:$N$23,2,FALSE)</f>
        <v>Apr</v>
      </c>
      <c r="I30" s="1">
        <f>VLOOKUP($G30,crop_coefficients!$A$2:$N$23,3,FALSE)</f>
        <v>35</v>
      </c>
      <c r="J30" s="1">
        <f>VLOOKUP($G30,crop_coefficients!$A$2:$N$23,4,FALSE)</f>
        <v>55</v>
      </c>
      <c r="K30" s="1">
        <f>VLOOKUP($G30,crop_coefficients!$A$2:$N$23,5,FALSE)</f>
        <v>50</v>
      </c>
      <c r="L30" s="1">
        <f>VLOOKUP($G30,crop_coefficients!$A$2:$N$23,6,FALSE)</f>
        <v>40</v>
      </c>
      <c r="M30" s="1">
        <f>VLOOKUP($G30,crop_coefficients!$A$2:$N$23,7,FALSE)</f>
        <v>180</v>
      </c>
      <c r="N30" s="1" t="str">
        <f>VLOOKUP($G30,crop_coefficients!$A$2:$N$23,8,FALSE)</f>
        <v>ok</v>
      </c>
      <c r="O30" s="1">
        <f>VLOOKUP($G30,crop_coefficients!$A$2:$N$23,9,FALSE)</f>
        <v>1</v>
      </c>
      <c r="P30" s="1">
        <f>VLOOKUP($G30,crop_coefficients!$A$2:$N$23,10,FALSE)</f>
        <v>1.1299999999999999</v>
      </c>
      <c r="Q30" s="1">
        <f>VLOOKUP($G30,crop_coefficients!$A$2:$N$23,11,FALSE)</f>
        <v>0.43</v>
      </c>
      <c r="R30" s="1">
        <f>VLOOKUP($G30,crop_coefficients!$A$2:$N$23,13,FALSE)</f>
        <v>0.36</v>
      </c>
    </row>
    <row r="31" spans="1:18" hidden="1" x14ac:dyDescent="0.25">
      <c r="A31" s="1" t="s">
        <v>1</v>
      </c>
      <c r="B31" s="1" t="s">
        <v>76</v>
      </c>
      <c r="C31" s="3">
        <v>193638.90800682799</v>
      </c>
      <c r="D31" s="1" t="s">
        <v>182</v>
      </c>
      <c r="E31" s="3" t="str">
        <f>IF(C31&gt;=50000,"ja","nein")</f>
        <v>ja</v>
      </c>
      <c r="G31" s="1" t="s">
        <v>76</v>
      </c>
      <c r="H31" s="1" t="str">
        <f>VLOOKUP($G31,crop_coefficients!$A$2:$N$23,2,FALSE)</f>
        <v>NA</v>
      </c>
      <c r="I31" s="1" t="str">
        <f>VLOOKUP($G31,crop_coefficients!$A$2:$N$23,3,FALSE)</f>
        <v>NA</v>
      </c>
      <c r="J31" s="1" t="str">
        <f>VLOOKUP($G31,crop_coefficients!$A$2:$N$23,4,FALSE)</f>
        <v>NA</v>
      </c>
      <c r="K31" s="1" t="str">
        <f>VLOOKUP($G31,crop_coefficients!$A$2:$N$23,5,FALSE)</f>
        <v>NA</v>
      </c>
      <c r="L31" s="1" t="str">
        <f>VLOOKUP($G31,crop_coefficients!$A$2:$N$23,6,FALSE)</f>
        <v>NA</v>
      </c>
      <c r="M31" s="1" t="str">
        <f>VLOOKUP($G31,crop_coefficients!$A$2:$N$23,7,FALSE)</f>
        <v>NA</v>
      </c>
      <c r="N31" s="1" t="str">
        <f>VLOOKUP($G31,crop_coefficients!$A$2:$N$23,8,FALSE)</f>
        <v>NA</v>
      </c>
      <c r="O31" s="1" t="str">
        <f>VLOOKUP($G31,crop_coefficients!$A$2:$N$23,9,FALSE)</f>
        <v>NA</v>
      </c>
      <c r="P31" s="1" t="str">
        <f>VLOOKUP($G31,crop_coefficients!$A$2:$N$23,10,FALSE)</f>
        <v>NA</v>
      </c>
      <c r="Q31" s="1" t="str">
        <f>VLOOKUP($G31,crop_coefficients!$A$2:$N$23,11,FALSE)</f>
        <v>NA</v>
      </c>
      <c r="R31" s="1" t="str">
        <f>VLOOKUP($G31,crop_coefficients!$A$2:$N$23,13,FALSE)</f>
        <v>NA</v>
      </c>
    </row>
    <row r="32" spans="1:18" hidden="1" x14ac:dyDescent="0.25">
      <c r="A32" s="1" t="s">
        <v>61</v>
      </c>
      <c r="B32" s="1" t="s">
        <v>75</v>
      </c>
      <c r="C32" s="3">
        <v>11981066.4177309</v>
      </c>
      <c r="D32" s="1" t="s">
        <v>182</v>
      </c>
      <c r="E32" s="3" t="str">
        <f>IF(C32&gt;=50000,"ja","nein")</f>
        <v>ja</v>
      </c>
      <c r="G32" s="1" t="s">
        <v>145</v>
      </c>
      <c r="H32" s="1" t="str">
        <f>VLOOKUP($G32,crop_coefficients!$A$2:$N$23,2,FALSE)</f>
        <v>NA</v>
      </c>
      <c r="I32" s="1" t="str">
        <f>VLOOKUP($G32,crop_coefficients!$A$2:$N$23,3,FALSE)</f>
        <v>NA</v>
      </c>
      <c r="J32" s="1" t="str">
        <f>VLOOKUP($G32,crop_coefficients!$A$2:$N$23,4,FALSE)</f>
        <v>NA</v>
      </c>
      <c r="K32" s="1" t="str">
        <f>VLOOKUP($G32,crop_coefficients!$A$2:$N$23,5,FALSE)</f>
        <v>NA</v>
      </c>
      <c r="L32" s="1" t="str">
        <f>VLOOKUP($G32,crop_coefficients!$A$2:$N$23,6,FALSE)</f>
        <v>NA</v>
      </c>
      <c r="M32" s="1" t="str">
        <f>VLOOKUP($G32,crop_coefficients!$A$2:$N$23,7,FALSE)</f>
        <v>NA</v>
      </c>
      <c r="N32" s="1" t="str">
        <f>VLOOKUP($G32,crop_coefficients!$A$2:$N$23,8,FALSE)</f>
        <v>NA</v>
      </c>
      <c r="O32" s="1" t="str">
        <f>VLOOKUP($G32,crop_coefficients!$A$2:$N$23,9,FALSE)</f>
        <v>NA</v>
      </c>
      <c r="P32" s="1" t="str">
        <f>VLOOKUP($G32,crop_coefficients!$A$2:$N$23,10,FALSE)</f>
        <v>NA</v>
      </c>
      <c r="Q32" s="1" t="str">
        <f>VLOOKUP($G32,crop_coefficients!$A$2:$N$23,11,FALSE)</f>
        <v>NA</v>
      </c>
      <c r="R32" s="1" t="str">
        <f>VLOOKUP($G32,crop_coefficients!$A$2:$N$23,13,FALSE)</f>
        <v>NA</v>
      </c>
    </row>
    <row r="33" spans="1:18" hidden="1" x14ac:dyDescent="0.25">
      <c r="A33" s="1" t="s">
        <v>4</v>
      </c>
      <c r="B33" s="1" t="s">
        <v>74</v>
      </c>
      <c r="C33" s="3">
        <v>932175.70055613096</v>
      </c>
      <c r="D33" s="1" t="s">
        <v>182</v>
      </c>
      <c r="E33" s="3" t="str">
        <f>IF(C33&gt;=50000,"ja","nein")</f>
        <v>ja</v>
      </c>
      <c r="G33" s="1" t="s">
        <v>144</v>
      </c>
      <c r="H33" s="1" t="str">
        <f>VLOOKUP($G33,crop_coefficients!$A$2:$N$23,2,FALSE)</f>
        <v>NA</v>
      </c>
      <c r="I33" s="1" t="str">
        <f>VLOOKUP($G33,crop_coefficients!$A$2:$N$23,3,FALSE)</f>
        <v>NA</v>
      </c>
      <c r="J33" s="1" t="str">
        <f>VLOOKUP($G33,crop_coefficients!$A$2:$N$23,4,FALSE)</f>
        <v>NA</v>
      </c>
      <c r="K33" s="1" t="str">
        <f>VLOOKUP($G33,crop_coefficients!$A$2:$N$23,5,FALSE)</f>
        <v>NA</v>
      </c>
      <c r="L33" s="1" t="str">
        <f>VLOOKUP($G33,crop_coefficients!$A$2:$N$23,6,FALSE)</f>
        <v>NA</v>
      </c>
      <c r="M33" s="1" t="str">
        <f>VLOOKUP($G33,crop_coefficients!$A$2:$N$23,7,FALSE)</f>
        <v>NA</v>
      </c>
      <c r="N33" s="1" t="str">
        <f>VLOOKUP($G33,crop_coefficients!$A$2:$N$23,8,FALSE)</f>
        <v>NA</v>
      </c>
      <c r="O33" s="1" t="str">
        <f>VLOOKUP($G33,crop_coefficients!$A$2:$N$23,9,FALSE)</f>
        <v>NA</v>
      </c>
      <c r="P33" s="1" t="str">
        <f>VLOOKUP($G33,crop_coefficients!$A$2:$N$23,10,FALSE)</f>
        <v>NA</v>
      </c>
      <c r="Q33" s="1" t="str">
        <f>VLOOKUP($G33,crop_coefficients!$A$2:$N$23,11,FALSE)</f>
        <v>NA</v>
      </c>
      <c r="R33" s="1" t="str">
        <f>VLOOKUP($G33,crop_coefficients!$A$2:$N$23,13,FALSE)</f>
        <v>NA</v>
      </c>
    </row>
    <row r="34" spans="1:18" hidden="1" x14ac:dyDescent="0.25">
      <c r="A34" s="1" t="s">
        <v>17</v>
      </c>
      <c r="B34" s="1" t="s">
        <v>119</v>
      </c>
      <c r="C34" s="3">
        <v>1110266.9076980499</v>
      </c>
      <c r="D34" s="1" t="s">
        <v>200</v>
      </c>
      <c r="E34" s="3" t="str">
        <f>IF(C34&gt;=50000,"ja","nein")</f>
        <v>ja</v>
      </c>
      <c r="F34" s="6" t="s">
        <v>118</v>
      </c>
      <c r="G34" s="1" t="s">
        <v>117</v>
      </c>
      <c r="H34" s="1" t="str">
        <f>VLOOKUP($G34,crop_coefficients!$A$2:$N$23,2,FALSE)</f>
        <v>Oct</v>
      </c>
      <c r="I34" s="1">
        <f>VLOOKUP($G34,crop_coefficients!$A$2:$N$23,3,FALSE)</f>
        <v>160</v>
      </c>
      <c r="J34" s="1">
        <f>VLOOKUP($G34,crop_coefficients!$A$2:$N$23,4,FALSE)</f>
        <v>55</v>
      </c>
      <c r="K34" s="1">
        <f>VLOOKUP($G34,crop_coefficients!$A$2:$N$23,5,FALSE)</f>
        <v>45</v>
      </c>
      <c r="L34" s="1">
        <f>VLOOKUP($G34,crop_coefficients!$A$2:$N$23,6,FALSE)</f>
        <v>20</v>
      </c>
      <c r="M34" s="1">
        <f>VLOOKUP($G34,crop_coefficients!$A$2:$N$23,7,FALSE)</f>
        <v>280</v>
      </c>
      <c r="N34" s="1" t="str">
        <f>VLOOKUP($G34,crop_coefficients!$A$2:$N$23,8,FALSE)</f>
        <v>ok</v>
      </c>
      <c r="O34" s="1">
        <f>VLOOKUP($G34,crop_coefficients!$A$2:$N$23,9,FALSE)</f>
        <v>1</v>
      </c>
      <c r="P34" s="1">
        <f>VLOOKUP($G34,crop_coefficients!$A$2:$N$23,10,FALSE)</f>
        <v>1.1499999999999999</v>
      </c>
      <c r="Q34" s="1">
        <f>VLOOKUP($G34,crop_coefficients!$A$2:$N$23,11,FALSE)</f>
        <v>0.25</v>
      </c>
      <c r="R34" s="1">
        <f>VLOOKUP($G34,crop_coefficients!$A$2:$N$23,13,FALSE)</f>
        <v>0.3</v>
      </c>
    </row>
    <row r="35" spans="1:18" hidden="1" x14ac:dyDescent="0.25">
      <c r="A35" s="1" t="s">
        <v>4</v>
      </c>
      <c r="B35" s="1" t="s">
        <v>119</v>
      </c>
      <c r="C35" s="3">
        <v>177073.46527627899</v>
      </c>
      <c r="D35" s="1" t="s">
        <v>200</v>
      </c>
      <c r="E35" s="3" t="str">
        <f>IF(C35&gt;=50000,"ja","nein")</f>
        <v>ja</v>
      </c>
      <c r="F35" s="6" t="s">
        <v>118</v>
      </c>
      <c r="G35" s="1" t="s">
        <v>117</v>
      </c>
      <c r="H35" s="1" t="str">
        <f>VLOOKUP($G35,crop_coefficients!$A$2:$N$23,2,FALSE)</f>
        <v>Oct</v>
      </c>
      <c r="I35" s="1">
        <f>VLOOKUP($G35,crop_coefficients!$A$2:$N$23,3,FALSE)</f>
        <v>160</v>
      </c>
      <c r="J35" s="1">
        <f>VLOOKUP($G35,crop_coefficients!$A$2:$N$23,4,FALSE)</f>
        <v>55</v>
      </c>
      <c r="K35" s="1">
        <f>VLOOKUP($G35,crop_coefficients!$A$2:$N$23,5,FALSE)</f>
        <v>45</v>
      </c>
      <c r="L35" s="1">
        <f>VLOOKUP($G35,crop_coefficients!$A$2:$N$23,6,FALSE)</f>
        <v>20</v>
      </c>
      <c r="M35" s="1">
        <f>VLOOKUP($G35,crop_coefficients!$A$2:$N$23,7,FALSE)</f>
        <v>280</v>
      </c>
      <c r="N35" s="1" t="str">
        <f>VLOOKUP($G35,crop_coefficients!$A$2:$N$23,8,FALSE)</f>
        <v>ok</v>
      </c>
      <c r="O35" s="1">
        <f>VLOOKUP($G35,crop_coefficients!$A$2:$N$23,9,FALSE)</f>
        <v>1</v>
      </c>
      <c r="P35" s="1">
        <f>VLOOKUP($G35,crop_coefficients!$A$2:$N$23,10,FALSE)</f>
        <v>1.1499999999999999</v>
      </c>
      <c r="Q35" s="1">
        <f>VLOOKUP($G35,crop_coefficients!$A$2:$N$23,11,FALSE)</f>
        <v>0.25</v>
      </c>
      <c r="R35" s="1">
        <f>VLOOKUP($G35,crop_coefficients!$A$2:$N$23,13,FALSE)</f>
        <v>0.3</v>
      </c>
    </row>
    <row r="36" spans="1:18" x14ac:dyDescent="0.25">
      <c r="A36" s="1" t="s">
        <v>22</v>
      </c>
      <c r="B36" s="1" t="s">
        <v>73</v>
      </c>
      <c r="C36" s="50">
        <v>351151.8982468</v>
      </c>
      <c r="D36" s="1" t="s">
        <v>181</v>
      </c>
      <c r="E36" s="3" t="str">
        <f>IF(C36&gt;=50000,"ja","nein")</f>
        <v>ja</v>
      </c>
      <c r="F36" s="3" t="s">
        <v>72</v>
      </c>
      <c r="G36" s="1" t="s">
        <v>191</v>
      </c>
      <c r="H36" s="1" t="str">
        <f>VLOOKUP($G36,crop_coefficients!$A$2:$N$23,2,FALSE)</f>
        <v>Aug</v>
      </c>
      <c r="I36" s="1">
        <f>VLOOKUP($G36,crop_coefficients!$A$2:$N$23,3,FALSE)</f>
        <v>170</v>
      </c>
      <c r="J36" s="1">
        <f>VLOOKUP($G36,crop_coefficients!$A$2:$N$23,4,FALSE)</f>
        <v>55</v>
      </c>
      <c r="K36" s="1">
        <f>VLOOKUP($G36,crop_coefficients!$A$2:$N$23,5,FALSE)</f>
        <v>55</v>
      </c>
      <c r="L36" s="1">
        <f>VLOOKUP($G36,crop_coefficients!$A$2:$N$23,6,FALSE)</f>
        <v>40</v>
      </c>
      <c r="M36" s="1">
        <f>VLOOKUP($G36,crop_coefficients!$A$2:$N$23,7,FALSE)</f>
        <v>320</v>
      </c>
      <c r="N36" s="1" t="str">
        <f>VLOOKUP($G36,crop_coefficients!$A$2:$N$23,8,FALSE)</f>
        <v>ok</v>
      </c>
      <c r="O36" s="1">
        <f>VLOOKUP($G36,crop_coefficients!$A$2:$N$23,9,FALSE)</f>
        <v>1</v>
      </c>
      <c r="P36" s="1">
        <f>VLOOKUP($G36,crop_coefficients!$A$2:$N$23,10,FALSE)</f>
        <v>1</v>
      </c>
      <c r="Q36" s="1">
        <f>VLOOKUP($G36,crop_coefficients!$A$2:$N$23,11,FALSE)</f>
        <v>0.25</v>
      </c>
      <c r="R36" s="1">
        <f>VLOOKUP($G36,crop_coefficients!$A$2:$N$23,13,FALSE)</f>
        <v>0.15</v>
      </c>
    </row>
    <row r="37" spans="1:18" x14ac:dyDescent="0.25">
      <c r="A37" s="1" t="s">
        <v>17</v>
      </c>
      <c r="B37" s="1" t="s">
        <v>101</v>
      </c>
      <c r="C37" s="50">
        <v>2154073.6053000102</v>
      </c>
      <c r="D37" s="1" t="s">
        <v>181</v>
      </c>
      <c r="E37" s="3" t="str">
        <f>IF(C37&gt;=50000,"ja","nein")</f>
        <v>ja</v>
      </c>
      <c r="G37" s="1" t="s">
        <v>100</v>
      </c>
      <c r="H37" s="1" t="str">
        <f>VLOOKUP($G37,crop_coefficients!$A$2:$N$23,2,FALSE)</f>
        <v>Oct</v>
      </c>
      <c r="I37" s="1">
        <f>VLOOKUP($G37,crop_coefficients!$A$2:$N$23,3,FALSE)</f>
        <v>160</v>
      </c>
      <c r="J37" s="1">
        <f>VLOOKUP($G37,crop_coefficients!$A$2:$N$23,4,FALSE)</f>
        <v>55</v>
      </c>
      <c r="K37" s="1">
        <f>VLOOKUP($G37,crop_coefficients!$A$2:$N$23,5,FALSE)</f>
        <v>55</v>
      </c>
      <c r="L37" s="1">
        <f>VLOOKUP($G37,crop_coefficients!$A$2:$N$23,6,FALSE)</f>
        <v>20</v>
      </c>
      <c r="M37" s="1">
        <f>VLOOKUP($G37,crop_coefficients!$A$2:$N$23,7,FALSE)</f>
        <v>290</v>
      </c>
      <c r="N37" s="1" t="str">
        <f>VLOOKUP($G37,crop_coefficients!$A$2:$N$23,8,FALSE)</f>
        <v>ok</v>
      </c>
      <c r="O37" s="1">
        <f>VLOOKUP($G37,crop_coefficients!$A$2:$N$23,9,FALSE)</f>
        <v>1</v>
      </c>
      <c r="P37" s="1">
        <f>VLOOKUP($G37,crop_coefficients!$A$2:$N$23,10,FALSE)</f>
        <v>1.1499999999999999</v>
      </c>
      <c r="Q37" s="1">
        <f>VLOOKUP($G37,crop_coefficients!$A$2:$N$23,11,FALSE)</f>
        <v>0.25</v>
      </c>
      <c r="R37" s="1">
        <f>VLOOKUP($G37,crop_coefficients!$A$2:$N$23,13,FALSE)</f>
        <v>0.4</v>
      </c>
    </row>
    <row r="38" spans="1:18" hidden="1" x14ac:dyDescent="0.25">
      <c r="A38" s="1" t="s">
        <v>4</v>
      </c>
      <c r="B38" s="1" t="s">
        <v>101</v>
      </c>
      <c r="C38" s="3">
        <v>864268.68118217995</v>
      </c>
      <c r="D38" s="1" t="s">
        <v>200</v>
      </c>
      <c r="E38" s="3" t="str">
        <f>IF(C38&gt;=50000,"ja","nein")</f>
        <v>ja</v>
      </c>
      <c r="G38" s="1" t="s">
        <v>100</v>
      </c>
      <c r="H38" s="1" t="str">
        <f>VLOOKUP($G38,crop_coefficients!$A$2:$N$23,2,FALSE)</f>
        <v>Oct</v>
      </c>
      <c r="I38" s="1">
        <f>VLOOKUP($G38,crop_coefficients!$A$2:$N$23,3,FALSE)</f>
        <v>160</v>
      </c>
      <c r="J38" s="1">
        <f>VLOOKUP($G38,crop_coefficients!$A$2:$N$23,4,FALSE)</f>
        <v>55</v>
      </c>
      <c r="K38" s="1">
        <f>VLOOKUP($G38,crop_coefficients!$A$2:$N$23,5,FALSE)</f>
        <v>55</v>
      </c>
      <c r="L38" s="1">
        <f>VLOOKUP($G38,crop_coefficients!$A$2:$N$23,6,FALSE)</f>
        <v>20</v>
      </c>
      <c r="M38" s="1">
        <f>VLOOKUP($G38,crop_coefficients!$A$2:$N$23,7,FALSE)</f>
        <v>290</v>
      </c>
      <c r="N38" s="1" t="str">
        <f>VLOOKUP($G38,crop_coefficients!$A$2:$N$23,8,FALSE)</f>
        <v>ok</v>
      </c>
      <c r="O38" s="1">
        <f>VLOOKUP($G38,crop_coefficients!$A$2:$N$23,9,FALSE)</f>
        <v>1</v>
      </c>
      <c r="P38" s="1">
        <f>VLOOKUP($G38,crop_coefficients!$A$2:$N$23,10,FALSE)</f>
        <v>1.1499999999999999</v>
      </c>
      <c r="Q38" s="1">
        <f>VLOOKUP($G38,crop_coefficients!$A$2:$N$23,11,FALSE)</f>
        <v>0.25</v>
      </c>
      <c r="R38" s="1">
        <f>VLOOKUP($G38,crop_coefficients!$A$2:$N$23,13,FALSE)</f>
        <v>0.4</v>
      </c>
    </row>
    <row r="39" spans="1:18" x14ac:dyDescent="0.25">
      <c r="A39" s="1" t="s">
        <v>22</v>
      </c>
      <c r="B39" s="1" t="s">
        <v>106</v>
      </c>
      <c r="C39" s="50">
        <v>131637.11703595001</v>
      </c>
      <c r="D39" s="1" t="s">
        <v>181</v>
      </c>
      <c r="E39" s="3" t="str">
        <f>IF(C39&gt;=50000,"ja","nein")</f>
        <v>ja</v>
      </c>
      <c r="G39" s="6" t="s">
        <v>105</v>
      </c>
      <c r="H39" s="1" t="str">
        <f>VLOOKUP($G39,crop_coefficients!$A$2:$N$23,2,FALSE)</f>
        <v>Apr</v>
      </c>
      <c r="I39" s="1">
        <f>VLOOKUP($G39,crop_coefficients!$A$2:$N$23,3,FALSE)</f>
        <v>35</v>
      </c>
      <c r="J39" s="1">
        <f>VLOOKUP($G39,crop_coefficients!$A$2:$N$23,4,FALSE)</f>
        <v>55</v>
      </c>
      <c r="K39" s="1">
        <f>VLOOKUP($G39,crop_coefficients!$A$2:$N$23,5,FALSE)</f>
        <v>50</v>
      </c>
      <c r="L39" s="1">
        <f>VLOOKUP($G39,crop_coefficients!$A$2:$N$23,6,FALSE)</f>
        <v>40</v>
      </c>
      <c r="M39" s="1">
        <f>VLOOKUP($G39,crop_coefficients!$A$2:$N$23,7,FALSE)</f>
        <v>180</v>
      </c>
      <c r="N39" s="1" t="str">
        <f>VLOOKUP($G39,crop_coefficients!$A$2:$N$23,8,FALSE)</f>
        <v>ok</v>
      </c>
      <c r="O39" s="1">
        <f>VLOOKUP($G39,crop_coefficients!$A$2:$N$23,9,FALSE)</f>
        <v>1</v>
      </c>
      <c r="P39" s="1">
        <f>VLOOKUP($G39,crop_coefficients!$A$2:$N$23,10,FALSE)</f>
        <v>1.2</v>
      </c>
      <c r="Q39" s="1">
        <f>VLOOKUP($G39,crop_coefficients!$A$2:$N$23,11,FALSE)</f>
        <v>1</v>
      </c>
      <c r="R39" s="1">
        <f>VLOOKUP($G39,crop_coefficients!$A$2:$N$23,13,FALSE)</f>
        <v>0.35</v>
      </c>
    </row>
    <row r="42" spans="1:18" x14ac:dyDescent="0.25">
      <c r="B42" s="1">
        <f>COUNTIF(D2:D39,"ja")</f>
        <v>15</v>
      </c>
    </row>
  </sheetData>
  <autoFilter ref="A1:Q39" xr:uid="{B7442865-24C9-4C9E-B2E2-BCA9649B1700}">
    <filterColumn colId="3">
      <filters>
        <filter val="ja"/>
      </filters>
    </filterColumn>
    <sortState xmlns:xlrd2="http://schemas.microsoft.com/office/spreadsheetml/2017/richdata2" ref="A2:Q39">
      <sortCondition ref="B1:B39"/>
    </sortState>
  </autoFilter>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ED1F0-F824-410E-9239-15EDFEC1B974}">
  <dimension ref="A1:N23"/>
  <sheetViews>
    <sheetView workbookViewId="0">
      <selection activeCell="A36" sqref="A36"/>
    </sheetView>
  </sheetViews>
  <sheetFormatPr baseColWidth="10" defaultColWidth="11.25" defaultRowHeight="12.75" x14ac:dyDescent="0.2"/>
  <cols>
    <col min="1" max="1" width="32.25" style="2" customWidth="1"/>
    <col min="2" max="13" width="11.25" style="2"/>
    <col min="14" max="14" width="26.75" style="2" customWidth="1"/>
    <col min="15" max="16384" width="11.25" style="2"/>
  </cols>
  <sheetData>
    <row r="1" spans="1:14" ht="15" x14ac:dyDescent="0.25">
      <c r="A1" s="39" t="s">
        <v>137</v>
      </c>
      <c r="B1" s="39" t="s">
        <v>136</v>
      </c>
      <c r="C1" s="39" t="s">
        <v>135</v>
      </c>
      <c r="D1" s="39" t="s">
        <v>134</v>
      </c>
      <c r="E1" s="39" t="s">
        <v>133</v>
      </c>
      <c r="F1" s="39" t="s">
        <v>132</v>
      </c>
      <c r="G1" s="39" t="s">
        <v>131</v>
      </c>
      <c r="H1" s="39" t="s">
        <v>130</v>
      </c>
      <c r="I1" s="39" t="s">
        <v>129</v>
      </c>
      <c r="J1" s="39" t="s">
        <v>128</v>
      </c>
      <c r="K1" s="39" t="s">
        <v>127</v>
      </c>
      <c r="L1" s="40" t="s">
        <v>155</v>
      </c>
      <c r="M1" s="40" t="s">
        <v>193</v>
      </c>
      <c r="N1" s="41" t="s">
        <v>154</v>
      </c>
    </row>
    <row r="2" spans="1:14" ht="15" x14ac:dyDescent="0.25">
      <c r="A2" s="8" t="s">
        <v>100</v>
      </c>
      <c r="B2" s="8" t="s">
        <v>148</v>
      </c>
      <c r="C2" s="43">
        <v>160</v>
      </c>
      <c r="D2" s="43">
        <v>55</v>
      </c>
      <c r="E2" s="43">
        <v>55</v>
      </c>
      <c r="F2" s="43">
        <v>20</v>
      </c>
      <c r="G2" s="43">
        <f>SUM(C2:F2)</f>
        <v>290</v>
      </c>
      <c r="H2" s="43" t="str">
        <f t="shared" ref="H2:H12" si="0">IF(SUM(C2:F2)=G2,"ok","check")</f>
        <v>ok</v>
      </c>
      <c r="I2" s="44">
        <f>'Kc Adjustments'!$C$2</f>
        <v>1</v>
      </c>
      <c r="J2" s="43">
        <v>1.1499999999999999</v>
      </c>
      <c r="K2" s="43">
        <v>0.25</v>
      </c>
      <c r="L2" s="45">
        <f>MOD((ROUND(G2/30.25,0))+MATCH(B2,{"Jan";"Feb";"Mar";"Apr";"May";"Jun";"Jul";"Aug";"Sep";"Oct";"Nov";"Dec"},0),12)</f>
        <v>8</v>
      </c>
      <c r="M2" s="43">
        <v>0.4</v>
      </c>
      <c r="N2" s="6" t="s">
        <v>153</v>
      </c>
    </row>
    <row r="3" spans="1:14" ht="15" x14ac:dyDescent="0.25">
      <c r="A3" s="8" t="s">
        <v>114</v>
      </c>
      <c r="B3" s="8" t="s">
        <v>150</v>
      </c>
      <c r="C3" s="43">
        <v>30</v>
      </c>
      <c r="D3" s="43">
        <v>40</v>
      </c>
      <c r="E3" s="43">
        <v>50</v>
      </c>
      <c r="F3" s="43">
        <v>50</v>
      </c>
      <c r="G3" s="43">
        <v>170</v>
      </c>
      <c r="H3" s="43" t="str">
        <f t="shared" si="0"/>
        <v>ok</v>
      </c>
      <c r="I3" s="44">
        <f>'Kc Adjustments'!$B$2</f>
        <v>1</v>
      </c>
      <c r="J3" s="43">
        <v>1.2</v>
      </c>
      <c r="K3" s="43">
        <v>0.5</v>
      </c>
      <c r="L3" s="45">
        <f>MOD((ROUND(G3/30.25,0))+MATCH(B3,{"Jan";"Feb";"Mar";"Apr";"May";"Jun";"Jul";"Aug";"Sep";"Oct";"Nov";"Dec"},0),12)</f>
        <v>10</v>
      </c>
      <c r="M3" s="43">
        <v>0.3</v>
      </c>
      <c r="N3" s="6"/>
    </row>
    <row r="4" spans="1:14" ht="15" x14ac:dyDescent="0.25">
      <c r="A4" s="8" t="s">
        <v>95</v>
      </c>
      <c r="B4" s="8" t="s">
        <v>152</v>
      </c>
      <c r="C4" s="43">
        <v>40</v>
      </c>
      <c r="D4" s="43">
        <v>30</v>
      </c>
      <c r="E4" s="43">
        <v>40</v>
      </c>
      <c r="F4" s="43">
        <v>20</v>
      </c>
      <c r="G4" s="43">
        <v>130</v>
      </c>
      <c r="H4" s="43" t="str">
        <f t="shared" si="0"/>
        <v>ok</v>
      </c>
      <c r="I4" s="44">
        <f>'Kc Adjustments'!$B$2</f>
        <v>1</v>
      </c>
      <c r="J4" s="43">
        <v>1.1499999999999999</v>
      </c>
      <c r="K4" s="43">
        <v>0.25</v>
      </c>
      <c r="L4" s="45">
        <f>MOD((ROUND(G4/30.25,0))+MATCH(B4,{"Jan";"Feb";"Mar";"Apr";"May";"Jun";"Jul";"Aug";"Sep";"Oct";"Nov";"Dec"},0),12)</f>
        <v>6</v>
      </c>
      <c r="M4" s="43">
        <v>0.4</v>
      </c>
      <c r="N4" s="6"/>
    </row>
    <row r="5" spans="1:14" ht="15" x14ac:dyDescent="0.25">
      <c r="A5" s="6" t="s">
        <v>112</v>
      </c>
      <c r="B5" s="6" t="s">
        <v>150</v>
      </c>
      <c r="C5" s="46">
        <v>35</v>
      </c>
      <c r="D5" s="46">
        <v>35</v>
      </c>
      <c r="E5" s="46">
        <v>30</v>
      </c>
      <c r="F5" s="46">
        <v>20</v>
      </c>
      <c r="G5" s="46">
        <v>120</v>
      </c>
      <c r="H5" s="43" t="str">
        <f t="shared" si="0"/>
        <v>ok</v>
      </c>
      <c r="I5" s="44">
        <f>'Kc Adjustments'!$B$2</f>
        <v>1</v>
      </c>
      <c r="J5" s="46">
        <v>1.1499999999999999</v>
      </c>
      <c r="K5" s="46">
        <v>1.1000000000000001</v>
      </c>
      <c r="L5" s="45">
        <f>MOD((ROUND(G5/30.25,0))+MATCH(B5,{"Jan";"Feb";"Mar";"Apr";"May";"Jun";"Jul";"Aug";"Sep";"Oct";"Nov";"Dec"},0),12)</f>
        <v>8</v>
      </c>
      <c r="M5" s="46">
        <v>0.5</v>
      </c>
      <c r="N5" s="6"/>
    </row>
    <row r="6" spans="1:14" ht="15" x14ac:dyDescent="0.25">
      <c r="A6" s="6" t="s">
        <v>105</v>
      </c>
      <c r="B6" s="6" t="s">
        <v>150</v>
      </c>
      <c r="C6" s="46">
        <v>35</v>
      </c>
      <c r="D6" s="46">
        <v>55</v>
      </c>
      <c r="E6" s="46">
        <v>50</v>
      </c>
      <c r="F6" s="46">
        <v>40</v>
      </c>
      <c r="G6" s="46">
        <v>180</v>
      </c>
      <c r="H6" s="43" t="str">
        <f t="shared" si="0"/>
        <v>ok</v>
      </c>
      <c r="I6" s="44">
        <f>'Kc Adjustments'!$B$2</f>
        <v>1</v>
      </c>
      <c r="J6" s="46">
        <v>1.2</v>
      </c>
      <c r="K6" s="46">
        <v>1</v>
      </c>
      <c r="L6" s="45">
        <f>MOD((ROUND(G6/30.25,0))+MATCH(B6,{"Jan";"Feb";"Mar";"Apr";"May";"Jun";"Jul";"Aug";"Sep";"Oct";"Nov";"Dec"},0),12)</f>
        <v>10</v>
      </c>
      <c r="M6" s="46">
        <v>0.35</v>
      </c>
      <c r="N6" s="6"/>
    </row>
    <row r="7" spans="1:14" ht="15" x14ac:dyDescent="0.25">
      <c r="A7" s="6" t="s">
        <v>110</v>
      </c>
      <c r="B7" s="6" t="s">
        <v>151</v>
      </c>
      <c r="C7" s="46">
        <v>30</v>
      </c>
      <c r="D7" s="46">
        <v>35</v>
      </c>
      <c r="E7" s="46">
        <v>50</v>
      </c>
      <c r="F7" s="46">
        <v>25</v>
      </c>
      <c r="G7" s="46">
        <v>140</v>
      </c>
      <c r="H7" s="43" t="str">
        <f t="shared" si="0"/>
        <v>ok</v>
      </c>
      <c r="I7" s="44">
        <f>'Kc Adjustments'!$B$2</f>
        <v>1</v>
      </c>
      <c r="J7" s="46">
        <v>1.1499999999999999</v>
      </c>
      <c r="K7" s="46">
        <v>0.5</v>
      </c>
      <c r="L7" s="45">
        <f>MOD((ROUND(G7/30.25,0))+MATCH(B7,{"Jan";"Feb";"Mar";"Apr";"May";"Jun";"Jul";"Aug";"Sep";"Oct";"Nov";"Dec"},0),12)</f>
        <v>10</v>
      </c>
      <c r="M7" s="46">
        <v>0.5</v>
      </c>
      <c r="N7" s="6"/>
    </row>
    <row r="8" spans="1:14" ht="15" x14ac:dyDescent="0.25">
      <c r="A8" s="6" t="s">
        <v>103</v>
      </c>
      <c r="B8" s="6" t="s">
        <v>150</v>
      </c>
      <c r="C8" s="46">
        <v>25</v>
      </c>
      <c r="D8" s="46">
        <v>45</v>
      </c>
      <c r="E8" s="46">
        <v>55</v>
      </c>
      <c r="F8" s="46">
        <v>25</v>
      </c>
      <c r="G8" s="46">
        <v>150</v>
      </c>
      <c r="H8" s="43" t="str">
        <f t="shared" si="0"/>
        <v>ok</v>
      </c>
      <c r="I8" s="44">
        <f>'Kc Adjustments'!$C$2</f>
        <v>1</v>
      </c>
      <c r="J8" s="46">
        <v>1</v>
      </c>
      <c r="K8" s="46">
        <v>0.35</v>
      </c>
      <c r="L8" s="45">
        <f>MOD((ROUND(G8/30.25,0))+MATCH(B8,{"Jan";"Feb";"Mar";"Apr";"May";"Jun";"Jul";"Aug";"Sep";"Oct";"Nov";"Dec"},0),12)</f>
        <v>9</v>
      </c>
      <c r="M8" s="46">
        <v>0.35</v>
      </c>
      <c r="N8" s="6"/>
    </row>
    <row r="9" spans="1:14" ht="15" x14ac:dyDescent="0.25">
      <c r="A9" s="6" t="s">
        <v>97</v>
      </c>
      <c r="B9" s="6" t="s">
        <v>148</v>
      </c>
      <c r="C9" s="46">
        <f>C2</f>
        <v>160</v>
      </c>
      <c r="D9" s="46">
        <f>D2</f>
        <v>55</v>
      </c>
      <c r="E9" s="46">
        <f>E2</f>
        <v>55</v>
      </c>
      <c r="F9" s="46">
        <f>F2</f>
        <v>20</v>
      </c>
      <c r="G9" s="46">
        <f>G2</f>
        <v>290</v>
      </c>
      <c r="H9" s="43" t="str">
        <f t="shared" si="0"/>
        <v>ok</v>
      </c>
      <c r="I9" s="44">
        <f>'Kc Adjustments'!$C$2</f>
        <v>1</v>
      </c>
      <c r="J9" s="46">
        <f>J2</f>
        <v>1.1499999999999999</v>
      </c>
      <c r="K9" s="46">
        <f>K2</f>
        <v>0.25</v>
      </c>
      <c r="L9" s="45">
        <f>MOD((ROUND(G9/30.25,0))+MATCH(B9,{"Jan";"Feb";"Mar";"Apr";"May";"Jun";"Jul";"Aug";"Sep";"Oct";"Nov";"Dec"},0),12)</f>
        <v>8</v>
      </c>
      <c r="M9" s="46">
        <f>M2</f>
        <v>0.4</v>
      </c>
      <c r="N9" s="6"/>
    </row>
    <row r="10" spans="1:14" ht="15" x14ac:dyDescent="0.25">
      <c r="A10" s="6" t="s">
        <v>122</v>
      </c>
      <c r="B10" s="6" t="s">
        <v>150</v>
      </c>
      <c r="C10" s="46">
        <v>90</v>
      </c>
      <c r="D10" s="46">
        <v>30</v>
      </c>
      <c r="E10" s="46">
        <v>200</v>
      </c>
      <c r="F10" s="46">
        <v>45</v>
      </c>
      <c r="G10" s="46">
        <f>SUM(C10:F10)</f>
        <v>365</v>
      </c>
      <c r="H10" s="43" t="str">
        <f t="shared" si="0"/>
        <v>ok</v>
      </c>
      <c r="I10" s="44">
        <f>'Kc Adjustments'!$B$2</f>
        <v>1</v>
      </c>
      <c r="J10" s="46">
        <v>0.95</v>
      </c>
      <c r="K10" s="46">
        <v>0.3</v>
      </c>
      <c r="L10" s="45">
        <f>MOD((ROUND(G10/30.25,0))+MATCH(B10,{"Jan";"Feb";"Mar";"Apr";"May";"Jun";"Jul";"Aug";"Sep";"Oct";"Nov";"Dec"},0),12)</f>
        <v>4</v>
      </c>
      <c r="M10" s="46">
        <v>0.5</v>
      </c>
      <c r="N10" s="6"/>
    </row>
    <row r="11" spans="1:14" ht="15" x14ac:dyDescent="0.25">
      <c r="A11" s="6" t="s">
        <v>149</v>
      </c>
      <c r="B11" s="6" t="s">
        <v>147</v>
      </c>
      <c r="C11" s="46">
        <v>10</v>
      </c>
      <c r="D11" s="46">
        <v>30</v>
      </c>
      <c r="E11" s="46">
        <v>25</v>
      </c>
      <c r="F11" s="46">
        <v>10</v>
      </c>
      <c r="G11" s="46">
        <v>75</v>
      </c>
      <c r="H11" s="43" t="str">
        <f t="shared" si="0"/>
        <v>ok</v>
      </c>
      <c r="I11" s="44">
        <f>'Kc Adjustments'!$B$2</f>
        <v>1</v>
      </c>
      <c r="J11" s="46">
        <v>1.2</v>
      </c>
      <c r="K11" s="46">
        <v>1.1499999999999999</v>
      </c>
      <c r="L11" s="45">
        <f>MOD((ROUND(G11/30.25,0))+MATCH(B11,{"Jan";"Feb";"Mar";"Apr";"May";"Jun";"Jul";"Aug";"Sep";"Oct";"Nov";"Dec"},0),12)</f>
        <v>5</v>
      </c>
      <c r="M11" s="46">
        <v>0.4</v>
      </c>
      <c r="N11" s="6" t="s">
        <v>196</v>
      </c>
    </row>
    <row r="12" spans="1:14" ht="15" x14ac:dyDescent="0.25">
      <c r="A12" s="6" t="s">
        <v>117</v>
      </c>
      <c r="B12" s="6" t="s">
        <v>148</v>
      </c>
      <c r="C12" s="46">
        <v>160</v>
      </c>
      <c r="D12" s="46">
        <v>55</v>
      </c>
      <c r="E12" s="46">
        <v>45</v>
      </c>
      <c r="F12" s="46">
        <v>20</v>
      </c>
      <c r="G12" s="46">
        <v>280</v>
      </c>
      <c r="H12" s="43" t="str">
        <f t="shared" si="0"/>
        <v>ok</v>
      </c>
      <c r="I12" s="44">
        <f>'Kc Adjustments'!$C$2</f>
        <v>1</v>
      </c>
      <c r="J12" s="46">
        <f>J2</f>
        <v>1.1499999999999999</v>
      </c>
      <c r="K12" s="46">
        <f>K2</f>
        <v>0.25</v>
      </c>
      <c r="L12" s="45">
        <f>MOD((ROUND(G12/30.25,0))+MATCH(B12,{"Jan";"Feb";"Mar";"Apr";"May";"Jun";"Jul";"Aug";"Sep";"Oct";"Nov";"Dec"},0),12)</f>
        <v>7</v>
      </c>
      <c r="M12" s="46">
        <v>0.3</v>
      </c>
      <c r="N12" s="6"/>
    </row>
    <row r="13" spans="1:14" x14ac:dyDescent="0.2">
      <c r="A13" s="6" t="s">
        <v>124</v>
      </c>
      <c r="B13" s="6" t="s">
        <v>148</v>
      </c>
      <c r="C13" s="46">
        <f t="shared" ref="C13:H13" si="1">C2</f>
        <v>160</v>
      </c>
      <c r="D13" s="46">
        <f t="shared" si="1"/>
        <v>55</v>
      </c>
      <c r="E13" s="46">
        <f t="shared" si="1"/>
        <v>55</v>
      </c>
      <c r="F13" s="46">
        <f t="shared" si="1"/>
        <v>20</v>
      </c>
      <c r="G13" s="46">
        <f t="shared" si="1"/>
        <v>290</v>
      </c>
      <c r="H13" s="46" t="str">
        <f t="shared" si="1"/>
        <v>ok</v>
      </c>
      <c r="I13" s="44">
        <f>'Kc Adjustments'!$C$2</f>
        <v>1</v>
      </c>
      <c r="J13" s="46">
        <f>J2</f>
        <v>1.1499999999999999</v>
      </c>
      <c r="K13" s="46">
        <f>K2</f>
        <v>0.25</v>
      </c>
      <c r="L13" s="45">
        <f>MOD((ROUND(G13/30.25,0))+MATCH(B13,{"Jan";"Feb";"Mar";"Apr";"May";"Jun";"Jul";"Aug";"Sep";"Oct";"Nov";"Dec"},0),12)</f>
        <v>8</v>
      </c>
      <c r="M13" s="46">
        <f>M2</f>
        <v>0.4</v>
      </c>
      <c r="N13" s="6"/>
    </row>
    <row r="14" spans="1:14" ht="15" x14ac:dyDescent="0.25">
      <c r="A14" s="6" t="s">
        <v>120</v>
      </c>
      <c r="B14" s="6" t="s">
        <v>147</v>
      </c>
      <c r="C14" s="46">
        <f>C4</f>
        <v>40</v>
      </c>
      <c r="D14" s="46">
        <f>D4</f>
        <v>30</v>
      </c>
      <c r="E14" s="46">
        <f>E4</f>
        <v>40</v>
      </c>
      <c r="F14" s="46">
        <f>F4</f>
        <v>20</v>
      </c>
      <c r="G14" s="46">
        <f>G4</f>
        <v>130</v>
      </c>
      <c r="H14" s="43" t="str">
        <f>IF(SUM(C14:F14)=G14,"ok","check")</f>
        <v>ok</v>
      </c>
      <c r="I14" s="44">
        <f>'Kc Adjustments'!$B$2</f>
        <v>1</v>
      </c>
      <c r="J14" s="46">
        <f>J12</f>
        <v>1.1499999999999999</v>
      </c>
      <c r="K14" s="46">
        <f>K12</f>
        <v>0.25</v>
      </c>
      <c r="L14" s="45">
        <f>MOD((ROUND(G14/30.25,0))+MATCH(B14,{"Jan";"Feb";"Mar";"Apr";"May";"Jun";"Jul";"Aug";"Sep";"Oct";"Nov";"Dec"},0),12)</f>
        <v>7</v>
      </c>
      <c r="M14" s="46">
        <f>M12</f>
        <v>0.3</v>
      </c>
      <c r="N14" s="6"/>
    </row>
    <row r="15" spans="1:14" ht="15" x14ac:dyDescent="0.25">
      <c r="A15" s="6" t="s">
        <v>191</v>
      </c>
      <c r="B15" s="6" t="s">
        <v>146</v>
      </c>
      <c r="C15" s="46">
        <v>170</v>
      </c>
      <c r="D15" s="46">
        <v>55</v>
      </c>
      <c r="E15" s="46">
        <v>55</v>
      </c>
      <c r="F15" s="46">
        <v>40</v>
      </c>
      <c r="G15" s="46">
        <v>320</v>
      </c>
      <c r="H15" s="43" t="str">
        <f>IF(SUM(C15:F15)=G15,"ok","check")</f>
        <v>ok</v>
      </c>
      <c r="I15" s="44">
        <f>'Kc Adjustments'!$B$2</f>
        <v>1</v>
      </c>
      <c r="J15" s="46">
        <v>1</v>
      </c>
      <c r="K15" s="46">
        <v>0.25</v>
      </c>
      <c r="L15" s="45">
        <f>MOD((ROUND(G15/30.25,0))+MATCH(B15,{"Jan";"Feb";"Mar";"Apr";"May";"Jun";"Jul";"Aug";"Sep";"Oct";"Nov";"Dec"},0),12)</f>
        <v>7</v>
      </c>
      <c r="M15" s="46">
        <v>0.15</v>
      </c>
      <c r="N15" s="6"/>
    </row>
    <row r="16" spans="1:14" x14ac:dyDescent="0.2">
      <c r="A16" s="6" t="s">
        <v>145</v>
      </c>
      <c r="B16" s="42" t="s">
        <v>197</v>
      </c>
      <c r="C16" s="47" t="s">
        <v>197</v>
      </c>
      <c r="D16" s="47" t="s">
        <v>197</v>
      </c>
      <c r="E16" s="47" t="s">
        <v>197</v>
      </c>
      <c r="F16" s="47" t="s">
        <v>197</v>
      </c>
      <c r="G16" s="47" t="s">
        <v>197</v>
      </c>
      <c r="H16" s="47" t="s">
        <v>197</v>
      </c>
      <c r="I16" s="47" t="s">
        <v>197</v>
      </c>
      <c r="J16" s="47" t="s">
        <v>197</v>
      </c>
      <c r="K16" s="47" t="s">
        <v>197</v>
      </c>
      <c r="L16" s="47" t="s">
        <v>197</v>
      </c>
      <c r="M16" s="47" t="s">
        <v>197</v>
      </c>
      <c r="N16" s="6"/>
    </row>
    <row r="17" spans="1:14" x14ac:dyDescent="0.2">
      <c r="A17" s="6" t="s">
        <v>144</v>
      </c>
      <c r="B17" s="42" t="s">
        <v>197</v>
      </c>
      <c r="C17" s="47" t="s">
        <v>197</v>
      </c>
      <c r="D17" s="47" t="s">
        <v>197</v>
      </c>
      <c r="E17" s="47" t="s">
        <v>197</v>
      </c>
      <c r="F17" s="47" t="s">
        <v>197</v>
      </c>
      <c r="G17" s="47" t="s">
        <v>197</v>
      </c>
      <c r="H17" s="47" t="s">
        <v>197</v>
      </c>
      <c r="I17" s="47" t="s">
        <v>197</v>
      </c>
      <c r="J17" s="47" t="s">
        <v>197</v>
      </c>
      <c r="K17" s="47" t="s">
        <v>197</v>
      </c>
      <c r="L17" s="47" t="s">
        <v>197</v>
      </c>
      <c r="M17" s="47" t="s">
        <v>197</v>
      </c>
      <c r="N17" s="6"/>
    </row>
    <row r="18" spans="1:14" ht="15" x14ac:dyDescent="0.25">
      <c r="A18" s="6" t="s">
        <v>90</v>
      </c>
      <c r="B18" s="6" t="str">
        <f t="shared" ref="B18:G18" si="2">B2</f>
        <v>Oct</v>
      </c>
      <c r="C18" s="46">
        <f t="shared" si="2"/>
        <v>160</v>
      </c>
      <c r="D18" s="46">
        <f t="shared" si="2"/>
        <v>55</v>
      </c>
      <c r="E18" s="46">
        <f t="shared" si="2"/>
        <v>55</v>
      </c>
      <c r="F18" s="46">
        <f t="shared" si="2"/>
        <v>20</v>
      </c>
      <c r="G18" s="46">
        <f t="shared" si="2"/>
        <v>290</v>
      </c>
      <c r="H18" s="43" t="str">
        <f>IF(SUM(C18:F18)=G18,"ok","check")</f>
        <v>ok</v>
      </c>
      <c r="I18" s="44">
        <f>'Kc Adjustments'!$C$2</f>
        <v>1</v>
      </c>
      <c r="J18" s="46">
        <v>1.1000000000000001</v>
      </c>
      <c r="K18" s="46">
        <v>0.15</v>
      </c>
      <c r="L18" s="45">
        <f>MOD((ROUND(G18/30.25,0))+MATCH(B18,{"Jan";"Feb";"Mar";"Apr";"May";"Jun";"Jul";"Aug";"Sep";"Oct";"Nov";"Dec"},0),12)</f>
        <v>8</v>
      </c>
      <c r="M18" s="46">
        <v>0.15</v>
      </c>
      <c r="N18" s="6"/>
    </row>
    <row r="19" spans="1:14" ht="15" x14ac:dyDescent="0.25">
      <c r="A19" s="2" t="s">
        <v>195</v>
      </c>
      <c r="B19" s="2" t="s">
        <v>147</v>
      </c>
      <c r="C19" s="44">
        <v>20</v>
      </c>
      <c r="D19" s="44">
        <v>70</v>
      </c>
      <c r="E19" s="44">
        <v>90</v>
      </c>
      <c r="F19" s="44">
        <v>30</v>
      </c>
      <c r="G19" s="44">
        <f>SUM(C19:F19)</f>
        <v>210</v>
      </c>
      <c r="H19" s="43" t="str">
        <f>IF(SUM(C19:F19)=G19,"ok","check")</f>
        <v>ok</v>
      </c>
      <c r="I19" s="44">
        <f>'Kc Adjustments'!$B$2</f>
        <v>1</v>
      </c>
      <c r="J19" s="44">
        <v>0.95</v>
      </c>
      <c r="K19" s="44">
        <v>0.7</v>
      </c>
      <c r="L19" s="45">
        <f>MOD((ROUND(G19/30.25,0))+MATCH(B19,{"Jan";"Feb";"Mar";"Apr";"May";"Jun";"Jul";"Aug";"Sep";"Oct";"Nov";"Dec"},0),12)</f>
        <v>10</v>
      </c>
      <c r="M19" s="44">
        <v>0.45</v>
      </c>
    </row>
    <row r="20" spans="1:14" x14ac:dyDescent="0.2">
      <c r="A20" s="2" t="s">
        <v>76</v>
      </c>
      <c r="B20" s="42" t="s">
        <v>197</v>
      </c>
      <c r="C20" s="47" t="s">
        <v>197</v>
      </c>
      <c r="D20" s="47" t="s">
        <v>197</v>
      </c>
      <c r="E20" s="47" t="s">
        <v>197</v>
      </c>
      <c r="F20" s="47" t="s">
        <v>197</v>
      </c>
      <c r="G20" s="47" t="s">
        <v>197</v>
      </c>
      <c r="H20" s="47" t="s">
        <v>197</v>
      </c>
      <c r="I20" s="47" t="s">
        <v>197</v>
      </c>
      <c r="J20" s="47" t="s">
        <v>197</v>
      </c>
      <c r="K20" s="47" t="s">
        <v>197</v>
      </c>
      <c r="L20" s="47" t="s">
        <v>197</v>
      </c>
      <c r="M20" s="47" t="s">
        <v>197</v>
      </c>
    </row>
    <row r="21" spans="1:14" ht="15" x14ac:dyDescent="0.25">
      <c r="A21" s="2" t="s">
        <v>194</v>
      </c>
      <c r="B21" s="2" t="s">
        <v>147</v>
      </c>
      <c r="C21" s="44">
        <v>30</v>
      </c>
      <c r="D21" s="44">
        <v>20</v>
      </c>
      <c r="E21" s="44">
        <v>130</v>
      </c>
      <c r="F21" s="44">
        <v>30</v>
      </c>
      <c r="G21" s="44">
        <f>SUM(C21:F21)</f>
        <v>210</v>
      </c>
      <c r="H21" s="43" t="s">
        <v>180</v>
      </c>
      <c r="I21" s="44">
        <f>'Kc Adjustments'!$B$2</f>
        <v>1</v>
      </c>
      <c r="J21" s="44">
        <v>1.1000000000000001</v>
      </c>
      <c r="K21" s="44">
        <v>0.65</v>
      </c>
      <c r="L21" s="45">
        <f>MOD((ROUND(G21/30.25,0))+MATCH(B21,{"Jan";"Feb";"Mar";"Apr";"May";"Jun";"Jul";"Aug";"Sep";"Oct";"Nov";"Dec"},0),12)</f>
        <v>10</v>
      </c>
      <c r="M21" s="44">
        <v>0.5</v>
      </c>
    </row>
    <row r="22" spans="1:14" x14ac:dyDescent="0.2">
      <c r="A22" s="2" t="s">
        <v>190</v>
      </c>
      <c r="B22" s="42" t="s">
        <v>197</v>
      </c>
      <c r="C22" s="47" t="s">
        <v>197</v>
      </c>
      <c r="D22" s="47" t="s">
        <v>197</v>
      </c>
      <c r="E22" s="47" t="s">
        <v>197</v>
      </c>
      <c r="F22" s="47" t="s">
        <v>197</v>
      </c>
      <c r="G22" s="47" t="s">
        <v>197</v>
      </c>
      <c r="H22" s="47" t="s">
        <v>197</v>
      </c>
      <c r="I22" s="47" t="s">
        <v>197</v>
      </c>
      <c r="J22" s="47" t="s">
        <v>197</v>
      </c>
      <c r="K22" s="47" t="s">
        <v>197</v>
      </c>
      <c r="L22" s="45" t="s">
        <v>197</v>
      </c>
      <c r="M22" s="47" t="s">
        <v>197</v>
      </c>
    </row>
    <row r="23" spans="1:14" ht="15" x14ac:dyDescent="0.25">
      <c r="A23" s="2" t="s">
        <v>199</v>
      </c>
      <c r="B23" s="2" t="str" cm="1">
        <f t="array" ref="B23:G23">Tabelle6!F26:K26</f>
        <v>Apr</v>
      </c>
      <c r="C23" s="1">
        <v>35</v>
      </c>
      <c r="D23" s="1">
        <v>55</v>
      </c>
      <c r="E23" s="1">
        <v>50</v>
      </c>
      <c r="F23" s="1">
        <v>40</v>
      </c>
      <c r="G23" s="1">
        <v>180</v>
      </c>
      <c r="H23" s="1" t="s">
        <v>180</v>
      </c>
      <c r="I23" s="1" cm="1">
        <f t="array" ref="I23:K23">Tabelle6!M26:O26</f>
        <v>1</v>
      </c>
      <c r="J23" s="1">
        <v>1.1299999999999999</v>
      </c>
      <c r="K23" s="1">
        <v>0.43</v>
      </c>
      <c r="L23" s="45">
        <f>MOD((ROUND(G23/30.25,0))+MATCH(B23,{"Jan";"Feb";"Mar";"Apr";"May";"Jun";"Jul";"Aug";"Sep";"Oct";"Nov";"Dec"},0),12)</f>
        <v>10</v>
      </c>
      <c r="M23" s="2">
        <v>0.36</v>
      </c>
    </row>
  </sheetData>
  <autoFilter ref="A1:N22" xr:uid="{F7DED1F0-F824-410E-9239-15EDFEC1B974}"/>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C415A-9274-47B9-91A7-23299AB541CE}">
  <dimension ref="A1:H12"/>
  <sheetViews>
    <sheetView workbookViewId="0">
      <selection activeCell="L25" sqref="L25"/>
    </sheetView>
  </sheetViews>
  <sheetFormatPr baseColWidth="10" defaultColWidth="11.25" defaultRowHeight="12.75" x14ac:dyDescent="0.2"/>
  <cols>
    <col min="1" max="6" width="11.25" style="2"/>
    <col min="7" max="7" width="3" style="2" customWidth="1"/>
    <col min="8" max="16384" width="11.25" style="2"/>
  </cols>
  <sheetData>
    <row r="1" spans="1:8" ht="25.5" x14ac:dyDescent="0.2">
      <c r="A1" s="21"/>
      <c r="B1" s="22" t="s">
        <v>179</v>
      </c>
      <c r="C1" s="22" t="s">
        <v>178</v>
      </c>
      <c r="D1" s="22" t="s">
        <v>119</v>
      </c>
      <c r="E1" s="22" t="s">
        <v>177</v>
      </c>
      <c r="F1" s="22" t="s">
        <v>126</v>
      </c>
      <c r="G1" s="21"/>
      <c r="H1" s="20" t="s">
        <v>176</v>
      </c>
    </row>
    <row r="2" spans="1:8" x14ac:dyDescent="0.2">
      <c r="A2" s="19" t="s">
        <v>175</v>
      </c>
      <c r="B2" s="19">
        <v>30</v>
      </c>
      <c r="C2" s="19">
        <v>19</v>
      </c>
      <c r="D2" s="19">
        <v>9</v>
      </c>
      <c r="E2" s="19">
        <v>11</v>
      </c>
      <c r="F2" s="19">
        <v>20</v>
      </c>
    </row>
    <row r="3" spans="1:8" x14ac:dyDescent="0.2">
      <c r="A3" s="19" t="s">
        <v>174</v>
      </c>
      <c r="B3" s="19">
        <v>150</v>
      </c>
      <c r="C3" s="19">
        <v>35</v>
      </c>
      <c r="D3" s="19">
        <v>190</v>
      </c>
      <c r="E3" s="19">
        <v>172</v>
      </c>
      <c r="F3" s="19">
        <v>160</v>
      </c>
    </row>
    <row r="4" spans="1:8" ht="25.5" x14ac:dyDescent="0.25">
      <c r="A4" s="19" t="s">
        <v>173</v>
      </c>
      <c r="B4" s="19">
        <v>48</v>
      </c>
      <c r="C4" s="19">
        <v>29</v>
      </c>
      <c r="D4" s="19">
        <v>31</v>
      </c>
      <c r="E4" s="19">
        <v>30</v>
      </c>
      <c r="F4" s="19">
        <v>38</v>
      </c>
      <c r="H4" s="4">
        <v>160</v>
      </c>
    </row>
    <row r="5" spans="1:8" ht="25.5" x14ac:dyDescent="0.25">
      <c r="A5" s="19" t="s">
        <v>172</v>
      </c>
      <c r="B5" s="19">
        <v>6</v>
      </c>
      <c r="C5" s="19">
        <v>5</v>
      </c>
      <c r="D5" s="19">
        <v>6</v>
      </c>
      <c r="E5" s="19">
        <v>9</v>
      </c>
      <c r="F5" s="19">
        <v>8</v>
      </c>
      <c r="H5" s="4">
        <v>55</v>
      </c>
    </row>
    <row r="6" spans="1:8" ht="15" x14ac:dyDescent="0.25">
      <c r="A6" s="19" t="s">
        <v>171</v>
      </c>
      <c r="B6" s="19">
        <v>11</v>
      </c>
      <c r="C6" s="19">
        <v>14</v>
      </c>
      <c r="D6" s="19">
        <v>12</v>
      </c>
      <c r="E6" s="19">
        <v>21</v>
      </c>
      <c r="F6" s="19">
        <v>12</v>
      </c>
      <c r="H6" s="4">
        <v>55</v>
      </c>
    </row>
    <row r="7" spans="1:8" ht="15" x14ac:dyDescent="0.25">
      <c r="A7" s="19" t="s">
        <v>170</v>
      </c>
      <c r="B7" s="19">
        <v>50</v>
      </c>
      <c r="C7" s="19">
        <v>40</v>
      </c>
      <c r="D7" s="19">
        <v>34</v>
      </c>
      <c r="E7" s="19">
        <v>47</v>
      </c>
      <c r="F7" s="19">
        <v>48</v>
      </c>
      <c r="H7" s="4">
        <v>20</v>
      </c>
    </row>
    <row r="8" spans="1:8" x14ac:dyDescent="0.2">
      <c r="B8" s="18">
        <f>SUM(B2:B7)</f>
        <v>295</v>
      </c>
      <c r="C8" s="18">
        <f>SUM(C2:C7)</f>
        <v>142</v>
      </c>
      <c r="D8" s="18">
        <f>SUM(D2:D7)</f>
        <v>282</v>
      </c>
      <c r="E8" s="18">
        <f>SUM(E2:E7)</f>
        <v>290</v>
      </c>
      <c r="F8" s="18">
        <f>SUM(F2:F7)</f>
        <v>286</v>
      </c>
      <c r="H8" s="18">
        <f>SUM(H4:H7)</f>
        <v>290</v>
      </c>
    </row>
    <row r="9" spans="1:8" x14ac:dyDescent="0.2">
      <c r="A9" s="17" t="s">
        <v>169</v>
      </c>
      <c r="B9" s="16">
        <f>B8-$H$8</f>
        <v>5</v>
      </c>
      <c r="C9" s="16">
        <f>C8-$H$8</f>
        <v>-148</v>
      </c>
      <c r="D9" s="16">
        <f>D8-$H$8</f>
        <v>-8</v>
      </c>
      <c r="E9" s="16">
        <f>E8-$H$8</f>
        <v>0</v>
      </c>
      <c r="F9" s="16">
        <f>F8-$H$8</f>
        <v>-4</v>
      </c>
    </row>
    <row r="11" spans="1:8" x14ac:dyDescent="0.2">
      <c r="A11" s="15" t="s">
        <v>168</v>
      </c>
      <c r="D11" s="2" t="s">
        <v>167</v>
      </c>
      <c r="E11" s="2" t="s">
        <v>167</v>
      </c>
      <c r="F11" s="2" t="s">
        <v>166</v>
      </c>
    </row>
    <row r="12" spans="1:8" x14ac:dyDescent="0.2">
      <c r="A12" s="15" t="s">
        <v>165</v>
      </c>
      <c r="D12" s="2" t="s">
        <v>164</v>
      </c>
      <c r="E12" s="2" t="s">
        <v>163</v>
      </c>
      <c r="F12" s="2" t="s">
        <v>162</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3C857-7BF0-47E5-938A-7855D9E0AB59}">
  <dimension ref="A1:C6"/>
  <sheetViews>
    <sheetView zoomScale="160" zoomScaleNormal="160" workbookViewId="0">
      <selection activeCell="C2" sqref="C2"/>
    </sheetView>
  </sheetViews>
  <sheetFormatPr baseColWidth="10" defaultColWidth="11.25" defaultRowHeight="12.75" x14ac:dyDescent="0.2"/>
  <cols>
    <col min="1" max="1" width="12.75" style="2" customWidth="1"/>
    <col min="2" max="16384" width="11.25" style="2"/>
  </cols>
  <sheetData>
    <row r="1" spans="1:3" x14ac:dyDescent="0.2">
      <c r="B1" s="2" t="s">
        <v>161</v>
      </c>
      <c r="C1" s="2" t="s">
        <v>160</v>
      </c>
    </row>
    <row r="2" spans="1:3" x14ac:dyDescent="0.2">
      <c r="A2" s="14" t="s">
        <v>159</v>
      </c>
      <c r="B2" s="13">
        <f>ROUND(B3+((B5-10)/(40-10))*(B4-B3),1)</f>
        <v>1</v>
      </c>
      <c r="C2" s="13">
        <f>ROUND(C3+((C5-10)/(40-10))*(C4-C3),1)</f>
        <v>1</v>
      </c>
    </row>
    <row r="3" spans="1:3" x14ac:dyDescent="0.2">
      <c r="A3" s="2" t="s">
        <v>158</v>
      </c>
      <c r="B3" s="12">
        <v>0.9</v>
      </c>
      <c r="C3" s="12">
        <v>1</v>
      </c>
    </row>
    <row r="4" spans="1:3" x14ac:dyDescent="0.2">
      <c r="A4" s="2" t="s">
        <v>157</v>
      </c>
      <c r="B4" s="12">
        <v>1.1000000000000001</v>
      </c>
      <c r="C4" s="12">
        <v>1.1000000000000001</v>
      </c>
    </row>
    <row r="5" spans="1:3" x14ac:dyDescent="0.2">
      <c r="A5" s="2" t="s">
        <v>156</v>
      </c>
      <c r="B5" s="12">
        <v>26</v>
      </c>
      <c r="C5" s="12">
        <v>23</v>
      </c>
    </row>
    <row r="6" spans="1:3" x14ac:dyDescent="0.2">
      <c r="B6" s="12"/>
    </row>
  </sheetData>
  <pageMargins left="0.7" right="0.7" top="0.78740157499999996" bottom="0.78740157499999996"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09CE9-D73B-48C9-92A6-6B15E5A7E501}">
  <dimension ref="A1:G99"/>
  <sheetViews>
    <sheetView topLeftCell="A52" workbookViewId="0">
      <selection activeCell="F1" sqref="F1:G1"/>
    </sheetView>
  </sheetViews>
  <sheetFormatPr baseColWidth="10" defaultRowHeight="14.25" x14ac:dyDescent="0.2"/>
  <cols>
    <col min="2" max="2" width="25.75" customWidth="1"/>
    <col min="6" max="6" width="16.75" customWidth="1"/>
    <col min="7" max="7" width="11.375" bestFit="1" customWidth="1"/>
  </cols>
  <sheetData>
    <row r="1" spans="1:7" ht="15" x14ac:dyDescent="0.25">
      <c r="A1" s="23" t="s">
        <v>143</v>
      </c>
      <c r="B1" s="23" t="s">
        <v>142</v>
      </c>
      <c r="C1" s="24" t="s">
        <v>141</v>
      </c>
      <c r="D1" s="30" t="s">
        <v>139</v>
      </c>
      <c r="F1" s="37" t="s">
        <v>183</v>
      </c>
      <c r="G1" s="38" t="s">
        <v>184</v>
      </c>
    </row>
    <row r="2" spans="1:7" ht="15" x14ac:dyDescent="0.25">
      <c r="A2" s="26" t="s">
        <v>71</v>
      </c>
      <c r="B2" s="26" t="s">
        <v>85</v>
      </c>
      <c r="C2" s="27">
        <v>17297470.405200701</v>
      </c>
      <c r="D2" t="str">
        <f>IF(C2&gt;=50000,"ja","nein")</f>
        <v>ja</v>
      </c>
      <c r="F2" s="31" t="s">
        <v>185</v>
      </c>
      <c r="G2" s="32">
        <f>SUMIF($D$2:$D$99,"ja",$C$2:$C$99)</f>
        <v>84841357.98081857</v>
      </c>
    </row>
    <row r="3" spans="1:7" ht="15" x14ac:dyDescent="0.25">
      <c r="A3" s="1" t="s">
        <v>52</v>
      </c>
      <c r="B3" s="1" t="s">
        <v>80</v>
      </c>
      <c r="C3" s="3">
        <v>17122354.229362801</v>
      </c>
      <c r="D3" t="str">
        <f t="shared" ref="D3:D66" si="0">IF(C3&gt;=50000,"ja","nein")</f>
        <v>ja</v>
      </c>
      <c r="F3" s="33" t="s">
        <v>186</v>
      </c>
      <c r="G3" s="34">
        <f>SUMIF($D$2:$D$99,"nein",$C$2:$C$99)</f>
        <v>973529.66414758691</v>
      </c>
    </row>
    <row r="4" spans="1:7" ht="15.75" thickBot="1" x14ac:dyDescent="0.3">
      <c r="A4" s="1" t="s">
        <v>82</v>
      </c>
      <c r="B4" s="1" t="s">
        <v>81</v>
      </c>
      <c r="C4" s="3">
        <v>16377485.2871264</v>
      </c>
      <c r="D4" t="str">
        <f t="shared" si="0"/>
        <v>ja</v>
      </c>
      <c r="F4" s="35" t="s">
        <v>187</v>
      </c>
      <c r="G4" s="36">
        <f>G3/G2</f>
        <v>1.1474706290859798E-2</v>
      </c>
    </row>
    <row r="5" spans="1:7" ht="15" x14ac:dyDescent="0.25">
      <c r="A5" s="1" t="s">
        <v>61</v>
      </c>
      <c r="B5" s="1" t="s">
        <v>75</v>
      </c>
      <c r="C5" s="3">
        <v>11981066.4177309</v>
      </c>
      <c r="D5" t="str">
        <f t="shared" si="0"/>
        <v>ja</v>
      </c>
    </row>
    <row r="6" spans="1:7" ht="15" x14ac:dyDescent="0.25">
      <c r="A6" s="1" t="s">
        <v>4</v>
      </c>
      <c r="B6" s="1" t="s">
        <v>92</v>
      </c>
      <c r="C6" s="3">
        <v>4232230.2018817803</v>
      </c>
      <c r="D6" t="str">
        <f t="shared" si="0"/>
        <v>ja</v>
      </c>
    </row>
    <row r="7" spans="1:7" ht="15" x14ac:dyDescent="0.25">
      <c r="A7" s="1" t="s">
        <v>22</v>
      </c>
      <c r="B7" s="1" t="s">
        <v>115</v>
      </c>
      <c r="C7" s="3">
        <v>3702054.9666901999</v>
      </c>
      <c r="D7" t="str">
        <f t="shared" si="0"/>
        <v>ja</v>
      </c>
    </row>
    <row r="8" spans="1:7" ht="15" x14ac:dyDescent="0.25">
      <c r="A8" s="1" t="s">
        <v>54</v>
      </c>
      <c r="B8" s="1" t="s">
        <v>86</v>
      </c>
      <c r="C8" s="3">
        <v>2252149.4318472599</v>
      </c>
      <c r="D8" t="str">
        <f t="shared" si="0"/>
        <v>ja</v>
      </c>
    </row>
    <row r="9" spans="1:7" ht="15" x14ac:dyDescent="0.25">
      <c r="A9" s="1" t="s">
        <v>17</v>
      </c>
      <c r="B9" s="1" t="s">
        <v>101</v>
      </c>
      <c r="C9" s="3">
        <v>2154073.6053000102</v>
      </c>
      <c r="D9" t="str">
        <f t="shared" si="0"/>
        <v>ja</v>
      </c>
    </row>
    <row r="10" spans="1:7" ht="15" x14ac:dyDescent="0.25">
      <c r="A10" s="1" t="s">
        <v>4</v>
      </c>
      <c r="B10" s="1" t="s">
        <v>93</v>
      </c>
      <c r="C10" s="3">
        <v>1148044.9401624401</v>
      </c>
      <c r="D10" t="str">
        <f t="shared" si="0"/>
        <v>ja</v>
      </c>
    </row>
    <row r="11" spans="1:7" ht="15" x14ac:dyDescent="0.25">
      <c r="A11" s="1" t="s">
        <v>17</v>
      </c>
      <c r="B11" s="1" t="s">
        <v>119</v>
      </c>
      <c r="C11" s="3">
        <v>1110266.9076980499</v>
      </c>
      <c r="D11" t="str">
        <f t="shared" si="0"/>
        <v>ja</v>
      </c>
    </row>
    <row r="12" spans="1:7" ht="15" x14ac:dyDescent="0.25">
      <c r="A12" s="1" t="s">
        <v>4</v>
      </c>
      <c r="B12" s="1" t="s">
        <v>74</v>
      </c>
      <c r="C12" s="3">
        <v>932175.70055613096</v>
      </c>
      <c r="D12" t="str">
        <f t="shared" si="0"/>
        <v>ja</v>
      </c>
    </row>
    <row r="13" spans="1:7" ht="15" x14ac:dyDescent="0.25">
      <c r="A13" s="1" t="s">
        <v>4</v>
      </c>
      <c r="B13" s="1" t="s">
        <v>101</v>
      </c>
      <c r="C13" s="3">
        <v>864268.68118217995</v>
      </c>
      <c r="D13" t="str">
        <f t="shared" si="0"/>
        <v>ja</v>
      </c>
    </row>
    <row r="14" spans="1:7" ht="15" x14ac:dyDescent="0.25">
      <c r="A14" s="1" t="s">
        <v>17</v>
      </c>
      <c r="B14" s="1" t="s">
        <v>102</v>
      </c>
      <c r="C14" s="3">
        <v>802481.10269687895</v>
      </c>
      <c r="D14" t="str">
        <f t="shared" si="0"/>
        <v>ja</v>
      </c>
    </row>
    <row r="15" spans="1:7" ht="15" x14ac:dyDescent="0.25">
      <c r="A15" s="1" t="s">
        <v>17</v>
      </c>
      <c r="B15" s="1" t="s">
        <v>126</v>
      </c>
      <c r="C15" s="3">
        <v>793458.60078906</v>
      </c>
      <c r="D15" t="str">
        <f t="shared" si="0"/>
        <v>ja</v>
      </c>
    </row>
    <row r="16" spans="1:7" ht="15" x14ac:dyDescent="0.25">
      <c r="A16" s="1" t="s">
        <v>17</v>
      </c>
      <c r="B16" s="1" t="s">
        <v>116</v>
      </c>
      <c r="C16" s="3">
        <v>472975.19181439001</v>
      </c>
      <c r="D16" t="str">
        <f t="shared" si="0"/>
        <v>ja</v>
      </c>
    </row>
    <row r="17" spans="1:4" ht="15" x14ac:dyDescent="0.25">
      <c r="A17" s="1" t="s">
        <v>10</v>
      </c>
      <c r="B17" s="1" t="s">
        <v>109</v>
      </c>
      <c r="C17" s="3">
        <v>389862.88523847598</v>
      </c>
      <c r="D17" t="str">
        <f t="shared" si="0"/>
        <v>ja</v>
      </c>
    </row>
    <row r="18" spans="1:4" ht="15" x14ac:dyDescent="0.25">
      <c r="A18" s="1" t="s">
        <v>22</v>
      </c>
      <c r="B18" s="1" t="s">
        <v>73</v>
      </c>
      <c r="C18" s="3">
        <v>351151.8982468</v>
      </c>
      <c r="D18" t="str">
        <f t="shared" si="0"/>
        <v>ja</v>
      </c>
    </row>
    <row r="19" spans="1:4" ht="15" x14ac:dyDescent="0.25">
      <c r="A19" s="1" t="s">
        <v>17</v>
      </c>
      <c r="B19" s="1" t="s">
        <v>67</v>
      </c>
      <c r="C19" s="3">
        <v>327818.49266567</v>
      </c>
      <c r="D19" t="str">
        <f t="shared" si="0"/>
        <v>ja</v>
      </c>
    </row>
    <row r="20" spans="1:4" ht="15" x14ac:dyDescent="0.25">
      <c r="A20" s="1" t="s">
        <v>4</v>
      </c>
      <c r="B20" s="1" t="s">
        <v>89</v>
      </c>
      <c r="C20" s="3">
        <v>247935.84483034001</v>
      </c>
      <c r="D20" t="str">
        <f t="shared" si="0"/>
        <v>ja</v>
      </c>
    </row>
    <row r="21" spans="1:4" ht="15" x14ac:dyDescent="0.25">
      <c r="A21" s="1" t="s">
        <v>22</v>
      </c>
      <c r="B21" s="1" t="s">
        <v>111</v>
      </c>
      <c r="C21" s="3">
        <v>239188.30300840401</v>
      </c>
      <c r="D21" t="str">
        <f t="shared" si="0"/>
        <v>ja</v>
      </c>
    </row>
    <row r="22" spans="1:4" ht="15" x14ac:dyDescent="0.25">
      <c r="A22" s="1" t="s">
        <v>1</v>
      </c>
      <c r="B22" s="1" t="s">
        <v>76</v>
      </c>
      <c r="C22" s="3">
        <v>193638.90800682799</v>
      </c>
      <c r="D22" t="str">
        <f t="shared" si="0"/>
        <v>ja</v>
      </c>
    </row>
    <row r="23" spans="1:4" ht="15" x14ac:dyDescent="0.25">
      <c r="A23" s="1" t="s">
        <v>4</v>
      </c>
      <c r="B23" s="1" t="s">
        <v>119</v>
      </c>
      <c r="C23" s="3">
        <v>177073.46527627899</v>
      </c>
      <c r="D23" t="str">
        <f t="shared" si="0"/>
        <v>ja</v>
      </c>
    </row>
    <row r="24" spans="1:4" ht="15" x14ac:dyDescent="0.25">
      <c r="A24" s="1" t="s">
        <v>17</v>
      </c>
      <c r="B24" s="1" t="s">
        <v>41</v>
      </c>
      <c r="C24" s="3">
        <v>176042.86412745001</v>
      </c>
      <c r="D24" t="str">
        <f t="shared" si="0"/>
        <v>ja</v>
      </c>
    </row>
    <row r="25" spans="1:4" ht="15" x14ac:dyDescent="0.25">
      <c r="A25" s="1" t="s">
        <v>22</v>
      </c>
      <c r="B25" s="1" t="s">
        <v>104</v>
      </c>
      <c r="C25" s="3">
        <v>150788.98520818999</v>
      </c>
      <c r="D25" t="str">
        <f t="shared" si="0"/>
        <v>ja</v>
      </c>
    </row>
    <row r="26" spans="1:4" ht="15" x14ac:dyDescent="0.25">
      <c r="A26" s="1" t="s">
        <v>6</v>
      </c>
      <c r="B26" s="1" t="s">
        <v>88</v>
      </c>
      <c r="C26" s="3">
        <v>146714.35749192399</v>
      </c>
      <c r="D26" t="str">
        <f t="shared" si="0"/>
        <v>ja</v>
      </c>
    </row>
    <row r="27" spans="1:4" ht="15" x14ac:dyDescent="0.25">
      <c r="A27" s="1" t="s">
        <v>4</v>
      </c>
      <c r="B27" s="1" t="s">
        <v>126</v>
      </c>
      <c r="C27" s="3">
        <v>132904.26974712999</v>
      </c>
      <c r="D27" t="str">
        <f t="shared" si="0"/>
        <v>ja</v>
      </c>
    </row>
    <row r="28" spans="1:4" ht="15" x14ac:dyDescent="0.25">
      <c r="A28" s="1" t="s">
        <v>22</v>
      </c>
      <c r="B28" s="1" t="s">
        <v>106</v>
      </c>
      <c r="C28" s="3">
        <v>131637.11703595001</v>
      </c>
      <c r="D28" t="str">
        <f t="shared" si="0"/>
        <v>ja</v>
      </c>
    </row>
    <row r="29" spans="1:4" ht="15" x14ac:dyDescent="0.25">
      <c r="A29" s="1" t="s">
        <v>54</v>
      </c>
      <c r="B29" s="1" t="s">
        <v>94</v>
      </c>
      <c r="C29" s="3">
        <v>121086.639988537</v>
      </c>
      <c r="D29" t="str">
        <f t="shared" si="0"/>
        <v>ja</v>
      </c>
    </row>
    <row r="30" spans="1:4" ht="15" x14ac:dyDescent="0.25">
      <c r="A30" s="1" t="s">
        <v>22</v>
      </c>
      <c r="B30" s="1" t="s">
        <v>113</v>
      </c>
      <c r="C30" s="3">
        <v>119456.908902839</v>
      </c>
      <c r="D30" t="str">
        <f t="shared" si="0"/>
        <v>ja</v>
      </c>
    </row>
    <row r="31" spans="1:4" ht="15" x14ac:dyDescent="0.25">
      <c r="A31" s="1" t="s">
        <v>17</v>
      </c>
      <c r="B31" s="1" t="s">
        <v>96</v>
      </c>
      <c r="C31" s="3">
        <v>111547.06098939</v>
      </c>
      <c r="D31" t="str">
        <f t="shared" si="0"/>
        <v>ja</v>
      </c>
    </row>
    <row r="32" spans="1:4" ht="15" x14ac:dyDescent="0.25">
      <c r="A32" s="1" t="s">
        <v>17</v>
      </c>
      <c r="B32" s="1" t="s">
        <v>99</v>
      </c>
      <c r="C32" s="3">
        <v>111537.37449798</v>
      </c>
      <c r="D32" t="str">
        <f t="shared" si="0"/>
        <v>ja</v>
      </c>
    </row>
    <row r="33" spans="1:4" ht="15" x14ac:dyDescent="0.25">
      <c r="A33" s="1" t="s">
        <v>4</v>
      </c>
      <c r="B33" s="1" t="s">
        <v>102</v>
      </c>
      <c r="C33" s="3">
        <v>105332.056988389</v>
      </c>
      <c r="D33" t="str">
        <f t="shared" si="0"/>
        <v>ja</v>
      </c>
    </row>
    <row r="34" spans="1:4" ht="15" x14ac:dyDescent="0.25">
      <c r="A34" s="1" t="s">
        <v>6</v>
      </c>
      <c r="B34" s="1" t="s">
        <v>123</v>
      </c>
      <c r="C34" s="3">
        <v>101132.484203642</v>
      </c>
      <c r="D34" t="str">
        <f t="shared" si="0"/>
        <v>ja</v>
      </c>
    </row>
    <row r="35" spans="1:4" ht="15" x14ac:dyDescent="0.25">
      <c r="A35" s="1" t="s">
        <v>26</v>
      </c>
      <c r="B35" s="1" t="s">
        <v>83</v>
      </c>
      <c r="C35" s="3">
        <v>90908.785037142996</v>
      </c>
      <c r="D35" t="str">
        <f t="shared" si="0"/>
        <v>ja</v>
      </c>
    </row>
    <row r="36" spans="1:4" ht="15" x14ac:dyDescent="0.25">
      <c r="A36" s="1" t="s">
        <v>22</v>
      </c>
      <c r="B36" s="1" t="s">
        <v>107</v>
      </c>
      <c r="C36" s="3">
        <v>62212.000176695001</v>
      </c>
      <c r="D36" t="str">
        <f t="shared" si="0"/>
        <v>ja</v>
      </c>
    </row>
    <row r="37" spans="1:4" ht="15" x14ac:dyDescent="0.25">
      <c r="A37" s="1" t="s">
        <v>6</v>
      </c>
      <c r="B37" s="1" t="s">
        <v>78</v>
      </c>
      <c r="C37" s="3">
        <v>58114.927610604398</v>
      </c>
      <c r="D37" t="str">
        <f t="shared" si="0"/>
        <v>ja</v>
      </c>
    </row>
    <row r="38" spans="1:4" ht="15" x14ac:dyDescent="0.25">
      <c r="A38" s="1" t="s">
        <v>17</v>
      </c>
      <c r="B38" s="1" t="s">
        <v>57</v>
      </c>
      <c r="C38" s="3">
        <v>52716.681500730003</v>
      </c>
      <c r="D38" s="25" t="str">
        <f t="shared" si="0"/>
        <v>ja</v>
      </c>
    </row>
    <row r="39" spans="1:4" ht="15" x14ac:dyDescent="0.25">
      <c r="A39" s="26" t="s">
        <v>71</v>
      </c>
      <c r="B39" s="26" t="s">
        <v>70</v>
      </c>
      <c r="C39" s="27">
        <v>49431.688342205001</v>
      </c>
      <c r="D39" t="str">
        <f t="shared" si="0"/>
        <v>nein</v>
      </c>
    </row>
    <row r="40" spans="1:4" ht="15" x14ac:dyDescent="0.25">
      <c r="A40" s="1" t="s">
        <v>4</v>
      </c>
      <c r="B40" s="1" t="s">
        <v>69</v>
      </c>
      <c r="C40" s="3">
        <v>46445.063001528899</v>
      </c>
      <c r="D40" t="str">
        <f t="shared" si="0"/>
        <v>nein</v>
      </c>
    </row>
    <row r="41" spans="1:4" ht="15" x14ac:dyDescent="0.25">
      <c r="A41" s="1" t="s">
        <v>1</v>
      </c>
      <c r="B41" s="1" t="s">
        <v>68</v>
      </c>
      <c r="C41" s="3">
        <v>45900.314917407901</v>
      </c>
      <c r="D41" t="str">
        <f t="shared" si="0"/>
        <v>nein</v>
      </c>
    </row>
    <row r="42" spans="1:4" ht="15" x14ac:dyDescent="0.25">
      <c r="A42" s="1" t="s">
        <v>4</v>
      </c>
      <c r="B42" s="1" t="s">
        <v>67</v>
      </c>
      <c r="C42" s="3">
        <v>45138.793957310001</v>
      </c>
      <c r="D42" t="str">
        <f t="shared" si="0"/>
        <v>nein</v>
      </c>
    </row>
    <row r="43" spans="1:4" ht="15" x14ac:dyDescent="0.25">
      <c r="A43" s="1" t="s">
        <v>26</v>
      </c>
      <c r="B43" s="1" t="s">
        <v>66</v>
      </c>
      <c r="C43" s="3">
        <v>44265.994632305999</v>
      </c>
      <c r="D43" t="str">
        <f t="shared" si="0"/>
        <v>nein</v>
      </c>
    </row>
    <row r="44" spans="1:4" ht="15" x14ac:dyDescent="0.25">
      <c r="A44" s="1" t="s">
        <v>22</v>
      </c>
      <c r="B44" s="1" t="s">
        <v>65</v>
      </c>
      <c r="C44" s="3">
        <v>43151.621741119998</v>
      </c>
      <c r="D44" t="str">
        <f t="shared" si="0"/>
        <v>nein</v>
      </c>
    </row>
    <row r="45" spans="1:4" ht="15" x14ac:dyDescent="0.25">
      <c r="A45" s="1" t="s">
        <v>4</v>
      </c>
      <c r="B45" s="1" t="s">
        <v>64</v>
      </c>
      <c r="C45" s="3">
        <v>43091.635359868</v>
      </c>
      <c r="D45" t="str">
        <f t="shared" si="0"/>
        <v>nein</v>
      </c>
    </row>
    <row r="46" spans="1:4" ht="15" x14ac:dyDescent="0.25">
      <c r="A46" s="1" t="s">
        <v>17</v>
      </c>
      <c r="B46" s="1" t="s">
        <v>63</v>
      </c>
      <c r="C46" s="3">
        <v>41557.251993029997</v>
      </c>
      <c r="D46" t="str">
        <f t="shared" si="0"/>
        <v>nein</v>
      </c>
    </row>
    <row r="47" spans="1:4" ht="15" x14ac:dyDescent="0.25">
      <c r="A47" s="1" t="s">
        <v>22</v>
      </c>
      <c r="B47" s="1" t="s">
        <v>62</v>
      </c>
      <c r="C47" s="3">
        <v>38734.069150784002</v>
      </c>
      <c r="D47" t="str">
        <f t="shared" si="0"/>
        <v>nein</v>
      </c>
    </row>
    <row r="48" spans="1:4" ht="15" x14ac:dyDescent="0.25">
      <c r="A48" s="1" t="s">
        <v>61</v>
      </c>
      <c r="B48" s="1" t="s">
        <v>60</v>
      </c>
      <c r="C48" s="3">
        <v>36626.221679230002</v>
      </c>
      <c r="D48" t="str">
        <f t="shared" si="0"/>
        <v>nein</v>
      </c>
    </row>
    <row r="49" spans="1:4" ht="15" x14ac:dyDescent="0.25">
      <c r="A49" s="1" t="s">
        <v>10</v>
      </c>
      <c r="B49" s="1" t="s">
        <v>59</v>
      </c>
      <c r="C49" s="3">
        <v>35599.339538200002</v>
      </c>
      <c r="D49" t="str">
        <f t="shared" si="0"/>
        <v>nein</v>
      </c>
    </row>
    <row r="50" spans="1:4" ht="15" x14ac:dyDescent="0.25">
      <c r="A50" s="1" t="s">
        <v>17</v>
      </c>
      <c r="B50" s="1" t="s">
        <v>47</v>
      </c>
      <c r="C50" s="3">
        <v>31825.757183149999</v>
      </c>
      <c r="D50" t="str">
        <f t="shared" si="0"/>
        <v>nein</v>
      </c>
    </row>
    <row r="51" spans="1:4" ht="15" x14ac:dyDescent="0.25">
      <c r="A51" s="1" t="s">
        <v>26</v>
      </c>
      <c r="B51" s="1" t="s">
        <v>58</v>
      </c>
      <c r="C51" s="3">
        <v>30738.3138116999</v>
      </c>
      <c r="D51" t="str">
        <f t="shared" si="0"/>
        <v>nein</v>
      </c>
    </row>
    <row r="52" spans="1:4" ht="15" x14ac:dyDescent="0.25">
      <c r="A52" s="1" t="s">
        <v>4</v>
      </c>
      <c r="B52" s="1" t="s">
        <v>57</v>
      </c>
      <c r="C52" s="3">
        <v>28813.654914899998</v>
      </c>
      <c r="D52" t="str">
        <f t="shared" si="0"/>
        <v>nein</v>
      </c>
    </row>
    <row r="53" spans="1:4" ht="15" x14ac:dyDescent="0.25">
      <c r="A53" s="1" t="s">
        <v>22</v>
      </c>
      <c r="B53" s="1" t="s">
        <v>56</v>
      </c>
      <c r="C53" s="3">
        <v>28000.678724829999</v>
      </c>
      <c r="D53" t="str">
        <f t="shared" si="0"/>
        <v>nein</v>
      </c>
    </row>
    <row r="54" spans="1:4" ht="15" x14ac:dyDescent="0.25">
      <c r="A54" s="1" t="s">
        <v>6</v>
      </c>
      <c r="B54" s="1" t="s">
        <v>55</v>
      </c>
      <c r="C54" s="3">
        <v>25449.194330713999</v>
      </c>
      <c r="D54" t="str">
        <f t="shared" si="0"/>
        <v>nein</v>
      </c>
    </row>
    <row r="55" spans="1:4" ht="15" x14ac:dyDescent="0.25">
      <c r="A55" s="1" t="s">
        <v>54</v>
      </c>
      <c r="B55" s="1" t="s">
        <v>53</v>
      </c>
      <c r="C55" s="3">
        <v>24520.8887350523</v>
      </c>
      <c r="D55" t="str">
        <f t="shared" si="0"/>
        <v>nein</v>
      </c>
    </row>
    <row r="56" spans="1:4" ht="15" x14ac:dyDescent="0.25">
      <c r="A56" s="1" t="s">
        <v>52</v>
      </c>
      <c r="B56" s="1" t="s">
        <v>51</v>
      </c>
      <c r="C56" s="3">
        <v>24023.190202040001</v>
      </c>
      <c r="D56" t="str">
        <f t="shared" si="0"/>
        <v>nein</v>
      </c>
    </row>
    <row r="57" spans="1:4" ht="15" x14ac:dyDescent="0.25">
      <c r="A57" s="1" t="s">
        <v>4</v>
      </c>
      <c r="B57" s="1" t="s">
        <v>50</v>
      </c>
      <c r="C57" s="3">
        <v>21844.313667954601</v>
      </c>
      <c r="D57" t="str">
        <f t="shared" si="0"/>
        <v>nein</v>
      </c>
    </row>
    <row r="58" spans="1:4" ht="15" x14ac:dyDescent="0.25">
      <c r="A58" s="1" t="s">
        <v>4</v>
      </c>
      <c r="B58" s="1" t="s">
        <v>49</v>
      </c>
      <c r="C58" s="3">
        <v>21221.675050419999</v>
      </c>
      <c r="D58" t="str">
        <f t="shared" si="0"/>
        <v>nein</v>
      </c>
    </row>
    <row r="59" spans="1:4" ht="15" x14ac:dyDescent="0.25">
      <c r="A59" s="1" t="s">
        <v>22</v>
      </c>
      <c r="B59" s="1" t="s">
        <v>48</v>
      </c>
      <c r="C59" s="3">
        <v>18280.725741900002</v>
      </c>
      <c r="D59" t="str">
        <f t="shared" si="0"/>
        <v>nein</v>
      </c>
    </row>
    <row r="60" spans="1:4" ht="15" x14ac:dyDescent="0.25">
      <c r="A60" s="1" t="s">
        <v>4</v>
      </c>
      <c r="B60" s="1" t="s">
        <v>47</v>
      </c>
      <c r="C60" s="3">
        <v>17645.250468400001</v>
      </c>
      <c r="D60" t="str">
        <f t="shared" si="0"/>
        <v>nein</v>
      </c>
    </row>
    <row r="61" spans="1:4" ht="15" x14ac:dyDescent="0.25">
      <c r="A61" s="1" t="s">
        <v>22</v>
      </c>
      <c r="B61" s="1" t="s">
        <v>46</v>
      </c>
      <c r="C61" s="3">
        <v>16484.977468730001</v>
      </c>
      <c r="D61" t="str">
        <f t="shared" si="0"/>
        <v>nein</v>
      </c>
    </row>
    <row r="62" spans="1:4" ht="15" x14ac:dyDescent="0.25">
      <c r="A62" s="1" t="s">
        <v>1</v>
      </c>
      <c r="B62" s="1" t="s">
        <v>45</v>
      </c>
      <c r="C62" s="3">
        <v>10852.844431392199</v>
      </c>
      <c r="D62" t="str">
        <f t="shared" si="0"/>
        <v>nein</v>
      </c>
    </row>
    <row r="63" spans="1:4" ht="15" x14ac:dyDescent="0.25">
      <c r="A63" s="1" t="s">
        <v>6</v>
      </c>
      <c r="B63" s="1" t="s">
        <v>44</v>
      </c>
      <c r="C63" s="3">
        <v>10731.9970631</v>
      </c>
      <c r="D63" t="str">
        <f t="shared" si="0"/>
        <v>nein</v>
      </c>
    </row>
    <row r="64" spans="1:4" ht="15" x14ac:dyDescent="0.25">
      <c r="A64" s="1" t="s">
        <v>6</v>
      </c>
      <c r="B64" s="1" t="s">
        <v>43</v>
      </c>
      <c r="C64" s="3">
        <v>10726.849208714901</v>
      </c>
      <c r="D64" t="str">
        <f t="shared" si="0"/>
        <v>nein</v>
      </c>
    </row>
    <row r="65" spans="1:4" ht="15" x14ac:dyDescent="0.25">
      <c r="A65" s="1" t="s">
        <v>6</v>
      </c>
      <c r="B65" s="1" t="s">
        <v>42</v>
      </c>
      <c r="C65" s="3">
        <v>10699.6565978412</v>
      </c>
      <c r="D65" t="str">
        <f t="shared" si="0"/>
        <v>nein</v>
      </c>
    </row>
    <row r="66" spans="1:4" ht="15" x14ac:dyDescent="0.25">
      <c r="A66" s="1" t="s">
        <v>4</v>
      </c>
      <c r="B66" s="1" t="s">
        <v>41</v>
      </c>
      <c r="C66" s="3">
        <v>10635.6611476</v>
      </c>
      <c r="D66" t="str">
        <f t="shared" si="0"/>
        <v>nein</v>
      </c>
    </row>
    <row r="67" spans="1:4" ht="15" x14ac:dyDescent="0.25">
      <c r="A67" s="1" t="s">
        <v>6</v>
      </c>
      <c r="B67" s="1" t="s">
        <v>40</v>
      </c>
      <c r="C67" s="3">
        <v>10565.83831053</v>
      </c>
      <c r="D67" t="str">
        <f t="shared" ref="D67:D99" si="1">IF(C67&gt;=50000,"ja","nein")</f>
        <v>nein</v>
      </c>
    </row>
    <row r="68" spans="1:4" ht="15" x14ac:dyDescent="0.25">
      <c r="A68" s="1" t="s">
        <v>10</v>
      </c>
      <c r="B68" s="1" t="s">
        <v>39</v>
      </c>
      <c r="C68" s="3">
        <v>10518.757550693999</v>
      </c>
      <c r="D68" t="str">
        <f t="shared" si="1"/>
        <v>nein</v>
      </c>
    </row>
    <row r="69" spans="1:4" ht="15" x14ac:dyDescent="0.25">
      <c r="A69" s="1" t="s">
        <v>1</v>
      </c>
      <c r="B69" s="1" t="s">
        <v>38</v>
      </c>
      <c r="C69" s="3">
        <v>9539.2541618270006</v>
      </c>
      <c r="D69" t="str">
        <f t="shared" si="1"/>
        <v>nein</v>
      </c>
    </row>
    <row r="70" spans="1:4" ht="15" x14ac:dyDescent="0.25">
      <c r="A70" s="1" t="s">
        <v>6</v>
      </c>
      <c r="B70" s="1" t="s">
        <v>37</v>
      </c>
      <c r="C70" s="3">
        <v>9452.4816230752003</v>
      </c>
      <c r="D70" t="str">
        <f t="shared" si="1"/>
        <v>nein</v>
      </c>
    </row>
    <row r="71" spans="1:4" ht="15" x14ac:dyDescent="0.25">
      <c r="A71" s="1" t="s">
        <v>26</v>
      </c>
      <c r="B71" s="1" t="s">
        <v>36</v>
      </c>
      <c r="C71" s="3">
        <v>9185.5424364409992</v>
      </c>
      <c r="D71" t="str">
        <f t="shared" si="1"/>
        <v>nein</v>
      </c>
    </row>
    <row r="72" spans="1:4" ht="15" x14ac:dyDescent="0.25">
      <c r="A72" s="1" t="s">
        <v>6</v>
      </c>
      <c r="B72" s="1" t="s">
        <v>35</v>
      </c>
      <c r="C72" s="3">
        <v>8427.4982295049995</v>
      </c>
      <c r="D72" t="str">
        <f t="shared" si="1"/>
        <v>nein</v>
      </c>
    </row>
    <row r="73" spans="1:4" ht="15" x14ac:dyDescent="0.25">
      <c r="A73" s="1" t="s">
        <v>17</v>
      </c>
      <c r="B73" s="1" t="s">
        <v>34</v>
      </c>
      <c r="C73" s="3">
        <v>8208.4342667399997</v>
      </c>
      <c r="D73" t="str">
        <f t="shared" si="1"/>
        <v>nein</v>
      </c>
    </row>
    <row r="74" spans="1:4" ht="15" x14ac:dyDescent="0.25">
      <c r="A74" s="1" t="s">
        <v>4</v>
      </c>
      <c r="B74" s="1" t="s">
        <v>33</v>
      </c>
      <c r="C74" s="3">
        <v>7448.6543505269901</v>
      </c>
      <c r="D74" t="str">
        <f t="shared" si="1"/>
        <v>nein</v>
      </c>
    </row>
    <row r="75" spans="1:4" ht="15" x14ac:dyDescent="0.25">
      <c r="A75" s="1" t="s">
        <v>6</v>
      </c>
      <c r="B75" s="1" t="s">
        <v>32</v>
      </c>
      <c r="C75" s="3">
        <v>6545.7531651940999</v>
      </c>
      <c r="D75" t="str">
        <f t="shared" si="1"/>
        <v>nein</v>
      </c>
    </row>
    <row r="76" spans="1:4" ht="15" x14ac:dyDescent="0.25">
      <c r="A76" s="1" t="s">
        <v>1</v>
      </c>
      <c r="B76" s="1" t="s">
        <v>31</v>
      </c>
      <c r="C76" s="3">
        <v>6091.8000719940001</v>
      </c>
      <c r="D76" t="str">
        <f t="shared" si="1"/>
        <v>nein</v>
      </c>
    </row>
    <row r="77" spans="1:4" ht="15" x14ac:dyDescent="0.25">
      <c r="A77" s="1" t="s">
        <v>17</v>
      </c>
      <c r="B77" s="1" t="s">
        <v>30</v>
      </c>
      <c r="C77" s="3">
        <v>5927.6642295600004</v>
      </c>
      <c r="D77" t="str">
        <f t="shared" si="1"/>
        <v>nein</v>
      </c>
    </row>
    <row r="78" spans="1:4" ht="15" x14ac:dyDescent="0.25">
      <c r="A78" s="1" t="s">
        <v>17</v>
      </c>
      <c r="B78" s="1" t="s">
        <v>29</v>
      </c>
      <c r="C78" s="3">
        <v>5899.3036394600003</v>
      </c>
      <c r="D78" t="str">
        <f t="shared" si="1"/>
        <v>nein</v>
      </c>
    </row>
    <row r="79" spans="1:4" ht="15" x14ac:dyDescent="0.25">
      <c r="A79" s="1" t="s">
        <v>22</v>
      </c>
      <c r="B79" s="1" t="s">
        <v>28</v>
      </c>
      <c r="C79" s="3">
        <v>5710.0353679899999</v>
      </c>
      <c r="D79" t="str">
        <f t="shared" si="1"/>
        <v>nein</v>
      </c>
    </row>
    <row r="80" spans="1:4" ht="15" x14ac:dyDescent="0.25">
      <c r="A80" s="1" t="s">
        <v>6</v>
      </c>
      <c r="B80" s="1" t="s">
        <v>27</v>
      </c>
      <c r="C80" s="3">
        <v>5563.4405620074904</v>
      </c>
      <c r="D80" t="str">
        <f t="shared" si="1"/>
        <v>nein</v>
      </c>
    </row>
    <row r="81" spans="1:4" ht="15" x14ac:dyDescent="0.25">
      <c r="A81" s="1" t="s">
        <v>26</v>
      </c>
      <c r="B81" s="1" t="s">
        <v>25</v>
      </c>
      <c r="C81" s="3">
        <v>5273.7859466578002</v>
      </c>
      <c r="D81" t="str">
        <f t="shared" si="1"/>
        <v>nein</v>
      </c>
    </row>
    <row r="82" spans="1:4" ht="15" x14ac:dyDescent="0.25">
      <c r="A82" s="1" t="s">
        <v>6</v>
      </c>
      <c r="B82" s="1" t="s">
        <v>24</v>
      </c>
      <c r="C82" s="3">
        <v>4597.9825160199998</v>
      </c>
      <c r="D82" t="str">
        <f t="shared" si="1"/>
        <v>nein</v>
      </c>
    </row>
    <row r="83" spans="1:4" ht="15" x14ac:dyDescent="0.25">
      <c r="A83" s="1" t="s">
        <v>1</v>
      </c>
      <c r="B83" s="1" t="s">
        <v>23</v>
      </c>
      <c r="C83" s="3">
        <v>4496.7609559140001</v>
      </c>
      <c r="D83" t="str">
        <f t="shared" si="1"/>
        <v>nein</v>
      </c>
    </row>
    <row r="84" spans="1:4" ht="15" x14ac:dyDescent="0.25">
      <c r="A84" s="1" t="s">
        <v>22</v>
      </c>
      <c r="B84" s="1" t="s">
        <v>21</v>
      </c>
      <c r="C84" s="3">
        <v>4388.4377151899998</v>
      </c>
      <c r="D84" t="str">
        <f t="shared" si="1"/>
        <v>nein</v>
      </c>
    </row>
    <row r="85" spans="1:4" ht="15" x14ac:dyDescent="0.25">
      <c r="A85" s="1" t="s">
        <v>6</v>
      </c>
      <c r="B85" s="1" t="s">
        <v>20</v>
      </c>
      <c r="C85" s="3">
        <v>3983.478075769</v>
      </c>
      <c r="D85" t="str">
        <f t="shared" si="1"/>
        <v>nein</v>
      </c>
    </row>
    <row r="86" spans="1:4" ht="15" x14ac:dyDescent="0.25">
      <c r="A86" s="1" t="s">
        <v>4</v>
      </c>
      <c r="B86" s="1" t="s">
        <v>19</v>
      </c>
      <c r="C86" s="3">
        <v>3605.8999895229999</v>
      </c>
      <c r="D86" t="str">
        <f t="shared" si="1"/>
        <v>nein</v>
      </c>
    </row>
    <row r="87" spans="1:4" ht="15" x14ac:dyDescent="0.25">
      <c r="A87" s="1" t="s">
        <v>6</v>
      </c>
      <c r="B87" s="1" t="s">
        <v>18</v>
      </c>
      <c r="C87" s="3">
        <v>2992.8542499929999</v>
      </c>
      <c r="D87" t="str">
        <f t="shared" si="1"/>
        <v>nein</v>
      </c>
    </row>
    <row r="88" spans="1:4" ht="15" x14ac:dyDescent="0.25">
      <c r="A88" s="1" t="s">
        <v>17</v>
      </c>
      <c r="B88" s="1" t="s">
        <v>16</v>
      </c>
      <c r="C88" s="3">
        <v>2790.5077725800002</v>
      </c>
      <c r="D88" t="str">
        <f t="shared" si="1"/>
        <v>nein</v>
      </c>
    </row>
    <row r="89" spans="1:4" ht="15" x14ac:dyDescent="0.25">
      <c r="A89" s="1" t="s">
        <v>4</v>
      </c>
      <c r="B89" s="1" t="s">
        <v>15</v>
      </c>
      <c r="C89" s="3">
        <v>2757.5414041499998</v>
      </c>
      <c r="D89" t="str">
        <f t="shared" si="1"/>
        <v>nein</v>
      </c>
    </row>
    <row r="90" spans="1:4" ht="15" x14ac:dyDescent="0.25">
      <c r="A90" s="1" t="s">
        <v>6</v>
      </c>
      <c r="B90" s="1" t="s">
        <v>14</v>
      </c>
      <c r="C90" s="3">
        <v>2607.8340951099999</v>
      </c>
      <c r="D90" t="str">
        <f t="shared" si="1"/>
        <v>nein</v>
      </c>
    </row>
    <row r="91" spans="1:4" ht="15" x14ac:dyDescent="0.25">
      <c r="A91" s="1" t="s">
        <v>13</v>
      </c>
      <c r="B91" s="1" t="s">
        <v>12</v>
      </c>
      <c r="C91" s="3">
        <v>2482.7054719150001</v>
      </c>
      <c r="D91" t="str">
        <f t="shared" si="1"/>
        <v>nein</v>
      </c>
    </row>
    <row r="92" spans="1:4" ht="15" x14ac:dyDescent="0.25">
      <c r="A92" s="1" t="s">
        <v>1</v>
      </c>
      <c r="B92" s="1" t="s">
        <v>11</v>
      </c>
      <c r="C92" s="3">
        <v>2477.5677854770001</v>
      </c>
      <c r="D92" t="str">
        <f t="shared" si="1"/>
        <v>nein</v>
      </c>
    </row>
    <row r="93" spans="1:4" ht="15" x14ac:dyDescent="0.25">
      <c r="A93" s="1" t="s">
        <v>10</v>
      </c>
      <c r="B93" s="1" t="s">
        <v>9</v>
      </c>
      <c r="C93" s="3">
        <v>1911.1316793349999</v>
      </c>
      <c r="D93" t="str">
        <f t="shared" si="1"/>
        <v>nein</v>
      </c>
    </row>
    <row r="94" spans="1:4" ht="15" x14ac:dyDescent="0.25">
      <c r="A94" s="1" t="s">
        <v>6</v>
      </c>
      <c r="B94" s="1" t="s">
        <v>8</v>
      </c>
      <c r="C94" s="3">
        <v>1870.38181618</v>
      </c>
      <c r="D94" t="str">
        <f t="shared" si="1"/>
        <v>nein</v>
      </c>
    </row>
    <row r="95" spans="1:4" ht="15" x14ac:dyDescent="0.25">
      <c r="A95" s="1" t="s">
        <v>1</v>
      </c>
      <c r="B95" s="1" t="s">
        <v>7</v>
      </c>
      <c r="C95" s="3">
        <v>1738.1962978900001</v>
      </c>
      <c r="D95" t="str">
        <f t="shared" si="1"/>
        <v>nein</v>
      </c>
    </row>
    <row r="96" spans="1:4" ht="15" x14ac:dyDescent="0.25">
      <c r="A96" s="1" t="s">
        <v>6</v>
      </c>
      <c r="B96" s="1" t="s">
        <v>5</v>
      </c>
      <c r="C96" s="3">
        <v>1347.5406743548999</v>
      </c>
      <c r="D96" t="str">
        <f t="shared" si="1"/>
        <v>nein</v>
      </c>
    </row>
    <row r="97" spans="1:4" ht="15" x14ac:dyDescent="0.25">
      <c r="A97" s="1" t="s">
        <v>4</v>
      </c>
      <c r="B97" s="1" t="s">
        <v>3</v>
      </c>
      <c r="C97" s="3">
        <v>1298.2436459769999</v>
      </c>
      <c r="D97" t="str">
        <f t="shared" si="1"/>
        <v>nein</v>
      </c>
    </row>
    <row r="98" spans="1:4" ht="15" x14ac:dyDescent="0.25">
      <c r="A98" s="1" t="s">
        <v>1</v>
      </c>
      <c r="B98" s="1" t="s">
        <v>2</v>
      </c>
      <c r="C98" s="3">
        <v>710.23142252800005</v>
      </c>
      <c r="D98" t="str">
        <f t="shared" si="1"/>
        <v>nein</v>
      </c>
    </row>
    <row r="99" spans="1:4" ht="15" x14ac:dyDescent="0.25">
      <c r="A99" s="28" t="s">
        <v>1</v>
      </c>
      <c r="B99" s="28" t="s">
        <v>0</v>
      </c>
      <c r="C99" s="29">
        <v>676.50160604977998</v>
      </c>
      <c r="D99" t="str">
        <f t="shared" si="1"/>
        <v>nein</v>
      </c>
    </row>
  </sheetData>
  <autoFilter ref="A1:C99" xr:uid="{E2009CE9-D73B-48C9-92A6-6B15E5A7E501}">
    <sortState xmlns:xlrd2="http://schemas.microsoft.com/office/spreadsheetml/2017/richdata2" ref="A2:C99">
      <sortCondition descending="1" ref="C1:C99"/>
    </sortState>
  </autoFilter>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3B7F6-81B3-4B0F-BC17-7D3966EEB98A}">
  <dimension ref="A1:P26"/>
  <sheetViews>
    <sheetView workbookViewId="0">
      <selection activeCell="W36" sqref="W36"/>
    </sheetView>
  </sheetViews>
  <sheetFormatPr baseColWidth="10" defaultRowHeight="14.25" x14ac:dyDescent="0.2"/>
  <cols>
    <col min="5" max="5" width="22" customWidth="1"/>
  </cols>
  <sheetData>
    <row r="1" spans="1:16" ht="15" x14ac:dyDescent="0.25">
      <c r="A1" s="11">
        <v>327818.49266567</v>
      </c>
      <c r="B1" s="10" t="s">
        <v>181</v>
      </c>
      <c r="C1" s="11" t="s">
        <v>181</v>
      </c>
      <c r="D1" s="11"/>
      <c r="E1" s="10" t="s">
        <v>100</v>
      </c>
      <c r="F1" s="10" t="s">
        <v>148</v>
      </c>
      <c r="G1" s="10">
        <v>160</v>
      </c>
      <c r="H1" s="10">
        <v>55</v>
      </c>
      <c r="I1" s="10">
        <v>55</v>
      </c>
      <c r="J1" s="10">
        <v>20</v>
      </c>
      <c r="K1" s="10">
        <v>290</v>
      </c>
      <c r="L1" s="10" t="s">
        <v>180</v>
      </c>
      <c r="M1" s="10">
        <v>1</v>
      </c>
      <c r="N1" s="10">
        <v>1.1499999999999999</v>
      </c>
      <c r="O1" s="10">
        <v>0.25</v>
      </c>
      <c r="P1" s="10">
        <v>0.4</v>
      </c>
    </row>
    <row r="2" spans="1:16" ht="15" x14ac:dyDescent="0.25">
      <c r="A2" s="5">
        <v>389862.88523847598</v>
      </c>
      <c r="B2" s="4" t="s">
        <v>181</v>
      </c>
      <c r="C2" s="5" t="s">
        <v>181</v>
      </c>
      <c r="D2" s="5" t="s">
        <v>108</v>
      </c>
      <c r="E2" s="7" t="s">
        <v>105</v>
      </c>
      <c r="F2" s="4" t="s">
        <v>150</v>
      </c>
      <c r="G2" s="4">
        <v>35</v>
      </c>
      <c r="H2" s="4">
        <v>55</v>
      </c>
      <c r="I2" s="4">
        <v>50</v>
      </c>
      <c r="J2" s="4">
        <v>40</v>
      </c>
      <c r="K2" s="4">
        <v>180</v>
      </c>
      <c r="L2" s="4" t="s">
        <v>180</v>
      </c>
      <c r="M2" s="4">
        <v>1</v>
      </c>
      <c r="N2" s="4">
        <v>1.2</v>
      </c>
      <c r="O2" s="4">
        <v>1</v>
      </c>
      <c r="P2" s="10">
        <v>0.35</v>
      </c>
    </row>
    <row r="3" spans="1:16" ht="15" x14ac:dyDescent="0.25">
      <c r="A3" s="5">
        <v>119456.908902839</v>
      </c>
      <c r="B3" s="4" t="s">
        <v>181</v>
      </c>
      <c r="C3" s="5" t="s">
        <v>181</v>
      </c>
      <c r="D3" s="5"/>
      <c r="E3" s="7" t="s">
        <v>112</v>
      </c>
      <c r="F3" s="4" t="s">
        <v>150</v>
      </c>
      <c r="G3" s="4">
        <v>35</v>
      </c>
      <c r="H3" s="4">
        <v>35</v>
      </c>
      <c r="I3" s="4">
        <v>30</v>
      </c>
      <c r="J3" s="4">
        <v>20</v>
      </c>
      <c r="K3" s="4">
        <v>120</v>
      </c>
      <c r="L3" s="4" t="s">
        <v>180</v>
      </c>
      <c r="M3" s="4">
        <v>1</v>
      </c>
      <c r="N3" s="4">
        <v>1.1499999999999999</v>
      </c>
      <c r="O3" s="4">
        <v>1.1000000000000001</v>
      </c>
      <c r="P3" s="10">
        <v>0.5</v>
      </c>
    </row>
    <row r="4" spans="1:16" ht="15" x14ac:dyDescent="0.25">
      <c r="A4" s="3">
        <v>62212.000176695001</v>
      </c>
      <c r="B4" s="1" t="s">
        <v>181</v>
      </c>
      <c r="C4" s="3" t="s">
        <v>181</v>
      </c>
      <c r="D4" s="3"/>
      <c r="E4" s="6" t="s">
        <v>105</v>
      </c>
      <c r="F4" s="1" t="s">
        <v>150</v>
      </c>
      <c r="G4" s="1">
        <v>35</v>
      </c>
      <c r="H4" s="1">
        <v>55</v>
      </c>
      <c r="I4" s="1">
        <v>50</v>
      </c>
      <c r="J4" s="1">
        <v>40</v>
      </c>
      <c r="K4" s="1">
        <v>180</v>
      </c>
      <c r="L4" s="1" t="s">
        <v>180</v>
      </c>
      <c r="M4" s="1">
        <v>1</v>
      </c>
      <c r="N4" s="1">
        <v>1.2</v>
      </c>
      <c r="O4" s="1">
        <v>1</v>
      </c>
      <c r="P4" s="10">
        <v>0.35</v>
      </c>
    </row>
    <row r="5" spans="1:16" ht="15" x14ac:dyDescent="0.25">
      <c r="A5" s="5">
        <v>105332.056988389</v>
      </c>
      <c r="B5" s="4" t="s">
        <v>181</v>
      </c>
      <c r="C5" s="5" t="s">
        <v>181</v>
      </c>
      <c r="D5" s="5"/>
      <c r="E5" s="4" t="s">
        <v>100</v>
      </c>
      <c r="F5" s="4" t="s">
        <v>148</v>
      </c>
      <c r="G5" s="4">
        <v>160</v>
      </c>
      <c r="H5" s="4">
        <v>55</v>
      </c>
      <c r="I5" s="4">
        <v>55</v>
      </c>
      <c r="J5" s="4">
        <v>20</v>
      </c>
      <c r="K5" s="4">
        <v>290</v>
      </c>
      <c r="L5" s="4" t="s">
        <v>180</v>
      </c>
      <c r="M5" s="4">
        <v>1</v>
      </c>
      <c r="N5" s="4">
        <v>1.1499999999999999</v>
      </c>
      <c r="O5" s="4">
        <v>0.25</v>
      </c>
      <c r="P5" s="10">
        <v>0.4</v>
      </c>
    </row>
    <row r="6" spans="1:16" ht="15" x14ac:dyDescent="0.25">
      <c r="A6" s="3">
        <v>802481.10269687895</v>
      </c>
      <c r="B6" s="1" t="s">
        <v>181</v>
      </c>
      <c r="C6" s="3" t="s">
        <v>181</v>
      </c>
      <c r="D6" s="3"/>
      <c r="E6" s="1" t="s">
        <v>100</v>
      </c>
      <c r="F6" s="1" t="s">
        <v>148</v>
      </c>
      <c r="G6" s="1">
        <v>160</v>
      </c>
      <c r="H6" s="1">
        <v>55</v>
      </c>
      <c r="I6" s="1">
        <v>55</v>
      </c>
      <c r="J6" s="1">
        <v>20</v>
      </c>
      <c r="K6" s="1">
        <v>290</v>
      </c>
      <c r="L6" s="1" t="s">
        <v>180</v>
      </c>
      <c r="M6" s="1">
        <v>1</v>
      </c>
      <c r="N6" s="1">
        <v>1.1499999999999999</v>
      </c>
      <c r="O6" s="1">
        <v>0.25</v>
      </c>
      <c r="P6" s="10">
        <v>0.4</v>
      </c>
    </row>
    <row r="7" spans="1:16" ht="15" x14ac:dyDescent="0.25">
      <c r="A7" s="5">
        <v>176042.86412745001</v>
      </c>
      <c r="B7" s="4" t="s">
        <v>181</v>
      </c>
      <c r="C7" s="5" t="s">
        <v>181</v>
      </c>
      <c r="D7" s="5" t="s">
        <v>91</v>
      </c>
      <c r="E7" s="4" t="s">
        <v>90</v>
      </c>
      <c r="F7" s="4" t="s">
        <v>148</v>
      </c>
      <c r="G7" s="4">
        <v>160</v>
      </c>
      <c r="H7" s="4">
        <v>55</v>
      </c>
      <c r="I7" s="4">
        <v>55</v>
      </c>
      <c r="J7" s="4">
        <v>20</v>
      </c>
      <c r="K7" s="4">
        <v>290</v>
      </c>
      <c r="L7" s="4" t="s">
        <v>180</v>
      </c>
      <c r="M7" s="4">
        <v>1</v>
      </c>
      <c r="N7" s="4">
        <v>1.1000000000000001</v>
      </c>
      <c r="O7" s="4">
        <v>0.15</v>
      </c>
      <c r="P7" s="10">
        <v>0.15</v>
      </c>
    </row>
    <row r="8" spans="1:16" ht="15" x14ac:dyDescent="0.25">
      <c r="A8" s="3">
        <v>2252149.4318472599</v>
      </c>
      <c r="B8" s="1" t="s">
        <v>181</v>
      </c>
      <c r="C8" s="3" t="s">
        <v>181</v>
      </c>
      <c r="D8" s="3"/>
      <c r="E8" s="1" t="s">
        <v>195</v>
      </c>
      <c r="F8" s="1" t="s">
        <v>147</v>
      </c>
      <c r="G8" s="1">
        <v>20</v>
      </c>
      <c r="H8" s="1">
        <v>70</v>
      </c>
      <c r="I8" s="1">
        <v>90</v>
      </c>
      <c r="J8" s="1">
        <v>30</v>
      </c>
      <c r="K8" s="1">
        <v>210</v>
      </c>
      <c r="L8" s="1" t="s">
        <v>180</v>
      </c>
      <c r="M8" s="1">
        <v>1</v>
      </c>
      <c r="N8" s="1">
        <v>0.95</v>
      </c>
      <c r="O8" s="1">
        <v>0.7</v>
      </c>
      <c r="P8" s="10">
        <v>0.45</v>
      </c>
    </row>
    <row r="9" spans="1:16" ht="15" x14ac:dyDescent="0.25">
      <c r="A9" s="3">
        <v>239188.30300840401</v>
      </c>
      <c r="B9" s="1" t="s">
        <v>181</v>
      </c>
      <c r="C9" s="3" t="s">
        <v>181</v>
      </c>
      <c r="D9" s="3"/>
      <c r="E9" s="6" t="s">
        <v>110</v>
      </c>
      <c r="F9" s="1" t="s">
        <v>151</v>
      </c>
      <c r="G9" s="1">
        <v>30</v>
      </c>
      <c r="H9" s="1">
        <v>35</v>
      </c>
      <c r="I9" s="1">
        <v>50</v>
      </c>
      <c r="J9" s="1">
        <v>25</v>
      </c>
      <c r="K9" s="1">
        <v>140</v>
      </c>
      <c r="L9" s="1" t="s">
        <v>180</v>
      </c>
      <c r="M9" s="1">
        <v>1</v>
      </c>
      <c r="N9" s="1">
        <v>1.1499999999999999</v>
      </c>
      <c r="O9" s="1">
        <v>0.5</v>
      </c>
      <c r="P9" s="10">
        <v>0.5</v>
      </c>
    </row>
    <row r="10" spans="1:16" ht="15" x14ac:dyDescent="0.25">
      <c r="A10" s="5">
        <v>472975.19181439001</v>
      </c>
      <c r="B10" s="4" t="s">
        <v>181</v>
      </c>
      <c r="C10" s="5" t="s">
        <v>181</v>
      </c>
      <c r="D10" s="5"/>
      <c r="E10" s="9" t="s">
        <v>114</v>
      </c>
      <c r="F10" s="4" t="s">
        <v>150</v>
      </c>
      <c r="G10" s="4">
        <v>30</v>
      </c>
      <c r="H10" s="4">
        <v>40</v>
      </c>
      <c r="I10" s="4">
        <v>50</v>
      </c>
      <c r="J10" s="4">
        <v>50</v>
      </c>
      <c r="K10" s="4">
        <v>170</v>
      </c>
      <c r="L10" s="4" t="s">
        <v>180</v>
      </c>
      <c r="M10" s="4">
        <v>1</v>
      </c>
      <c r="N10" s="4">
        <v>1.2</v>
      </c>
      <c r="O10" s="4">
        <v>0.5</v>
      </c>
      <c r="P10" s="10">
        <v>0.3</v>
      </c>
    </row>
    <row r="11" spans="1:16" ht="15" x14ac:dyDescent="0.25">
      <c r="A11" s="3">
        <v>90908.785037142996</v>
      </c>
      <c r="B11" s="1" t="s">
        <v>181</v>
      </c>
      <c r="C11" s="3" t="s">
        <v>181</v>
      </c>
      <c r="D11" s="3"/>
      <c r="E11" s="1" t="s">
        <v>195</v>
      </c>
      <c r="F11" s="1" t="s">
        <v>147</v>
      </c>
      <c r="G11" s="1">
        <v>20</v>
      </c>
      <c r="H11" s="1">
        <v>70</v>
      </c>
      <c r="I11" s="1">
        <v>90</v>
      </c>
      <c r="J11" s="1">
        <v>30</v>
      </c>
      <c r="K11" s="1">
        <v>210</v>
      </c>
      <c r="L11" s="1" t="s">
        <v>180</v>
      </c>
      <c r="M11" s="1">
        <v>1</v>
      </c>
      <c r="N11" s="1">
        <v>0.95</v>
      </c>
      <c r="O11" s="1">
        <v>0.7</v>
      </c>
      <c r="P11" s="10">
        <v>0.45</v>
      </c>
    </row>
    <row r="12" spans="1:16" ht="15" x14ac:dyDescent="0.25">
      <c r="A12" s="3">
        <v>111537.37449798</v>
      </c>
      <c r="B12" s="1" t="s">
        <v>181</v>
      </c>
      <c r="C12" s="3" t="s">
        <v>181</v>
      </c>
      <c r="D12" s="3" t="s">
        <v>98</v>
      </c>
      <c r="E12" s="1" t="s">
        <v>97</v>
      </c>
      <c r="F12" s="1" t="s">
        <v>148</v>
      </c>
      <c r="G12" s="1">
        <v>160</v>
      </c>
      <c r="H12" s="1">
        <v>55</v>
      </c>
      <c r="I12" s="1">
        <v>55</v>
      </c>
      <c r="J12" s="1">
        <v>20</v>
      </c>
      <c r="K12" s="1">
        <v>290</v>
      </c>
      <c r="L12" s="1" t="s">
        <v>180</v>
      </c>
      <c r="M12" s="1">
        <v>1</v>
      </c>
      <c r="N12" s="1">
        <v>1.1499999999999999</v>
      </c>
      <c r="O12" s="1">
        <v>0.25</v>
      </c>
      <c r="P12" s="10">
        <v>0.4</v>
      </c>
    </row>
    <row r="13" spans="1:16" ht="15" x14ac:dyDescent="0.25">
      <c r="A13" s="3">
        <v>3702054.9666901999</v>
      </c>
      <c r="B13" s="1" t="s">
        <v>181</v>
      </c>
      <c r="C13" s="3" t="s">
        <v>181</v>
      </c>
      <c r="D13" s="3"/>
      <c r="E13" s="8" t="s">
        <v>114</v>
      </c>
      <c r="F13" s="1" t="s">
        <v>150</v>
      </c>
      <c r="G13" s="1">
        <v>30</v>
      </c>
      <c r="H13" s="1">
        <v>40</v>
      </c>
      <c r="I13" s="1">
        <v>50</v>
      </c>
      <c r="J13" s="1">
        <v>50</v>
      </c>
      <c r="K13" s="1">
        <v>170</v>
      </c>
      <c r="L13" s="1" t="s">
        <v>180</v>
      </c>
      <c r="M13" s="1">
        <v>1</v>
      </c>
      <c r="N13" s="1">
        <v>1.2</v>
      </c>
      <c r="O13" s="1">
        <v>0.5</v>
      </c>
      <c r="P13" s="10">
        <v>0.3</v>
      </c>
    </row>
    <row r="14" spans="1:16" ht="15" x14ac:dyDescent="0.25">
      <c r="A14" s="3">
        <v>52716.681500730003</v>
      </c>
      <c r="B14" s="1" t="s">
        <v>181</v>
      </c>
      <c r="C14" s="3" t="s">
        <v>181</v>
      </c>
      <c r="D14" s="3" t="s">
        <v>121</v>
      </c>
      <c r="E14" s="1" t="s">
        <v>120</v>
      </c>
      <c r="F14" s="1" t="s">
        <v>147</v>
      </c>
      <c r="G14" s="1">
        <v>40</v>
      </c>
      <c r="H14" s="1">
        <v>30</v>
      </c>
      <c r="I14" s="1">
        <v>40</v>
      </c>
      <c r="J14" s="1">
        <v>20</v>
      </c>
      <c r="K14" s="1">
        <v>130</v>
      </c>
      <c r="L14" s="1" t="s">
        <v>180</v>
      </c>
      <c r="M14" s="1">
        <v>1</v>
      </c>
      <c r="N14" s="1">
        <v>1.1499999999999999</v>
      </c>
      <c r="O14" s="1">
        <v>0.25</v>
      </c>
      <c r="P14" s="10">
        <v>0.3</v>
      </c>
    </row>
    <row r="15" spans="1:16" ht="15" x14ac:dyDescent="0.25">
      <c r="A15" s="5">
        <v>111547.06098939</v>
      </c>
      <c r="B15" s="4" t="s">
        <v>181</v>
      </c>
      <c r="C15" s="5" t="s">
        <v>181</v>
      </c>
      <c r="D15" s="5"/>
      <c r="E15" s="4" t="s">
        <v>95</v>
      </c>
      <c r="F15" s="4" t="s">
        <v>152</v>
      </c>
      <c r="G15" s="4">
        <v>40</v>
      </c>
      <c r="H15" s="4">
        <v>30</v>
      </c>
      <c r="I15" s="4">
        <v>40</v>
      </c>
      <c r="J15" s="4">
        <v>20</v>
      </c>
      <c r="K15" s="4">
        <v>130</v>
      </c>
      <c r="L15" s="4" t="s">
        <v>180</v>
      </c>
      <c r="M15" s="4">
        <v>1</v>
      </c>
      <c r="N15" s="4">
        <v>1.1499999999999999</v>
      </c>
      <c r="O15" s="4">
        <v>0.25</v>
      </c>
      <c r="P15" s="10">
        <v>0.4</v>
      </c>
    </row>
    <row r="16" spans="1:16" ht="15" x14ac:dyDescent="0.25">
      <c r="A16" s="3">
        <v>150788.98520818999</v>
      </c>
      <c r="B16" s="1" t="s">
        <v>181</v>
      </c>
      <c r="C16" s="3" t="s">
        <v>181</v>
      </c>
      <c r="D16" s="3"/>
      <c r="E16" s="6" t="s">
        <v>103</v>
      </c>
      <c r="F16" s="1" t="s">
        <v>150</v>
      </c>
      <c r="G16" s="1">
        <v>25</v>
      </c>
      <c r="H16" s="1">
        <v>45</v>
      </c>
      <c r="I16" s="1">
        <v>55</v>
      </c>
      <c r="J16" s="1">
        <v>25</v>
      </c>
      <c r="K16" s="1">
        <v>150</v>
      </c>
      <c r="L16" s="1" t="s">
        <v>180</v>
      </c>
      <c r="M16" s="1">
        <v>1</v>
      </c>
      <c r="N16" s="1">
        <v>1</v>
      </c>
      <c r="O16" s="1">
        <v>0.35</v>
      </c>
      <c r="P16" s="10">
        <v>0.35</v>
      </c>
    </row>
    <row r="17" spans="1:16" ht="15" x14ac:dyDescent="0.25">
      <c r="A17" s="5">
        <v>101132.484203642</v>
      </c>
      <c r="B17" s="4" t="s">
        <v>181</v>
      </c>
      <c r="C17" s="5" t="s">
        <v>181</v>
      </c>
      <c r="D17" s="5"/>
      <c r="E17" s="7" t="s">
        <v>122</v>
      </c>
      <c r="F17" s="4" t="s">
        <v>150</v>
      </c>
      <c r="G17" s="4">
        <v>90</v>
      </c>
      <c r="H17" s="4">
        <v>30</v>
      </c>
      <c r="I17" s="4">
        <v>200</v>
      </c>
      <c r="J17" s="4">
        <v>45</v>
      </c>
      <c r="K17" s="4">
        <v>365</v>
      </c>
      <c r="L17" s="4" t="s">
        <v>180</v>
      </c>
      <c r="M17" s="4">
        <v>1</v>
      </c>
      <c r="N17" s="4">
        <v>0.95</v>
      </c>
      <c r="O17" s="4">
        <v>0.3</v>
      </c>
      <c r="P17" s="10">
        <v>0.5</v>
      </c>
    </row>
    <row r="18" spans="1:16" ht="15" x14ac:dyDescent="0.25">
      <c r="A18" s="3">
        <v>132904.26974712999</v>
      </c>
      <c r="B18" s="1" t="s">
        <v>181</v>
      </c>
      <c r="C18" s="3" t="s">
        <v>181</v>
      </c>
      <c r="D18" s="1" t="s">
        <v>125</v>
      </c>
      <c r="E18" s="1" t="s">
        <v>124</v>
      </c>
      <c r="F18" s="1" t="s">
        <v>148</v>
      </c>
      <c r="G18" s="1">
        <v>160</v>
      </c>
      <c r="H18" s="1">
        <v>55</v>
      </c>
      <c r="I18" s="1">
        <v>55</v>
      </c>
      <c r="J18" s="1">
        <v>20</v>
      </c>
      <c r="K18" s="1">
        <v>290</v>
      </c>
      <c r="L18" s="1" t="s">
        <v>180</v>
      </c>
      <c r="M18" s="1">
        <v>1</v>
      </c>
      <c r="N18" s="1">
        <v>1.1499999999999999</v>
      </c>
      <c r="O18" s="1">
        <v>0.25</v>
      </c>
      <c r="P18" s="10">
        <v>0.4</v>
      </c>
    </row>
    <row r="19" spans="1:16" ht="15" x14ac:dyDescent="0.25">
      <c r="A19" s="5">
        <v>793458.60078906</v>
      </c>
      <c r="B19" s="4" t="s">
        <v>181</v>
      </c>
      <c r="C19" s="5" t="s">
        <v>181</v>
      </c>
      <c r="D19" s="4" t="s">
        <v>125</v>
      </c>
      <c r="E19" s="4" t="s">
        <v>124</v>
      </c>
      <c r="F19" s="4" t="s">
        <v>148</v>
      </c>
      <c r="G19" s="4">
        <v>160</v>
      </c>
      <c r="H19" s="4">
        <v>55</v>
      </c>
      <c r="I19" s="4">
        <v>55</v>
      </c>
      <c r="J19" s="4">
        <v>20</v>
      </c>
      <c r="K19" s="4">
        <v>290</v>
      </c>
      <c r="L19" s="4" t="s">
        <v>180</v>
      </c>
      <c r="M19" s="4">
        <v>1</v>
      </c>
      <c r="N19" s="4">
        <v>1.1499999999999999</v>
      </c>
      <c r="O19" s="4">
        <v>0.25</v>
      </c>
      <c r="P19" s="10">
        <v>0.4</v>
      </c>
    </row>
    <row r="20" spans="1:16" ht="15" x14ac:dyDescent="0.25">
      <c r="A20" s="3">
        <v>177073.46527627899</v>
      </c>
      <c r="B20" s="1" t="s">
        <v>181</v>
      </c>
      <c r="C20" s="3" t="s">
        <v>181</v>
      </c>
      <c r="D20" s="6" t="s">
        <v>118</v>
      </c>
      <c r="E20" s="1" t="s">
        <v>117</v>
      </c>
      <c r="F20" s="1" t="s">
        <v>148</v>
      </c>
      <c r="G20" s="1">
        <v>160</v>
      </c>
      <c r="H20" s="1">
        <v>55</v>
      </c>
      <c r="I20" s="1">
        <v>45</v>
      </c>
      <c r="J20" s="1">
        <v>20</v>
      </c>
      <c r="K20" s="1">
        <v>280</v>
      </c>
      <c r="L20" s="1" t="s">
        <v>180</v>
      </c>
      <c r="M20" s="1">
        <v>1</v>
      </c>
      <c r="N20" s="1">
        <v>1.1499999999999999</v>
      </c>
      <c r="O20" s="1">
        <v>0.25</v>
      </c>
      <c r="P20">
        <v>0.3</v>
      </c>
    </row>
    <row r="21" spans="1:16" ht="15" x14ac:dyDescent="0.25">
      <c r="A21" s="5">
        <v>1110266.9076980499</v>
      </c>
      <c r="B21" s="4" t="s">
        <v>181</v>
      </c>
      <c r="C21" s="5" t="s">
        <v>181</v>
      </c>
      <c r="D21" s="7" t="s">
        <v>118</v>
      </c>
      <c r="E21" s="4" t="s">
        <v>117</v>
      </c>
      <c r="F21" s="4" t="s">
        <v>148</v>
      </c>
      <c r="G21" s="4">
        <v>160</v>
      </c>
      <c r="H21" s="4">
        <v>55</v>
      </c>
      <c r="I21" s="4">
        <v>45</v>
      </c>
      <c r="J21" s="4">
        <v>20</v>
      </c>
      <c r="K21" s="4">
        <v>280</v>
      </c>
      <c r="L21" s="4" t="s">
        <v>180</v>
      </c>
      <c r="M21" s="4">
        <v>1</v>
      </c>
      <c r="N21" s="4">
        <v>1.1499999999999999</v>
      </c>
      <c r="O21" s="4">
        <v>0.25</v>
      </c>
      <c r="P21">
        <v>0.3</v>
      </c>
    </row>
    <row r="22" spans="1:16" ht="15" x14ac:dyDescent="0.25">
      <c r="A22" s="5">
        <v>351151.8982468</v>
      </c>
      <c r="B22" s="4" t="s">
        <v>181</v>
      </c>
      <c r="C22" s="5" t="s">
        <v>181</v>
      </c>
      <c r="D22" s="5" t="s">
        <v>72</v>
      </c>
      <c r="E22" s="4" t="s">
        <v>191</v>
      </c>
      <c r="F22" s="4" t="s">
        <v>146</v>
      </c>
      <c r="G22" s="4">
        <v>170</v>
      </c>
      <c r="H22" s="4">
        <v>55</v>
      </c>
      <c r="I22" s="4">
        <v>55</v>
      </c>
      <c r="J22" s="4">
        <v>40</v>
      </c>
      <c r="K22" s="4">
        <v>320</v>
      </c>
      <c r="L22" s="4" t="s">
        <v>180</v>
      </c>
      <c r="M22" s="4">
        <v>1</v>
      </c>
      <c r="N22" s="4">
        <v>1</v>
      </c>
      <c r="O22" s="4">
        <v>0.25</v>
      </c>
      <c r="P22">
        <v>0.15</v>
      </c>
    </row>
    <row r="23" spans="1:16" ht="15" x14ac:dyDescent="0.25">
      <c r="A23" s="5">
        <v>864268.68118217995</v>
      </c>
      <c r="B23" s="4" t="s">
        <v>181</v>
      </c>
      <c r="C23" s="5" t="s">
        <v>181</v>
      </c>
      <c r="D23" s="5"/>
      <c r="E23" s="4" t="s">
        <v>100</v>
      </c>
      <c r="F23" s="4" t="s">
        <v>148</v>
      </c>
      <c r="G23" s="4">
        <v>160</v>
      </c>
      <c r="H23" s="4">
        <v>55</v>
      </c>
      <c r="I23" s="4">
        <v>55</v>
      </c>
      <c r="J23" s="4">
        <v>20</v>
      </c>
      <c r="K23" s="4">
        <v>290</v>
      </c>
      <c r="L23" s="4" t="s">
        <v>180</v>
      </c>
      <c r="M23" s="4">
        <v>1</v>
      </c>
      <c r="N23" s="4">
        <v>1.1499999999999999</v>
      </c>
      <c r="O23" s="4">
        <v>0.25</v>
      </c>
      <c r="P23">
        <v>0.4</v>
      </c>
    </row>
    <row r="24" spans="1:16" ht="15" x14ac:dyDescent="0.25">
      <c r="A24" s="3">
        <v>2154073.6053000102</v>
      </c>
      <c r="B24" s="1" t="s">
        <v>181</v>
      </c>
      <c r="C24" s="3" t="s">
        <v>181</v>
      </c>
      <c r="D24" s="3"/>
      <c r="E24" s="1" t="s">
        <v>100</v>
      </c>
      <c r="F24" s="1" t="s">
        <v>148</v>
      </c>
      <c r="G24" s="1">
        <v>160</v>
      </c>
      <c r="H24" s="1">
        <v>55</v>
      </c>
      <c r="I24" s="1">
        <v>55</v>
      </c>
      <c r="J24" s="1">
        <v>20</v>
      </c>
      <c r="K24" s="1">
        <v>290</v>
      </c>
      <c r="L24" s="1" t="s">
        <v>180</v>
      </c>
      <c r="M24" s="1">
        <v>1</v>
      </c>
      <c r="N24" s="1">
        <v>1.1499999999999999</v>
      </c>
      <c r="O24" s="1">
        <v>0.25</v>
      </c>
      <c r="P24">
        <v>0.4</v>
      </c>
    </row>
    <row r="25" spans="1:16" ht="15" x14ac:dyDescent="0.25">
      <c r="A25" s="5">
        <v>131637.11703595001</v>
      </c>
      <c r="B25" s="4" t="s">
        <v>181</v>
      </c>
      <c r="C25" s="5" t="s">
        <v>181</v>
      </c>
      <c r="D25" s="5"/>
      <c r="E25" s="7" t="s">
        <v>105</v>
      </c>
      <c r="F25" s="4" t="s">
        <v>150</v>
      </c>
      <c r="G25" s="4">
        <v>35</v>
      </c>
      <c r="H25" s="4">
        <v>55</v>
      </c>
      <c r="I25" s="4">
        <v>50</v>
      </c>
      <c r="J25" s="4">
        <v>40</v>
      </c>
      <c r="K25" s="4">
        <v>180</v>
      </c>
      <c r="L25" s="4" t="s">
        <v>180</v>
      </c>
      <c r="M25" s="4">
        <v>1</v>
      </c>
      <c r="N25" s="4">
        <v>1.2</v>
      </c>
      <c r="O25" s="4">
        <v>1</v>
      </c>
      <c r="P25">
        <v>0.35</v>
      </c>
    </row>
    <row r="26" spans="1:16" ht="15" x14ac:dyDescent="0.25">
      <c r="A26" s="3">
        <v>973529.66414758691</v>
      </c>
      <c r="B26" s="1" t="s">
        <v>181</v>
      </c>
      <c r="C26" s="3" t="s">
        <v>181</v>
      </c>
      <c r="D26" s="3" t="s">
        <v>189</v>
      </c>
      <c r="E26" s="1" t="s">
        <v>192</v>
      </c>
      <c r="F26" s="1" t="s">
        <v>150</v>
      </c>
      <c r="G26" s="1">
        <v>35</v>
      </c>
      <c r="H26" s="1">
        <v>55</v>
      </c>
      <c r="I26" s="1">
        <v>50</v>
      </c>
      <c r="J26" s="1">
        <v>40</v>
      </c>
      <c r="K26" s="1">
        <v>180</v>
      </c>
      <c r="L26" s="1" t="s">
        <v>180</v>
      </c>
      <c r="M26" s="1">
        <f t="shared" ref="M26" si="0">SUMPRODUCT($A$1:$A$25,M$1:M$25)/SUM($A$1:$A$25)</f>
        <v>1</v>
      </c>
      <c r="N26" s="1">
        <f>ROUND(SUMPRODUCT($A$1:$A$25,N$1:N$25)/SUM($A$1:$A$25),2)</f>
        <v>1.1299999999999999</v>
      </c>
      <c r="O26" s="1">
        <f>ROUND(SUMPRODUCT($A$1:$A$25,O$1:O$25)/SUM($A$1:$A$25),2)</f>
        <v>0.43</v>
      </c>
      <c r="P26" s="1">
        <f>ROUND(SUMPRODUCT($A$1:$A$25,P$1:P$25)/SUM($A$1:$A$25),2)</f>
        <v>0.36</v>
      </c>
    </row>
  </sheetData>
  <autoFilter ref="A1:O26" xr:uid="{E7C3B7F6-81B3-4B0F-BC17-7D3966EEB98A}"/>
  <pageMargins left="0.7" right="0.7" top="0.78740157499999996" bottom="0.78740157499999996" header="0.3" footer="0.3"/>
</worksheet>
</file>

<file path=docMetadata/LabelInfo.xml><?xml version="1.0" encoding="utf-8"?>
<clbl:labelList xmlns:clbl="http://schemas.microsoft.com/office/2020/mipLabelMetadata">
  <clbl:label id="{d400387a-212f-43ea-ac7f-77aa12d7977e}" enabled="0" method="" siteId="{d400387a-212f-43ea-ac7f-77aa12d7977e}"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summary culture types</vt:lpstr>
      <vt:lpstr>crop_coefficients</vt:lpstr>
      <vt:lpstr>Anpassung Wachstumsperioden</vt:lpstr>
      <vt:lpstr>Kc Adjustments</vt:lpstr>
      <vt:lpstr>Alle Kulturen</vt:lpstr>
      <vt:lpstr>Tabelle6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Bürki, Simon Mario (STUDENTS)</dc:creator>
  <cp:lastModifiedBy>Bürki, Simon Mario (STUDENTS)</cp:lastModifiedBy>
  <dcterms:created xsi:type="dcterms:W3CDTF">2024-05-06T07:12:04Z</dcterms:created>
  <dcterms:modified xsi:type="dcterms:W3CDTF">2024-10-21T16:01:57Z</dcterms:modified>
</cp:coreProperties>
</file>