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imon_buerki_students_unibe_ch/Documents/03_Masterarbeit/water stress index/00_data/"/>
    </mc:Choice>
  </mc:AlternateContent>
  <xr:revisionPtr revIDLastSave="2183" documentId="11_AD4DB114E441178AC67DF49B5696D45A683EDF11" xr6:coauthVersionLast="47" xr6:coauthVersionMax="47" xr10:uidLastSave="{5D68545A-0708-4B7E-AB26-C5AE404F6F7E}"/>
  <bookViews>
    <workbookView xWindow="28680" yWindow="-12435" windowWidth="38640" windowHeight="21120" tabRatio="883" firstSheet="6" activeTab="14" xr2:uid="{00000000-000D-0000-FFFF-FFFF00000000}"/>
  </bookViews>
  <sheets>
    <sheet name="Overview" sheetId="1" r:id="rId1"/>
    <sheet name="irrigation" sheetId="3" r:id="rId2"/>
    <sheet name="bfs_percentage_area" sheetId="4" r:id="rId3"/>
    <sheet name="percentage_area_summary" sheetId="6" r:id="rId4"/>
    <sheet name="dw_einwohnende" sheetId="2" r:id="rId5"/>
    <sheet name="dw_extrapol_ew" sheetId="7" r:id="rId6"/>
    <sheet name="dw_water_need" sheetId="8" r:id="rId7"/>
    <sheet name="ind_beschäftigte_2s" sheetId="9" r:id="rId8"/>
    <sheet name="ind_beschäftigte_3s" sheetId="10" r:id="rId9"/>
    <sheet name="Anzahl Beschäftigte" sheetId="13" r:id="rId10"/>
    <sheet name="ALT_ind_extrapol_2s" sheetId="11" r:id="rId11"/>
    <sheet name="ALT_ind_extrapol_3s" sheetId="14" r:id="rId12"/>
    <sheet name="ind_alte_Zahlen_AP" sheetId="17" r:id="rId13"/>
    <sheet name="ind_meth_vrtic" sheetId="18" r:id="rId14"/>
    <sheet name="ALT_ind_results" sheetId="15" r:id="rId15"/>
    <sheet name="IND_resutlts_Vrtic" sheetId="19" r:id="rId16"/>
    <sheet name="Tabelle1" sheetId="20" r:id="rId17"/>
  </sheets>
  <definedNames>
    <definedName name="_xlnm._FilterDatabase" localSheetId="2" hidden="1">bfs_percentage_area!$A$3:$P$23</definedName>
    <definedName name="_xlnm._FilterDatabase" localSheetId="4" hidden="1">dw_einwohnende!$A$2:$L$22</definedName>
    <definedName name="_xlnm._FilterDatabase" localSheetId="7" hidden="1">ind_beschäftigte_2s!$A$2:$L$22</definedName>
    <definedName name="_xlnm._FilterDatabase" localSheetId="8" hidden="1">ind_beschäftigte_3s!$A$2:$L$22</definedName>
    <definedName name="_xlnm._FilterDatabase" localSheetId="1" hidden="1">irrigation!$A$3:$E$23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5" l="1"/>
  <c r="D18" i="15"/>
  <c r="D19" i="15"/>
  <c r="C19" i="15"/>
  <c r="C18" i="15"/>
  <c r="C17" i="15"/>
  <c r="D23" i="8"/>
  <c r="D15" i="8"/>
  <c r="D16" i="8"/>
  <c r="D14" i="8"/>
  <c r="B15" i="8"/>
  <c r="B16" i="8"/>
  <c r="B17" i="8"/>
  <c r="B18" i="8"/>
  <c r="B19" i="8"/>
  <c r="B14" i="8"/>
  <c r="I5" i="18"/>
  <c r="G13" i="19"/>
  <c r="H13" i="19" s="1"/>
  <c r="F13" i="19"/>
  <c r="I12" i="18"/>
  <c r="I8" i="18"/>
  <c r="I9" i="18"/>
  <c r="I10" i="18"/>
  <c r="I11" i="18"/>
  <c r="H8" i="18"/>
  <c r="H9" i="18"/>
  <c r="H10" i="18"/>
  <c r="H11" i="18"/>
  <c r="H12" i="18"/>
  <c r="F9" i="18"/>
  <c r="F10" i="18"/>
  <c r="F11" i="18"/>
  <c r="F12" i="18"/>
  <c r="F8" i="18"/>
  <c r="G6" i="18"/>
  <c r="I4" i="18"/>
  <c r="H4" i="18"/>
  <c r="F4" i="18" s="1"/>
  <c r="H5" i="18"/>
  <c r="I3" i="18"/>
  <c r="I2" i="18"/>
  <c r="H3" i="18"/>
  <c r="F3" i="18" s="1"/>
  <c r="H2" i="18"/>
  <c r="F2" i="18" s="1"/>
  <c r="H5" i="17"/>
  <c r="H4" i="17"/>
  <c r="H3" i="17"/>
  <c r="L15" i="18"/>
  <c r="C10" i="18"/>
  <c r="C12" i="18"/>
  <c r="C7" i="18"/>
  <c r="L14" i="18" s="1"/>
  <c r="L16" i="18" s="1"/>
  <c r="L11" i="18"/>
  <c r="C8" i="18"/>
  <c r="C6" i="18"/>
  <c r="C4" i="18"/>
  <c r="C2" i="18"/>
  <c r="C3" i="18" s="1"/>
  <c r="B5" i="18"/>
  <c r="L10" i="18" s="1"/>
  <c r="L12" i="18" s="1"/>
  <c r="B4" i="18"/>
  <c r="K23" i="13"/>
  <c r="L7" i="18"/>
  <c r="L6" i="18"/>
  <c r="L8" i="18" s="1"/>
  <c r="L3" i="18"/>
  <c r="L2" i="18"/>
  <c r="L4" i="18" s="1"/>
  <c r="J23" i="13"/>
  <c r="H3" i="15"/>
  <c r="H4" i="15"/>
  <c r="H5" i="15"/>
  <c r="H6" i="15"/>
  <c r="H7" i="15"/>
  <c r="H8" i="15"/>
  <c r="H9" i="15"/>
  <c r="H10" i="15"/>
  <c r="H11" i="15"/>
  <c r="H12" i="15"/>
  <c r="H13" i="15"/>
  <c r="H2" i="15"/>
  <c r="B28" i="15"/>
  <c r="C28" i="15"/>
  <c r="B4" i="8"/>
  <c r="C3" i="15"/>
  <c r="B3" i="15"/>
  <c r="F3" i="15" s="1"/>
  <c r="C2" i="15"/>
  <c r="B2" i="15"/>
  <c r="F2" i="15" s="1"/>
  <c r="D3" i="17"/>
  <c r="E3" i="17"/>
  <c r="F5" i="17"/>
  <c r="D4" i="17" s="1"/>
  <c r="G5" i="17"/>
  <c r="E4" i="17" s="1"/>
  <c r="G3" i="15"/>
  <c r="G4" i="15"/>
  <c r="G5" i="15"/>
  <c r="G6" i="15"/>
  <c r="G7" i="15"/>
  <c r="G8" i="15"/>
  <c r="G9" i="15"/>
  <c r="G10" i="15"/>
  <c r="G11" i="15"/>
  <c r="G12" i="15"/>
  <c r="G13" i="15"/>
  <c r="G2" i="15"/>
  <c r="F4" i="15"/>
  <c r="F5" i="15"/>
  <c r="F6" i="15"/>
  <c r="F7" i="15"/>
  <c r="F8" i="15"/>
  <c r="F9" i="15"/>
  <c r="F10" i="15"/>
  <c r="F11" i="15"/>
  <c r="F12" i="15"/>
  <c r="F13" i="15"/>
  <c r="B7" i="8"/>
  <c r="B6" i="8"/>
  <c r="B5" i="8"/>
  <c r="B2" i="8"/>
  <c r="B3" i="8"/>
  <c r="B12" i="15"/>
  <c r="B11" i="15"/>
  <c r="B10" i="15"/>
  <c r="B9" i="15"/>
  <c r="B6" i="15"/>
  <c r="B7" i="15"/>
  <c r="B8" i="15"/>
  <c r="B5" i="15"/>
  <c r="G4" i="11"/>
  <c r="B4" i="15"/>
  <c r="C12" i="15"/>
  <c r="C11" i="15"/>
  <c r="C10" i="15"/>
  <c r="C9" i="15"/>
  <c r="C8" i="15"/>
  <c r="C7" i="15"/>
  <c r="C6" i="15"/>
  <c r="C5" i="15"/>
  <c r="C4" i="15"/>
  <c r="G4" i="14"/>
  <c r="G3" i="14"/>
  <c r="G2" i="14"/>
  <c r="B4" i="14"/>
  <c r="B2" i="14"/>
  <c r="C11" i="14"/>
  <c r="E11" i="14" s="1"/>
  <c r="B11" i="14"/>
  <c r="C10" i="14"/>
  <c r="E10" i="14" s="1"/>
  <c r="B10" i="14"/>
  <c r="C9" i="14"/>
  <c r="B9" i="14"/>
  <c r="C8" i="14"/>
  <c r="E8" i="14" s="1"/>
  <c r="B8" i="14"/>
  <c r="C7" i="14"/>
  <c r="E7" i="14" s="1"/>
  <c r="B7" i="14"/>
  <c r="C6" i="14"/>
  <c r="E6" i="14" s="1"/>
  <c r="B6" i="14"/>
  <c r="C5" i="14"/>
  <c r="B5" i="14"/>
  <c r="C3" i="14"/>
  <c r="E5" i="14" s="1"/>
  <c r="B3" i="14"/>
  <c r="C2" i="14"/>
  <c r="G7" i="11"/>
  <c r="G8" i="11" s="1"/>
  <c r="G9" i="11" s="1"/>
  <c r="G10" i="11" s="1"/>
  <c r="G11" i="11" s="1"/>
  <c r="G6" i="11"/>
  <c r="G5" i="11"/>
  <c r="B4" i="11"/>
  <c r="B6" i="11"/>
  <c r="B7" i="11"/>
  <c r="D7" i="11" s="1"/>
  <c r="F7" i="11" s="1"/>
  <c r="B8" i="11"/>
  <c r="D8" i="11" s="1"/>
  <c r="F8" i="11" s="1"/>
  <c r="B9" i="11"/>
  <c r="B10" i="11"/>
  <c r="B11" i="11"/>
  <c r="D11" i="11" s="1"/>
  <c r="F11" i="11" s="1"/>
  <c r="B5" i="11"/>
  <c r="D6" i="11" s="1"/>
  <c r="F6" i="11" s="1"/>
  <c r="B3" i="11"/>
  <c r="B2" i="11"/>
  <c r="G23" i="13"/>
  <c r="H23" i="13"/>
  <c r="I23" i="13"/>
  <c r="F23" i="13"/>
  <c r="D23" i="13"/>
  <c r="C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G3" i="11"/>
  <c r="G2" i="11"/>
  <c r="D10" i="11"/>
  <c r="F10" i="11" s="1"/>
  <c r="C2" i="11"/>
  <c r="C5" i="11"/>
  <c r="C11" i="11"/>
  <c r="C10" i="11"/>
  <c r="C9" i="11"/>
  <c r="E9" i="11" s="1"/>
  <c r="C8" i="11"/>
  <c r="C7" i="11"/>
  <c r="C6" i="11"/>
  <c r="E6" i="11" s="1"/>
  <c r="C3" i="11"/>
  <c r="J62" i="7"/>
  <c r="K62" i="7"/>
  <c r="L62" i="7"/>
  <c r="I62" i="7"/>
  <c r="D61" i="7"/>
  <c r="E61" i="7"/>
  <c r="C61" i="7"/>
  <c r="D60" i="7"/>
  <c r="E60" i="7"/>
  <c r="C60" i="7"/>
  <c r="B61" i="7"/>
  <c r="F61" i="7" s="1"/>
  <c r="G61" i="7" s="1"/>
  <c r="H61" i="7" s="1"/>
  <c r="B60" i="7"/>
  <c r="U50" i="7"/>
  <c r="U41" i="7"/>
  <c r="T44" i="7"/>
  <c r="T45" i="7"/>
  <c r="T46" i="7"/>
  <c r="T47" i="7"/>
  <c r="T48" i="7"/>
  <c r="T49" i="7"/>
  <c r="S44" i="7"/>
  <c r="S45" i="7"/>
  <c r="S46" i="7"/>
  <c r="S47" i="7"/>
  <c r="S48" i="7"/>
  <c r="S49" i="7"/>
  <c r="T43" i="7"/>
  <c r="S43" i="7"/>
  <c r="T50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27" i="7"/>
  <c r="T41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27" i="7"/>
  <c r="Q50" i="7"/>
  <c r="Q41" i="7"/>
  <c r="P50" i="7"/>
  <c r="P41" i="7"/>
  <c r="J5" i="7"/>
  <c r="K5" i="7"/>
  <c r="L5" i="7"/>
  <c r="I5" i="7"/>
  <c r="F36" i="7"/>
  <c r="H36" i="7"/>
  <c r="J36" i="7"/>
  <c r="K36" i="7"/>
  <c r="L36" i="7"/>
  <c r="I36" i="7"/>
  <c r="G5" i="7"/>
  <c r="G28" i="7"/>
  <c r="G29" i="7"/>
  <c r="G30" i="7"/>
  <c r="G31" i="7"/>
  <c r="G32" i="7"/>
  <c r="G33" i="7"/>
  <c r="G34" i="7"/>
  <c r="G35" i="7"/>
  <c r="G27" i="7"/>
  <c r="B28" i="7"/>
  <c r="B29" i="7"/>
  <c r="B30" i="7"/>
  <c r="B31" i="7"/>
  <c r="B32" i="7"/>
  <c r="B33" i="7"/>
  <c r="B34" i="7"/>
  <c r="B35" i="7"/>
  <c r="B27" i="7"/>
  <c r="M22" i="10"/>
  <c r="M2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3" i="10"/>
  <c r="N2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3" i="9"/>
  <c r="M22" i="9"/>
  <c r="M2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3" i="9"/>
  <c r="L4" i="9"/>
  <c r="M4" i="9" s="1"/>
  <c r="L5" i="9"/>
  <c r="M5" i="9" s="1"/>
  <c r="L6" i="9"/>
  <c r="M6" i="9" s="1"/>
  <c r="L7" i="9"/>
  <c r="L8" i="9"/>
  <c r="L9" i="9"/>
  <c r="L10" i="9"/>
  <c r="L11" i="9"/>
  <c r="M11" i="9" s="1"/>
  <c r="L12" i="9"/>
  <c r="M12" i="9" s="1"/>
  <c r="L13" i="9"/>
  <c r="M13" i="9" s="1"/>
  <c r="L14" i="9"/>
  <c r="M14" i="9" s="1"/>
  <c r="L15" i="9"/>
  <c r="L16" i="9"/>
  <c r="L17" i="9"/>
  <c r="L18" i="9"/>
  <c r="L19" i="9"/>
  <c r="M19" i="9" s="1"/>
  <c r="L20" i="9"/>
  <c r="M20" i="9" s="1"/>
  <c r="L21" i="9"/>
  <c r="M21" i="9" s="1"/>
  <c r="L22" i="9"/>
  <c r="L3" i="9"/>
  <c r="M7" i="9"/>
  <c r="M8" i="9"/>
  <c r="M9" i="9"/>
  <c r="M15" i="9"/>
  <c r="M16" i="9"/>
  <c r="M17" i="9"/>
  <c r="M18" i="9"/>
  <c r="M3" i="9"/>
  <c r="H23" i="10"/>
  <c r="I23" i="10" s="1"/>
  <c r="G23" i="10"/>
  <c r="L22" i="10"/>
  <c r="K22" i="10"/>
  <c r="J22" i="10"/>
  <c r="I22" i="10"/>
  <c r="J21" i="10"/>
  <c r="I21" i="10"/>
  <c r="L21" i="10" s="1"/>
  <c r="L20" i="10"/>
  <c r="K20" i="10"/>
  <c r="J20" i="10"/>
  <c r="I20" i="10"/>
  <c r="J19" i="10"/>
  <c r="I19" i="10"/>
  <c r="L19" i="10" s="1"/>
  <c r="L18" i="10"/>
  <c r="K18" i="10"/>
  <c r="J18" i="10"/>
  <c r="I18" i="10"/>
  <c r="J17" i="10"/>
  <c r="I17" i="10"/>
  <c r="L17" i="10" s="1"/>
  <c r="L16" i="10"/>
  <c r="K16" i="10"/>
  <c r="J16" i="10"/>
  <c r="I16" i="10"/>
  <c r="J15" i="10"/>
  <c r="I15" i="10"/>
  <c r="L15" i="10" s="1"/>
  <c r="L14" i="10"/>
  <c r="K14" i="10"/>
  <c r="J14" i="10"/>
  <c r="I14" i="10"/>
  <c r="J13" i="10"/>
  <c r="I13" i="10"/>
  <c r="L13" i="10" s="1"/>
  <c r="L12" i="10"/>
  <c r="K12" i="10"/>
  <c r="J12" i="10"/>
  <c r="I12" i="10"/>
  <c r="J11" i="10"/>
  <c r="I11" i="10"/>
  <c r="L11" i="10" s="1"/>
  <c r="L10" i="10"/>
  <c r="K10" i="10"/>
  <c r="J10" i="10"/>
  <c r="I10" i="10"/>
  <c r="J9" i="10"/>
  <c r="I9" i="10"/>
  <c r="L9" i="10" s="1"/>
  <c r="L8" i="10"/>
  <c r="K8" i="10"/>
  <c r="J8" i="10"/>
  <c r="I8" i="10"/>
  <c r="J7" i="10"/>
  <c r="I7" i="10"/>
  <c r="L7" i="10" s="1"/>
  <c r="L6" i="10"/>
  <c r="K6" i="10"/>
  <c r="J6" i="10"/>
  <c r="I6" i="10"/>
  <c r="J5" i="10"/>
  <c r="I5" i="10"/>
  <c r="L5" i="10" s="1"/>
  <c r="L4" i="10"/>
  <c r="K4" i="10"/>
  <c r="J4" i="10"/>
  <c r="I4" i="10"/>
  <c r="J3" i="10"/>
  <c r="I3" i="10"/>
  <c r="L3" i="10" s="1"/>
  <c r="H23" i="9"/>
  <c r="G23" i="9"/>
  <c r="I15" i="9"/>
  <c r="I16" i="9"/>
  <c r="I21" i="9"/>
  <c r="I20" i="9"/>
  <c r="I14" i="9"/>
  <c r="I17" i="9"/>
  <c r="I3" i="9"/>
  <c r="J3" i="9" s="1"/>
  <c r="I13" i="9"/>
  <c r="I12" i="9"/>
  <c r="J12" i="9" s="1"/>
  <c r="I11" i="9"/>
  <c r="I19" i="9"/>
  <c r="I10" i="9"/>
  <c r="J10" i="9" s="1"/>
  <c r="I9" i="9"/>
  <c r="I8" i="9"/>
  <c r="I7" i="9"/>
  <c r="J7" i="9" s="1"/>
  <c r="I6" i="9"/>
  <c r="I22" i="9"/>
  <c r="J22" i="9" s="1"/>
  <c r="I5" i="9"/>
  <c r="I18" i="9"/>
  <c r="I4" i="9"/>
  <c r="E2" i="8"/>
  <c r="D3" i="8"/>
  <c r="E3" i="8" s="1"/>
  <c r="D4" i="8"/>
  <c r="E4" i="8" s="1"/>
  <c r="D5" i="8"/>
  <c r="E5" i="8" s="1"/>
  <c r="D6" i="8"/>
  <c r="E6" i="8" s="1"/>
  <c r="D7" i="8"/>
  <c r="E7" i="8" s="1"/>
  <c r="D2" i="8"/>
  <c r="J23" i="2"/>
  <c r="K23" i="2" s="1"/>
  <c r="I23" i="2"/>
  <c r="L9" i="2"/>
  <c r="L10" i="2"/>
  <c r="L11" i="2"/>
  <c r="L17" i="2"/>
  <c r="L19" i="2"/>
  <c r="O4" i="2"/>
  <c r="O7" i="2"/>
  <c r="O12" i="2"/>
  <c r="O13" i="2"/>
  <c r="O14" i="2"/>
  <c r="O15" i="2"/>
  <c r="O21" i="2"/>
  <c r="O3" i="2"/>
  <c r="N9" i="2"/>
  <c r="N10" i="2"/>
  <c r="N11" i="2"/>
  <c r="N17" i="2"/>
  <c r="N19" i="2"/>
  <c r="M4" i="2"/>
  <c r="M7" i="2"/>
  <c r="M12" i="2"/>
  <c r="M13" i="2"/>
  <c r="M14" i="2"/>
  <c r="M15" i="2"/>
  <c r="M21" i="2"/>
  <c r="M3" i="2"/>
  <c r="K3" i="2"/>
  <c r="L3" i="2" s="1"/>
  <c r="K5" i="2"/>
  <c r="L5" i="2" s="1"/>
  <c r="K7" i="2"/>
  <c r="L7" i="2" s="1"/>
  <c r="K8" i="2"/>
  <c r="O8" i="2" s="1"/>
  <c r="K9" i="2"/>
  <c r="O9" i="2" s="1"/>
  <c r="K10" i="2"/>
  <c r="O10" i="2" s="1"/>
  <c r="K11" i="2"/>
  <c r="O11" i="2" s="1"/>
  <c r="K13" i="2"/>
  <c r="L13" i="2" s="1"/>
  <c r="K14" i="2"/>
  <c r="L14" i="2" s="1"/>
  <c r="K15" i="2"/>
  <c r="L15" i="2" s="1"/>
  <c r="K18" i="2"/>
  <c r="L18" i="2" s="1"/>
  <c r="K22" i="2"/>
  <c r="M22" i="2" s="1"/>
  <c r="K21" i="2"/>
  <c r="L21" i="2" s="1"/>
  <c r="K17" i="2"/>
  <c r="O17" i="2" s="1"/>
  <c r="K4" i="2"/>
  <c r="L4" i="2" s="1"/>
  <c r="K12" i="2"/>
  <c r="L12" i="2" s="1"/>
  <c r="K19" i="2"/>
  <c r="O19" i="2" s="1"/>
  <c r="K20" i="2"/>
  <c r="L20" i="2" s="1"/>
  <c r="K6" i="2"/>
  <c r="O6" i="2" s="1"/>
  <c r="K16" i="2"/>
  <c r="O16" i="2" s="1"/>
  <c r="A1" i="6" a="1"/>
  <c r="A1" i="6" s="1"/>
  <c r="G2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3" i="3"/>
  <c r="F2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D3" i="3" a="1"/>
  <c r="D3" i="3" s="1"/>
  <c r="C3" i="3" a="1"/>
  <c r="C3" i="3" s="1"/>
  <c r="C23" i="3" s="1"/>
  <c r="B3" i="3" a="1"/>
  <c r="B3" i="3" s="1"/>
  <c r="A3" i="3" a="1"/>
  <c r="A3" i="3" s="1"/>
  <c r="P4" i="4"/>
  <c r="P6" i="4"/>
  <c r="P8" i="4"/>
  <c r="P9" i="4"/>
  <c r="P10" i="4"/>
  <c r="P11" i="4"/>
  <c r="P12" i="4"/>
  <c r="P14" i="4"/>
  <c r="P15" i="4"/>
  <c r="P16" i="4"/>
  <c r="P19" i="4"/>
  <c r="P23" i="4"/>
  <c r="P22" i="4"/>
  <c r="P18" i="4"/>
  <c r="P5" i="4"/>
  <c r="P13" i="4"/>
  <c r="P20" i="4"/>
  <c r="P21" i="4"/>
  <c r="P7" i="4"/>
  <c r="P17" i="4"/>
  <c r="O4" i="4"/>
  <c r="O6" i="4"/>
  <c r="O8" i="4"/>
  <c r="O9" i="4"/>
  <c r="O10" i="4"/>
  <c r="O11" i="4"/>
  <c r="O12" i="4"/>
  <c r="O14" i="4"/>
  <c r="O15" i="4"/>
  <c r="O16" i="4"/>
  <c r="O19" i="4"/>
  <c r="O23" i="4"/>
  <c r="O22" i="4"/>
  <c r="O18" i="4"/>
  <c r="O5" i="4"/>
  <c r="O13" i="4"/>
  <c r="O20" i="4"/>
  <c r="O21" i="4"/>
  <c r="O7" i="4"/>
  <c r="O17" i="4"/>
  <c r="N4" i="4"/>
  <c r="N6" i="4"/>
  <c r="N8" i="4"/>
  <c r="N9" i="4"/>
  <c r="N10" i="4"/>
  <c r="N11" i="4"/>
  <c r="N12" i="4"/>
  <c r="N14" i="4"/>
  <c r="N15" i="4"/>
  <c r="N16" i="4"/>
  <c r="N19" i="4"/>
  <c r="N23" i="4"/>
  <c r="N22" i="4"/>
  <c r="N18" i="4"/>
  <c r="N5" i="4"/>
  <c r="N13" i="4"/>
  <c r="N20" i="4"/>
  <c r="N21" i="4"/>
  <c r="N7" i="4"/>
  <c r="N17" i="4"/>
  <c r="F5" i="18" l="1"/>
  <c r="F7" i="18" s="1"/>
  <c r="G5" i="18"/>
  <c r="G4" i="18"/>
  <c r="G3" i="18"/>
  <c r="G2" i="18"/>
  <c r="C11" i="18"/>
  <c r="L18" i="18"/>
  <c r="D5" i="14"/>
  <c r="F5" i="14" s="1"/>
  <c r="G5" i="14" s="1"/>
  <c r="G6" i="14" s="1"/>
  <c r="G7" i="14" s="1"/>
  <c r="D6" i="14"/>
  <c r="F6" i="14" s="1"/>
  <c r="D7" i="14"/>
  <c r="F7" i="14" s="1"/>
  <c r="D10" i="14"/>
  <c r="F10" i="14" s="1"/>
  <c r="D9" i="14"/>
  <c r="D3" i="14"/>
  <c r="E3" i="14"/>
  <c r="D8" i="14"/>
  <c r="F8" i="14" s="1"/>
  <c r="E9" i="14"/>
  <c r="D11" i="14"/>
  <c r="F11" i="14" s="1"/>
  <c r="D9" i="11"/>
  <c r="F9" i="11" s="1"/>
  <c r="D5" i="11"/>
  <c r="F5" i="11" s="1"/>
  <c r="D3" i="11"/>
  <c r="F3" i="11" s="1"/>
  <c r="E3" i="11"/>
  <c r="E10" i="11"/>
  <c r="E11" i="11"/>
  <c r="E5" i="11"/>
  <c r="E7" i="11"/>
  <c r="E8" i="11"/>
  <c r="E23" i="13"/>
  <c r="F60" i="7"/>
  <c r="G60" i="7" s="1"/>
  <c r="B62" i="7"/>
  <c r="S50" i="7"/>
  <c r="S41" i="7"/>
  <c r="O22" i="2"/>
  <c r="M5" i="2"/>
  <c r="M23" i="2" s="1"/>
  <c r="F3" i="8" s="1"/>
  <c r="G3" i="8" s="1"/>
  <c r="O5" i="2"/>
  <c r="O23" i="2" s="1"/>
  <c r="M20" i="2"/>
  <c r="N16" i="2"/>
  <c r="O20" i="2"/>
  <c r="M19" i="2"/>
  <c r="M11" i="2"/>
  <c r="N3" i="2"/>
  <c r="N15" i="2"/>
  <c r="N7" i="2"/>
  <c r="M6" i="2"/>
  <c r="M18" i="2"/>
  <c r="M10" i="2"/>
  <c r="N22" i="2"/>
  <c r="N14" i="2"/>
  <c r="N6" i="2"/>
  <c r="O18" i="2"/>
  <c r="L22" i="2"/>
  <c r="L6" i="2"/>
  <c r="L23" i="2" s="1"/>
  <c r="F2" i="8" s="1"/>
  <c r="G2" i="8" s="1"/>
  <c r="L8" i="2"/>
  <c r="M17" i="2"/>
  <c r="M9" i="2"/>
  <c r="N21" i="2"/>
  <c r="N13" i="2"/>
  <c r="N5" i="2"/>
  <c r="N18" i="2"/>
  <c r="N8" i="2"/>
  <c r="L16" i="2"/>
  <c r="M16" i="2"/>
  <c r="M8" i="2"/>
  <c r="N20" i="2"/>
  <c r="N12" i="2"/>
  <c r="N4" i="2"/>
  <c r="B4" i="7" s="1"/>
  <c r="F4" i="7" s="1"/>
  <c r="G4" i="7" s="1"/>
  <c r="H4" i="7" s="1"/>
  <c r="J23" i="10"/>
  <c r="L23" i="10"/>
  <c r="K3" i="10"/>
  <c r="K5" i="10"/>
  <c r="K7" i="10"/>
  <c r="K9" i="10"/>
  <c r="K11" i="10"/>
  <c r="K13" i="10"/>
  <c r="K15" i="10"/>
  <c r="K17" i="10"/>
  <c r="K19" i="10"/>
  <c r="K21" i="10"/>
  <c r="I23" i="9"/>
  <c r="J4" i="9"/>
  <c r="J9" i="9"/>
  <c r="J17" i="9"/>
  <c r="J21" i="9"/>
  <c r="J14" i="9"/>
  <c r="J20" i="9"/>
  <c r="J5" i="9"/>
  <c r="J11" i="9"/>
  <c r="J16" i="9"/>
  <c r="J6" i="9"/>
  <c r="J13" i="9"/>
  <c r="J18" i="9"/>
  <c r="J19" i="9"/>
  <c r="J8" i="9"/>
  <c r="J15" i="9"/>
  <c r="F7" i="8"/>
  <c r="G7" i="8" s="1"/>
  <c r="F6" i="8"/>
  <c r="G6" i="8" s="1"/>
  <c r="H7" i="18" l="1"/>
  <c r="I7" i="18"/>
  <c r="F6" i="18"/>
  <c r="F9" i="14"/>
  <c r="F3" i="14"/>
  <c r="G8" i="14"/>
  <c r="G9" i="14" s="1"/>
  <c r="G10" i="14" s="1"/>
  <c r="G11" i="14" s="1"/>
  <c r="F62" i="7"/>
  <c r="H60" i="7"/>
  <c r="H62" i="7" s="1"/>
  <c r="G62" i="7"/>
  <c r="N23" i="2"/>
  <c r="B3" i="7"/>
  <c r="F3" i="7" s="1"/>
  <c r="B36" i="7"/>
  <c r="G36" i="7"/>
  <c r="K23" i="10"/>
  <c r="J23" i="9"/>
  <c r="L23" i="9"/>
  <c r="K23" i="9"/>
  <c r="I6" i="18" l="1"/>
  <c r="C2" i="19" s="1" a="1"/>
  <c r="H6" i="18"/>
  <c r="B2" i="19" s="1" a="1"/>
  <c r="B5" i="7"/>
  <c r="G3" i="7"/>
  <c r="F5" i="7"/>
  <c r="F4" i="8" s="1"/>
  <c r="G4" i="8" s="1"/>
  <c r="B2" i="19" l="1"/>
  <c r="F2" i="19" s="1"/>
  <c r="F7" i="19"/>
  <c r="F6" i="19"/>
  <c r="F9" i="19"/>
  <c r="F5" i="19"/>
  <c r="H5" i="19" s="1"/>
  <c r="F11" i="19"/>
  <c r="H11" i="19" s="1"/>
  <c r="F12" i="19"/>
  <c r="H12" i="19" s="1"/>
  <c r="F4" i="19"/>
  <c r="H4" i="19" s="1"/>
  <c r="F8" i="19"/>
  <c r="F3" i="19"/>
  <c r="F10" i="19"/>
  <c r="H10" i="19" s="1"/>
  <c r="C2" i="19"/>
  <c r="G2" i="19" s="1"/>
  <c r="G9" i="19"/>
  <c r="G5" i="19"/>
  <c r="G11" i="19"/>
  <c r="G6" i="19"/>
  <c r="G4" i="19"/>
  <c r="G7" i="19"/>
  <c r="G10" i="19"/>
  <c r="G8" i="19"/>
  <c r="G3" i="19"/>
  <c r="G12" i="19"/>
  <c r="H3" i="7"/>
  <c r="H5" i="7" s="1"/>
  <c r="F5" i="8" s="1"/>
  <c r="G5" i="8" s="1"/>
  <c r="C9" i="18"/>
  <c r="H6" i="19" l="1"/>
  <c r="H9" i="19"/>
  <c r="H3" i="19"/>
  <c r="H7" i="19"/>
  <c r="H8" i="19"/>
  <c r="H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<sst xmlns="http://schemas.openxmlformats.org/spreadsheetml/2006/main" count="601" uniqueCount="295">
  <si>
    <t xml:space="preserve">Water Stress Index </t>
  </si>
  <si>
    <t>1999-2018 [m3]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</si>
  <si>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</si>
  <si>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</si>
  <si>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</si>
  <si>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</si>
  <si>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</si>
  <si>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</si>
  <si>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</si>
  <si>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</si>
  <si>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</si>
  <si>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</si>
  <si>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</si>
  <si>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</si>
  <si>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 xml:space="preserve">Irrigation </t>
  </si>
  <si>
    <t>Livestock</t>
  </si>
  <si>
    <t>Q347</t>
  </si>
  <si>
    <t>Civic water use</t>
  </si>
  <si>
    <t>2061-2080 [m3]</t>
  </si>
  <si>
    <t>Quelle</t>
  </si>
  <si>
    <t>arealstatistik</t>
  </si>
  <si>
    <t>bfs_landwirtschaft</t>
  </si>
  <si>
    <t>kombo</t>
  </si>
  <si>
    <t>Kt. Bern, Lk 2023</t>
  </si>
  <si>
    <t>KULTURT_KU</t>
  </si>
  <si>
    <t>Hecken-, Feld- und Ufergehölze (mit Krautsaum)</t>
  </si>
  <si>
    <t>Weiden (Heimweiden, übrige Weiden ohne Sömmerungsweiden)</t>
  </si>
  <si>
    <t>Unbefestigte, natürliche Wege</t>
  </si>
  <si>
    <t>Andere Bäume (regionsspezifische Biodiversitätsförderfläche)</t>
  </si>
  <si>
    <t>Kunstwiesen (ohne Weiden)</t>
  </si>
  <si>
    <t>Übrige Kulturen in geschütztem Anbau ohne festes Fundament, beitragsberechtigt</t>
  </si>
  <si>
    <t>Landwirtschaftliche Produktion in Gebäuden (z. B. Champignon, Brüsseler)</t>
  </si>
  <si>
    <t>Einheimische standortgerechte Einzelbäume und Alleen (Punkte oder Flächen)</t>
  </si>
  <si>
    <t>Wintergerste</t>
  </si>
  <si>
    <t>Sorghum zur Nutzung ganze Pflanze</t>
  </si>
  <si>
    <t>Ackerbohnen zu Futterzwecken</t>
  </si>
  <si>
    <t>Sommergerste</t>
  </si>
  <si>
    <t>Übrige Flächen mit Dauerkulturen, beitragsberechtigt</t>
  </si>
  <si>
    <t>Übrige Flächen innerhalb der LN, beitragsberechtigt</t>
  </si>
  <si>
    <t>Blühstreifen für Bestäuber und andere Nützlinge</t>
  </si>
  <si>
    <t>Mehrjährige Beeren</t>
  </si>
  <si>
    <t>Mischel Futtergetreide</t>
  </si>
  <si>
    <t>Übrige unproduktive Flächen (z.B. gemulchte Flächen, stark verunkrautete Flächen, Hecken ohne Pufferstreifen)</t>
  </si>
  <si>
    <t>Obstanlagen (Steinobst)</t>
  </si>
  <si>
    <t>Wald</t>
  </si>
  <si>
    <t>Regionsspezifische Biodiversitätsförderflächen</t>
  </si>
  <si>
    <t>Hausgärten</t>
  </si>
  <si>
    <t>Übrige Flächen innerhalb der LN, nicht beitragsberechtigt</t>
  </si>
  <si>
    <t>Silo- und Grünmais</t>
  </si>
  <si>
    <t>Saum auf Ackerflächen</t>
  </si>
  <si>
    <t>Gemüsekulturen in geschütztem Anbau ohne festes Fundament; im gewachsenen Boden</t>
  </si>
  <si>
    <t>Eiweisserbsen zu Futterzwecken</t>
  </si>
  <si>
    <t>Körnermais</t>
  </si>
  <si>
    <t>Zuckerrüben</t>
  </si>
  <si>
    <t>Winterweizen (ohne Futterweizen der Sortenliste swiss granum)</t>
  </si>
  <si>
    <t>Pflanzkartoffeln (Vertragsanbau)</t>
  </si>
  <si>
    <t>Flächen ohne landwirtschaftliche Hauptzweckbestimmung (erschlossenes Bauland, Spiel-, Reit-, Camping-, Golf-, Flug- und Militärplätze oder ausgemarchte Bereiche von Eisenbahnen, öffentlichen Strassen und Gewässern)</t>
  </si>
  <si>
    <t>Hecken-, Feld- und Ufergehölze (mit Pufferstreifen)</t>
  </si>
  <si>
    <t>Uferwiesen (ohne Weiden)</t>
  </si>
  <si>
    <t>Extensiv genutzte Wiesen (ohne Weiden)</t>
  </si>
  <si>
    <t>Extensiv genutzte Weiden</t>
  </si>
  <si>
    <t>Winterraps zur Speiseölgewinnung</t>
  </si>
  <si>
    <t>Christbäume</t>
  </si>
  <si>
    <t>Sommerweizen (ohne Futterweizen der Sortenliste swiss granum)</t>
  </si>
  <si>
    <t>Übrige Flächen ausserhalb der LN und SF</t>
  </si>
  <si>
    <t>Triticale</t>
  </si>
  <si>
    <t>Sömmerungsweiden</t>
  </si>
  <si>
    <t>Heuwiesen im Sömmerungsgebiet, Übrige Wiesen</t>
  </si>
  <si>
    <t>Futterweizen gemäss Sortenliste swiss granum</t>
  </si>
  <si>
    <t>Hecken-, Feld- und Ufergehölze (mit Pufferstreifen) (regionsspezifische Biodiversitätsförderfläche)</t>
  </si>
  <si>
    <t>Hirse zur Körnergewinnung</t>
  </si>
  <si>
    <t>Hafer</t>
  </si>
  <si>
    <t>Übrige offene Ackerfläche, beitragsberechtigt</t>
  </si>
  <si>
    <t>Trüffelanlagen</t>
  </si>
  <si>
    <t>Mehrjährige Gewürz- und Medizinalpflanzen</t>
  </si>
  <si>
    <t>Mischungen von Ackerbohnen, Eiweisserbsen und Lupinen zu Futterzwecken mit Getreide, mindestens 30% Anteil Leguminosen bei der Ernte</t>
  </si>
  <si>
    <t>Futterrüben</t>
  </si>
  <si>
    <t>Obstanlagen (Birnen)</t>
  </si>
  <si>
    <t>Übrige Spezialkulturen in Gewächshäusern mit festem Fundament</t>
  </si>
  <si>
    <t>Wenig intensiv genutzte Wiesen (ohne Weiden)</t>
  </si>
  <si>
    <t>Andere Obstanlagen (Kiwis, Holunder usw.)</t>
  </si>
  <si>
    <t>Einjährige Gewürz- und Medizinalpflanzen</t>
  </si>
  <si>
    <t>Übrige Dauerwiesen (ohne Weiden)</t>
  </si>
  <si>
    <t>Reben</t>
  </si>
  <si>
    <t>Dinkel</t>
  </si>
  <si>
    <t>Einjährige Freilandgemüse, ohne Konservengemüse</t>
  </si>
  <si>
    <t>Roggen</t>
  </si>
  <si>
    <t>Quinoa</t>
  </si>
  <si>
    <t>Wassergräben, Tümpel, Teiche</t>
  </si>
  <si>
    <t>Nussbäume (Punkte oder Flächen)</t>
  </si>
  <si>
    <t>Permakultur</t>
  </si>
  <si>
    <t>Streueflächen in der LN</t>
  </si>
  <si>
    <t>Spargel</t>
  </si>
  <si>
    <t>Ruderalflächen, Steinhaufen und -wälle</t>
  </si>
  <si>
    <t>Kartoffeln</t>
  </si>
  <si>
    <t>Übrige Kunstwiese, beitragsberechtigt (z.B. Schweineweide, Geflügelweide)</t>
  </si>
  <si>
    <t>Übrige Grünfläche (Dauergrünflächen), nicht beitragsberechtigt</t>
  </si>
  <si>
    <t>Einjährige Beeren (z.B. Erdbeeren)</t>
  </si>
  <si>
    <t>Freiland-Konservengemüse</t>
  </si>
  <si>
    <t>Lupinen zu Futterzwecken</t>
  </si>
  <si>
    <t>Übrige offene Ackerfläche, nicht beitragsberechtigt</t>
  </si>
  <si>
    <t>Übrige Grünfläche (Dauergrünfläche), beitragsberechtigt</t>
  </si>
  <si>
    <t>Obstanlagen (Äpfel)</t>
  </si>
  <si>
    <t>Hanf zur Nutzung der Samen</t>
  </si>
  <si>
    <t>Übrige Spezialkulturen in geschütztem Anbau ohne festes Fundament</t>
  </si>
  <si>
    <t>Regionsspezifische Biodiversitätsförderflächen (Weiden)</t>
  </si>
  <si>
    <t>Waldweiden (ohne bewaldete Fläche)</t>
  </si>
  <si>
    <t>Hochstamm-Feldobstbäume (Punkte oder Flächen)</t>
  </si>
  <si>
    <t>Soja</t>
  </si>
  <si>
    <t>Getreide siliert</t>
  </si>
  <si>
    <t>Rotationsbrache</t>
  </si>
  <si>
    <t>Emmer, Einkorn</t>
  </si>
  <si>
    <t>Sonnenblumen zur Speiseölgewinnung</t>
  </si>
  <si>
    <t>Einjährige gärtnerische Freilandkulturen (Blumen, Rollrasen usw.)</t>
  </si>
  <si>
    <t>Buntbrache</t>
  </si>
  <si>
    <t>Gemeinde</t>
  </si>
  <si>
    <t>BFS-Nr.</t>
  </si>
  <si>
    <t>area_lw in ctm [h]</t>
  </si>
  <si>
    <t>lw_in_ctm [%]</t>
  </si>
  <si>
    <t>lw_total 2022 [h]</t>
  </si>
  <si>
    <t>area_lw_in_ctm [h]</t>
  </si>
  <si>
    <t>diff [%]</t>
  </si>
  <si>
    <t>area in ctm total [h]</t>
  </si>
  <si>
    <t>area in ctm no overlaps [h]</t>
  </si>
  <si>
    <t>GEMNAME</t>
  </si>
  <si>
    <t>Belp</t>
  </si>
  <si>
    <t>Blumenstein</t>
  </si>
  <si>
    <t>Burgistein</t>
  </si>
  <si>
    <t>Forst-Längenbühl</t>
  </si>
  <si>
    <t>Gerzensee</t>
  </si>
  <si>
    <t>Gurzelen</t>
  </si>
  <si>
    <t>Kaufdorf</t>
  </si>
  <si>
    <t>Kirchdorf (BE)</t>
  </si>
  <si>
    <t>Niedermuhlern</t>
  </si>
  <si>
    <t>Pohlern</t>
  </si>
  <si>
    <t>Riggisberg</t>
  </si>
  <si>
    <t>Rüeggisberg</t>
  </si>
  <si>
    <t>Seftigen</t>
  </si>
  <si>
    <t>Stocken-Höfen</t>
  </si>
  <si>
    <t>Thurnen</t>
  </si>
  <si>
    <t>Toffen</t>
  </si>
  <si>
    <t>Uebeschi</t>
  </si>
  <si>
    <t>Uetendorf</t>
  </si>
  <si>
    <t>Wald (BE)</t>
  </si>
  <si>
    <t>Wattenwil</t>
  </si>
  <si>
    <t>Total</t>
  </si>
  <si>
    <t>Total agricultural area:</t>
  </si>
  <si>
    <t>xxx</t>
  </si>
  <si>
    <t xml:space="preserve">Achtung auf Timestep!! </t>
  </si>
  <si>
    <t>Culture type</t>
  </si>
  <si>
    <t>area [m</t>
  </si>
  <si>
    <t xml:space="preserve">Data needed: </t>
  </si>
  <si>
    <t>status</t>
  </si>
  <si>
    <t>cropping patterns</t>
  </si>
  <si>
    <t>Kc-values</t>
  </si>
  <si>
    <t>Für jede Gemeinde bestimmen, wieviel % der LW-Fläche in Gürbe EZG liegt</t>
  </si>
  <si>
    <t>inside catchment</t>
  </si>
  <si>
    <t>outside catchment</t>
  </si>
  <si>
    <t>percentage of agri-area in catchment</t>
  </si>
  <si>
    <t>AS18_4</t>
  </si>
  <si>
    <t>GMDE</t>
  </si>
  <si>
    <t>GMDE_nam</t>
  </si>
  <si>
    <t>kat_2</t>
  </si>
  <si>
    <t>kat_1</t>
  </si>
  <si>
    <t>Kirchdorf</t>
  </si>
  <si>
    <t xml:space="preserve">Gemeinde </t>
  </si>
  <si>
    <t>Verwaltungskreis</t>
  </si>
  <si>
    <t>Bern-Mittelland</t>
  </si>
  <si>
    <t>Thun</t>
  </si>
  <si>
    <t>Nummer</t>
  </si>
  <si>
    <t>AS_alle</t>
  </si>
  <si>
    <t>AS_in_EZG</t>
  </si>
  <si>
    <t>Faktor</t>
  </si>
  <si>
    <t>2019-2030</t>
  </si>
  <si>
    <t>2030-40</t>
  </si>
  <si>
    <t>2040-50</t>
  </si>
  <si>
    <t>Einwohnende 2019</t>
  </si>
  <si>
    <t>Entwicklung in %</t>
  </si>
  <si>
    <t>Entwicklung in EZG</t>
  </si>
  <si>
    <t>Reg.-Gerade</t>
  </si>
  <si>
    <t>m</t>
  </si>
  <si>
    <t>y</t>
  </si>
  <si>
    <t>Year</t>
  </si>
  <si>
    <t>Einwohnende 1990</t>
  </si>
  <si>
    <t>Einwohnende 2010</t>
  </si>
  <si>
    <t>Einwohnerzahlen (ganzes Gemeindegebiet)</t>
  </si>
  <si>
    <t>Anteil EW in EZG</t>
  </si>
  <si>
    <t>Einwohner in EZG</t>
  </si>
  <si>
    <t>Einwohnende (2022</t>
  </si>
  <si>
    <t>Gemeindeinformationen</t>
  </si>
  <si>
    <t>residents</t>
  </si>
  <si>
    <t>type_data</t>
  </si>
  <si>
    <t>obs</t>
  </si>
  <si>
    <t>mod</t>
  </si>
  <si>
    <t>extrapolated</t>
  </si>
  <si>
    <t>VZÄ 2. Sektor</t>
  </si>
  <si>
    <t>X</t>
  </si>
  <si>
    <t>VZÄ 3. Sektor</t>
  </si>
  <si>
    <t>VZÄ</t>
  </si>
  <si>
    <t>VZÄ in EZG</t>
  </si>
  <si>
    <t>Wachstum</t>
  </si>
  <si>
    <t>2011-2020</t>
  </si>
  <si>
    <t>Anteil am Wachstum Erwerbstätige</t>
  </si>
  <si>
    <t>Anteil am Rückgang Erwerbstätige</t>
  </si>
  <si>
    <t>Raumtyp</t>
  </si>
  <si>
    <t>RM-AE</t>
  </si>
  <si>
    <t>T-AE</t>
  </si>
  <si>
    <t>T-ZL</t>
  </si>
  <si>
    <t>RM-ZL</t>
  </si>
  <si>
    <t>RM-HB</t>
  </si>
  <si>
    <t>RM-UK</t>
  </si>
  <si>
    <t>T-UK</t>
  </si>
  <si>
    <t>T-HB</t>
  </si>
  <si>
    <t>Entwicklung in % gm. GVM Kt. Bern</t>
  </si>
  <si>
    <t>2019-2040</t>
  </si>
  <si>
    <t>Gerade</t>
  </si>
  <si>
    <t>Spiez</t>
  </si>
  <si>
    <t>Steffisburg</t>
  </si>
  <si>
    <t>Bern</t>
  </si>
  <si>
    <t>Ittigen</t>
  </si>
  <si>
    <t>Köniz</t>
  </si>
  <si>
    <t>Münchenbuchsee</t>
  </si>
  <si>
    <t>Münsingen</t>
  </si>
  <si>
    <t>Muri bei Bern</t>
  </si>
  <si>
    <t>Ostermundigen</t>
  </si>
  <si>
    <t>Worb</t>
  </si>
  <si>
    <t>Zollikofen</t>
  </si>
  <si>
    <t>in EZG</t>
  </si>
  <si>
    <t>ganze Region</t>
  </si>
  <si>
    <t>Wachstum gesamt</t>
  </si>
  <si>
    <t>Gewichtetes Wachstum</t>
  </si>
  <si>
    <t>EZG</t>
  </si>
  <si>
    <t>Ganze Region</t>
  </si>
  <si>
    <t>Koeffizient</t>
  </si>
  <si>
    <t>Jahr</t>
  </si>
  <si>
    <t>EW_EZG</t>
  </si>
  <si>
    <t>Änd_EW</t>
  </si>
  <si>
    <t>NA</t>
  </si>
  <si>
    <t>Mittelwert_Aenderung</t>
  </si>
  <si>
    <t>Beschäftigte_EZG</t>
  </si>
  <si>
    <t>Besch. 2. Sektor</t>
  </si>
  <si>
    <t>Besch. 3. Sektor</t>
  </si>
  <si>
    <t>Änd_Besch</t>
  </si>
  <si>
    <t>Typ Erstellung</t>
  </si>
  <si>
    <t>interpolated</t>
  </si>
  <si>
    <t>model</t>
  </si>
  <si>
    <t>third_sect_fte</t>
  </si>
  <si>
    <t>sec_sect_fte</t>
  </si>
  <si>
    <t>sec_y_water_need</t>
  </si>
  <si>
    <t>third_y_water_need</t>
  </si>
  <si>
    <t>sec_monthly_water_need_mm</t>
  </si>
  <si>
    <t>third_monthly_water_need_mm</t>
  </si>
  <si>
    <t>monthly_water_need_mm</t>
  </si>
  <si>
    <t>yearly_wn_cubicm</t>
  </si>
  <si>
    <t>daily_need_per_person_l</t>
  </si>
  <si>
    <t>yearly_need_per_person_l</t>
  </si>
  <si>
    <t>yearly_need_per_person_cubicm</t>
  </si>
  <si>
    <t>Faktor EZG</t>
  </si>
  <si>
    <t xml:space="preserve">Ganzer Kanton </t>
  </si>
  <si>
    <t>3. Sektor</t>
  </si>
  <si>
    <t>2. Sektor</t>
  </si>
  <si>
    <t>Anteil 2. Sektor (2020)</t>
  </si>
  <si>
    <t>Anteil Beschäftigenwachstum 2011-2019</t>
  </si>
  <si>
    <t>Anteil Bevölkerungswachstum 2019-2040</t>
  </si>
  <si>
    <t>Beschäftigte EZG</t>
  </si>
  <si>
    <t>Bevölkerung EZG</t>
  </si>
  <si>
    <t>Beschäftigte Kanton</t>
  </si>
  <si>
    <t>Bevölkerung Kanton</t>
  </si>
  <si>
    <t>VZÄ 2. Sektor EZG (2020)</t>
  </si>
  <si>
    <t>VZÄ 3. Sektor EZG (2020)</t>
  </si>
  <si>
    <t>VZÄ 2. Sektor EZG (2011)</t>
  </si>
  <si>
    <t>VZÄ 3. Sektor EZG (2011)</t>
  </si>
  <si>
    <t>Anteil 2. Sektor (2011)</t>
  </si>
  <si>
    <t>TOTAL Beschäftigte</t>
  </si>
  <si>
    <t>VZÄ EZG</t>
  </si>
  <si>
    <t xml:space="preserve">Quellen: </t>
  </si>
  <si>
    <t>NOGA</t>
  </si>
  <si>
    <t>Wachstum Beschäftigte EZG</t>
  </si>
  <si>
    <t>Wachstum Beschäftigte Kanton</t>
  </si>
  <si>
    <t>Wachstum Bevölkerung EZG</t>
  </si>
  <si>
    <t>Wachstum Bevölkerung Kanton</t>
  </si>
  <si>
    <t>VZÄ 2.SEKTOR</t>
  </si>
  <si>
    <t>VZÄ 3.SEKTOR</t>
  </si>
  <si>
    <t>Kanton Bern Sze</t>
  </si>
  <si>
    <t>Kanton Bern Obs</t>
  </si>
  <si>
    <t>HSS</t>
  </si>
  <si>
    <t>50-50 gewichteter Anteil</t>
  </si>
  <si>
    <t xml:space="preserve">Model GVK </t>
  </si>
  <si>
    <t>Wachstum VZÄ ganzer Kanton</t>
  </si>
  <si>
    <t>Anteil 2. Sektor</t>
  </si>
  <si>
    <t>total</t>
  </si>
  <si>
    <t>period</t>
  </si>
  <si>
    <t>1990-2019</t>
  </si>
  <si>
    <t>2020-2049</t>
  </si>
  <si>
    <t>2045-2074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</si>
</sst>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#\ ###\ ##0\ ;\-#\ ###\ ##0\ ;0\ ;@\ "/>
    <numFmt numFmtId="166" formatCode="0.0"/>
    <numFmt numFmtId="167" formatCode="#,##0.0"/>
    <numFmt numFmtId="168" formatCode="#\ ###\ ##0"/>
    <numFmt numFmtId="169" formatCode="#,##0.000"/>
    <numFmt numFmtId="170" formatCode="###\ ##0"/>
  </numFmts>
  <fonts count="1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.5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333333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1" fillId="0" borderId="0"/>
    <xf numFmtId="170" fontId="12" fillId="0" borderId="0" applyFont="0" applyFill="0" applyBorder="0" applyAlignment="0" applyProtection="0">
      <alignment vertical="center"/>
    </xf>
  </cellStyleXfs>
  <cellXfs count="123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1" xfId="0" applyFont="1" applyBorder="1"/>
    <xf numFmtId="1" fontId="0" fillId="0" borderId="0" xfId="0" applyNumberFormat="1"/>
    <xf numFmtId="0" fontId="5" fillId="0" borderId="0" xfId="0" applyFont="1"/>
    <xf numFmtId="0" fontId="0" fillId="0" borderId="1" xfId="0" applyBorder="1"/>
    <xf numFmtId="2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0" fontId="4" fillId="0" borderId="3" xfId="0" applyFont="1" applyBorder="1"/>
    <xf numFmtId="3" fontId="0" fillId="0" borderId="3" xfId="0" applyNumberFormat="1" applyBorder="1"/>
    <xf numFmtId="3" fontId="3" fillId="0" borderId="3" xfId="0" applyNumberFormat="1" applyFont="1" applyBorder="1"/>
    <xf numFmtId="1" fontId="0" fillId="0" borderId="3" xfId="0" applyNumberFormat="1" applyBorder="1"/>
    <xf numFmtId="0" fontId="0" fillId="0" borderId="3" xfId="0" applyBorder="1"/>
    <xf numFmtId="1" fontId="3" fillId="0" borderId="3" xfId="0" applyNumberFormat="1" applyFont="1" applyBorder="1"/>
    <xf numFmtId="0" fontId="3" fillId="0" borderId="2" xfId="0" applyFont="1" applyBorder="1"/>
    <xf numFmtId="0" fontId="0" fillId="0" borderId="0" xfId="0" applyAlignment="1">
      <alignment horizontal="left"/>
    </xf>
    <xf numFmtId="166" fontId="0" fillId="0" borderId="0" xfId="0" applyNumberFormat="1"/>
    <xf numFmtId="2" fontId="3" fillId="0" borderId="0" xfId="0" applyNumberFormat="1" applyFont="1"/>
    <xf numFmtId="3" fontId="8" fillId="0" borderId="0" xfId="0" applyNumberFormat="1" applyFont="1"/>
    <xf numFmtId="0" fontId="4" fillId="0" borderId="0" xfId="0" applyFont="1"/>
    <xf numFmtId="2" fontId="3" fillId="0" borderId="1" xfId="0" applyNumberFormat="1" applyFont="1" applyBorder="1"/>
    <xf numFmtId="4" fontId="0" fillId="0" borderId="0" xfId="0" applyNumberFormat="1"/>
    <xf numFmtId="4" fontId="8" fillId="0" borderId="0" xfId="0" applyNumberFormat="1" applyFont="1"/>
    <xf numFmtId="4" fontId="8" fillId="0" borderId="1" xfId="0" applyNumberFormat="1" applyFont="1" applyBorder="1"/>
    <xf numFmtId="4" fontId="0" fillId="0" borderId="1" xfId="0" applyNumberFormat="1" applyBorder="1"/>
    <xf numFmtId="4" fontId="4" fillId="0" borderId="0" xfId="0" applyNumberFormat="1" applyFont="1"/>
    <xf numFmtId="168" fontId="9" fillId="0" borderId="0" xfId="0" applyNumberFormat="1" applyFont="1" applyAlignment="1">
      <alignment horizontal="right"/>
    </xf>
    <xf numFmtId="168" fontId="0" fillId="0" borderId="0" xfId="0" applyNumberFormat="1"/>
    <xf numFmtId="165" fontId="0" fillId="0" borderId="0" xfId="0" applyNumberFormat="1"/>
    <xf numFmtId="165" fontId="7" fillId="0" borderId="0" xfId="0" applyNumberFormat="1" applyFont="1" applyAlignment="1" applyProtection="1">
      <alignment horizontal="right"/>
      <protection locked="0"/>
    </xf>
    <xf numFmtId="167" fontId="0" fillId="0" borderId="0" xfId="0" applyNumberFormat="1"/>
    <xf numFmtId="3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right"/>
    </xf>
    <xf numFmtId="167" fontId="0" fillId="0" borderId="0" xfId="0" applyNumberFormat="1" applyAlignment="1" applyProtection="1">
      <alignment horizontal="right"/>
      <protection locked="0"/>
    </xf>
    <xf numFmtId="0" fontId="3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left" vertical="center"/>
    </xf>
    <xf numFmtId="167" fontId="10" fillId="0" borderId="1" xfId="0" applyNumberFormat="1" applyFont="1" applyBorder="1" applyAlignment="1">
      <alignment horizontal="right"/>
    </xf>
    <xf numFmtId="167" fontId="0" fillId="0" borderId="1" xfId="0" applyNumberFormat="1" applyBorder="1" applyAlignment="1" applyProtection="1">
      <alignment horizontal="right"/>
      <protection locked="0"/>
    </xf>
    <xf numFmtId="167" fontId="0" fillId="0" borderId="1" xfId="0" applyNumberFormat="1" applyBorder="1"/>
    <xf numFmtId="0" fontId="3" fillId="0" borderId="4" xfId="0" applyFont="1" applyBorder="1"/>
    <xf numFmtId="0" fontId="0" fillId="0" borderId="5" xfId="0" applyBorder="1"/>
    <xf numFmtId="0" fontId="0" fillId="0" borderId="4" xfId="0" applyBorder="1"/>
    <xf numFmtId="167" fontId="0" fillId="0" borderId="5" xfId="0" applyNumberFormat="1" applyBorder="1" applyAlignment="1" applyProtection="1">
      <alignment horizontal="right"/>
      <protection locked="0"/>
    </xf>
    <xf numFmtId="167" fontId="0" fillId="0" borderId="4" xfId="0" applyNumberFormat="1" applyBorder="1" applyAlignment="1" applyProtection="1">
      <alignment horizontal="right"/>
      <protection locked="0"/>
    </xf>
    <xf numFmtId="0" fontId="3" fillId="0" borderId="7" xfId="0" applyFont="1" applyBorder="1"/>
    <xf numFmtId="2" fontId="3" fillId="0" borderId="4" xfId="0" applyNumberFormat="1" applyFont="1" applyBorder="1"/>
    <xf numFmtId="0" fontId="0" fillId="0" borderId="6" xfId="0" applyBorder="1"/>
    <xf numFmtId="2" fontId="0" fillId="0" borderId="5" xfId="0" applyNumberFormat="1" applyBorder="1"/>
    <xf numFmtId="0" fontId="0" fillId="0" borderId="7" xfId="0" applyBorder="1"/>
    <xf numFmtId="2" fontId="0" fillId="0" borderId="4" xfId="0" applyNumberFormat="1" applyBorder="1"/>
    <xf numFmtId="1" fontId="3" fillId="0" borderId="7" xfId="0" applyNumberFormat="1" applyFont="1" applyBorder="1"/>
    <xf numFmtId="167" fontId="0" fillId="0" borderId="6" xfId="0" applyNumberFormat="1" applyBorder="1"/>
    <xf numFmtId="167" fontId="0" fillId="0" borderId="5" xfId="0" applyNumberFormat="1" applyBorder="1"/>
    <xf numFmtId="167" fontId="0" fillId="0" borderId="7" xfId="0" applyNumberFormat="1" applyBorder="1"/>
    <xf numFmtId="167" fontId="0" fillId="0" borderId="4" xfId="0" applyNumberForma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8" xfId="0" applyBorder="1"/>
    <xf numFmtId="168" fontId="9" fillId="0" borderId="2" xfId="0" applyNumberFormat="1" applyFont="1" applyBorder="1" applyAlignment="1">
      <alignment horizontal="right"/>
    </xf>
    <xf numFmtId="0" fontId="0" fillId="0" borderId="9" xfId="0" applyBorder="1"/>
    <xf numFmtId="2" fontId="0" fillId="0" borderId="8" xfId="0" applyNumberFormat="1" applyBorder="1"/>
    <xf numFmtId="167" fontId="0" fillId="0" borderId="9" xfId="0" applyNumberFormat="1" applyBorder="1"/>
    <xf numFmtId="167" fontId="0" fillId="0" borderId="2" xfId="0" applyNumberFormat="1" applyBorder="1"/>
    <xf numFmtId="167" fontId="0" fillId="0" borderId="8" xfId="0" applyNumberFormat="1" applyBorder="1"/>
    <xf numFmtId="169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right"/>
    </xf>
    <xf numFmtId="169" fontId="0" fillId="0" borderId="5" xfId="0" applyNumberFormat="1" applyBorder="1"/>
    <xf numFmtId="169" fontId="0" fillId="0" borderId="8" xfId="0" applyNumberForma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4" fillId="0" borderId="0" xfId="0" applyNumberFormat="1" applyFont="1"/>
    <xf numFmtId="1" fontId="0" fillId="0" borderId="5" xfId="0" applyNumberFormat="1" applyBorder="1"/>
    <xf numFmtId="0" fontId="0" fillId="3" borderId="0" xfId="0" applyFill="1"/>
    <xf numFmtId="0" fontId="10" fillId="4" borderId="0" xfId="0" applyFont="1" applyFill="1"/>
    <xf numFmtId="0" fontId="0" fillId="5" borderId="0" xfId="0" applyFill="1"/>
    <xf numFmtId="2" fontId="0" fillId="6" borderId="0" xfId="0" applyNumberFormat="1" applyFill="1"/>
    <xf numFmtId="0" fontId="0" fillId="7" borderId="0" xfId="0" applyFill="1"/>
    <xf numFmtId="0" fontId="0" fillId="6" borderId="0" xfId="0" applyFill="1"/>
    <xf numFmtId="4" fontId="0" fillId="6" borderId="0" xfId="0" applyNumberFormat="1" applyFill="1"/>
    <xf numFmtId="0" fontId="0" fillId="8" borderId="0" xfId="0" applyFill="1"/>
    <xf numFmtId="4" fontId="0" fillId="8" borderId="0" xfId="0" applyNumberFormat="1" applyFill="1"/>
    <xf numFmtId="0" fontId="4" fillId="0" borderId="1" xfId="0" applyFont="1" applyBorder="1"/>
    <xf numFmtId="0" fontId="11" fillId="0" borderId="0" xfId="2"/>
    <xf numFmtId="0" fontId="11" fillId="0" borderId="5" xfId="2" applyBorder="1"/>
    <xf numFmtId="0" fontId="11" fillId="0" borderId="10" xfId="2" applyBorder="1"/>
    <xf numFmtId="1" fontId="11" fillId="0" borderId="10" xfId="2" applyNumberFormat="1" applyBorder="1"/>
    <xf numFmtId="0" fontId="11" fillId="0" borderId="13" xfId="2" applyBorder="1"/>
    <xf numFmtId="0" fontId="11" fillId="0" borderId="11" xfId="2" applyBorder="1"/>
    <xf numFmtId="1" fontId="0" fillId="0" borderId="6" xfId="0" applyNumberFormat="1" applyBorder="1"/>
    <xf numFmtId="0" fontId="0" fillId="0" borderId="6" xfId="0" applyBorder="1" applyAlignment="1">
      <alignment horizontal="right"/>
    </xf>
    <xf numFmtId="2" fontId="0" fillId="0" borderId="11" xfId="0" applyNumberFormat="1" applyBorder="1"/>
    <xf numFmtId="2" fontId="0" fillId="0" borderId="12" xfId="0" applyNumberFormat="1" applyBorder="1"/>
    <xf numFmtId="2" fontId="0" fillId="0" borderId="9" xfId="0" applyNumberFormat="1" applyBorder="1"/>
    <xf numFmtId="0" fontId="10" fillId="3" borderId="0" xfId="0" applyFont="1" applyFill="1"/>
    <xf numFmtId="1" fontId="3" fillId="0" borderId="1" xfId="0" applyNumberFormat="1" applyFont="1" applyBorder="1"/>
    <xf numFmtId="0" fontId="0" fillId="9" borderId="0" xfId="0" applyFill="1"/>
    <xf numFmtId="0" fontId="11" fillId="0" borderId="7" xfId="2" applyBorder="1"/>
    <xf numFmtId="0" fontId="0" fillId="10" borderId="0" xfId="0" applyFill="1"/>
    <xf numFmtId="2" fontId="0" fillId="10" borderId="0" xfId="0" applyNumberFormat="1" applyFill="1"/>
    <xf numFmtId="0" fontId="0" fillId="11" borderId="0" xfId="0" applyFill="1"/>
    <xf numFmtId="2" fontId="0" fillId="11" borderId="0" xfId="0" applyNumberFormat="1" applyFill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0" fontId="11" fillId="0" borderId="1" xfId="2" applyBorder="1" applyAlignment="1">
      <alignment horizontal="center"/>
    </xf>
    <xf numFmtId="0" fontId="11" fillId="0" borderId="4" xfId="2" applyBorder="1" applyAlignment="1">
      <alignment horizontal="center"/>
    </xf>
    <xf numFmtId="0" fontId="11" fillId="0" borderId="7" xfId="2" applyBorder="1" applyAlignment="1">
      <alignment horizontal="center"/>
    </xf>
    <xf numFmtId="0" fontId="13" fillId="0" borderId="0" xfId="0" applyFont="1" applyAlignment="1">
      <alignment vertical="center"/>
    </xf>
  </cellXfs>
  <cellStyles count="4">
    <cellStyle name="Abstand" xfId="3" xr:uid="{DC77BCD6-271B-4A4C-BA0F-B2DF22C3C1FA}"/>
    <cellStyle name="Standard" xfId="0" builtinId="0"/>
    <cellStyle name="Standard 2" xfId="1" xr:uid="{FE913DEA-EEF0-4DFD-BF46-A01C583E23BC}"/>
    <cellStyle name="Standard 3" xfId="2" xr:uid="{19F67180-F931-40BA-838E-BCDBD33D5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dw_extrapol_ew!$F$2:$H$2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xVal>
          <c:yVal>
            <c:numRef>
              <c:f>dw_extrapol_ew!$F$5:$H$5</c:f>
              <c:numCache>
                <c:formatCode>#,##0.00</c:formatCode>
                <c:ptCount val="3"/>
                <c:pt idx="0">
                  <c:v>22276.542379405764</c:v>
                </c:pt>
                <c:pt idx="1">
                  <c:v>22869.241988366652</c:v>
                </c:pt>
                <c:pt idx="2">
                  <c:v>23052.753977423323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B-4BED-88C8-1DB96D281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54799"/>
        <c:axId val="215456719"/>
      </c:scatterChart>
      <c:valAx>
        <c:axId val="21545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5456719"/>
        <c:crosses val="autoZero"/>
        <c:crossBetween val="midCat"/>
      </c:valAx>
      <c:valAx>
        <c:axId val="2154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545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(dw_extrapol_ew!$B$26,dw_extrapol_ew!$G$26)</c:f>
              <c:numCache>
                <c:formatCode>General</c:formatCode>
                <c:ptCount val="2"/>
                <c:pt idx="0" formatCode="0.00">
                  <c:v>2019</c:v>
                </c:pt>
                <c:pt idx="1">
                  <c:v>2040</c:v>
                </c:pt>
              </c:numCache>
            </c:numRef>
          </c:xVal>
          <c:yVal>
            <c:numRef>
              <c:f>(dw_extrapol_ew!$B$36,dw_extrapol_ew!$G$36)</c:f>
              <c:numCache>
                <c:formatCode>#,##0.00</c:formatCode>
                <c:ptCount val="2"/>
                <c:pt idx="0">
                  <c:v>20952.510398105336</c:v>
                </c:pt>
                <c:pt idx="1">
                  <c:v>22369.15609679597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3B-4F13-9F50-FAB0716B3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572656"/>
        <c:axId val="1390571216"/>
      </c:scatterChart>
      <c:valAx>
        <c:axId val="13905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571216"/>
        <c:crosses val="autoZero"/>
        <c:crossBetween val="midCat"/>
      </c:valAx>
      <c:valAx>
        <c:axId val="13905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5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dw_extrapol_ew!$F$59:$H$59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xVal>
          <c:yVal>
            <c:numRef>
              <c:f>dw_extrapol_ew!$F$62:$H$62</c:f>
              <c:numCache>
                <c:formatCode>#,##0.00</c:formatCode>
                <c:ptCount val="3"/>
                <c:pt idx="0">
                  <c:v>21931.35653512954</c:v>
                </c:pt>
                <c:pt idx="1">
                  <c:v>22356.735014390637</c:v>
                </c:pt>
                <c:pt idx="2">
                  <c:v>22477.20049084293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9-4FB0-8E61-3E389FBDF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29296"/>
        <c:axId val="150426416"/>
      </c:scatterChart>
      <c:valAx>
        <c:axId val="1504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26416"/>
        <c:crosses val="autoZero"/>
        <c:crossBetween val="midCat"/>
      </c:valAx>
      <c:valAx>
        <c:axId val="15042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dw_extrapol_ew!$F$2:$L$2</c:f>
              <c:numCache>
                <c:formatCode>General</c:formatCode>
                <c:ptCount val="7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</c:numCache>
            </c:numRef>
          </c:xVal>
          <c:yVal>
            <c:numRef>
              <c:f>dw_extrapol_ew!$F$5:$L$5</c:f>
              <c:numCache>
                <c:formatCode>#,##0.00</c:formatCode>
                <c:ptCount val="7"/>
                <c:pt idx="0">
                  <c:v>22276.542379405764</c:v>
                </c:pt>
                <c:pt idx="1">
                  <c:v>22869.241988366652</c:v>
                </c:pt>
                <c:pt idx="2">
                  <c:v>23052.753977423323</c:v>
                </c:pt>
                <c:pt idx="3" formatCode="General">
                  <c:v>23509.660000000003</c:v>
                </c:pt>
                <c:pt idx="4" formatCode="General">
                  <c:v>23897.770000000004</c:v>
                </c:pt>
                <c:pt idx="5" formatCode="General">
                  <c:v>24285.880000000005</c:v>
                </c:pt>
                <c:pt idx="6" formatCode="General">
                  <c:v>24673.990000000005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E-4AD5-8425-FC04CB6315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dw_extrapol_ew!$F$2:$L$2</c:f>
              <c:numCache>
                <c:formatCode>General</c:formatCode>
                <c:ptCount val="7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</c:numCache>
            </c:numRef>
          </c:xVal>
          <c:yVal>
            <c:numRef>
              <c:f>dw_extrapol_ew!$F$36:$L$36</c:f>
              <c:numCache>
                <c:formatCode>#,##0.00</c:formatCode>
                <c:ptCount val="7"/>
                <c:pt idx="0" formatCode="General">
                  <c:v>21693.770000000019</c:v>
                </c:pt>
                <c:pt idx="1">
                  <c:v>22369.15609679597</c:v>
                </c:pt>
                <c:pt idx="2" formatCode="General">
                  <c:v>23042.950000000012</c:v>
                </c:pt>
                <c:pt idx="3" formatCode="General">
                  <c:v>23717.540000000008</c:v>
                </c:pt>
                <c:pt idx="4" formatCode="General">
                  <c:v>24392.130000000005</c:v>
                </c:pt>
                <c:pt idx="5" formatCode="General">
                  <c:v>25066.720000000001</c:v>
                </c:pt>
                <c:pt idx="6" formatCode="General">
                  <c:v>25741.309999999998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6E-4AD5-8425-FC04CB631501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dw_extrapol_ew!$F$2:$L$2</c:f>
              <c:numCache>
                <c:formatCode>General</c:formatCode>
                <c:ptCount val="7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</c:numCache>
            </c:numRef>
          </c:xVal>
          <c:yVal>
            <c:numRef>
              <c:f>dw_extrapol_ew!$F$62:$L$62</c:f>
              <c:numCache>
                <c:formatCode>#,##0.00</c:formatCode>
                <c:ptCount val="7"/>
                <c:pt idx="0">
                  <c:v>21931.35653512954</c:v>
                </c:pt>
                <c:pt idx="1">
                  <c:v>22356.735014390637</c:v>
                </c:pt>
                <c:pt idx="2">
                  <c:v>22477.20049084293</c:v>
                </c:pt>
                <c:pt idx="3" formatCode="General">
                  <c:v>22800.520000000004</c:v>
                </c:pt>
                <c:pt idx="4" formatCode="General">
                  <c:v>23073.440000000002</c:v>
                </c:pt>
                <c:pt idx="5" formatCode="General">
                  <c:v>23346.36</c:v>
                </c:pt>
                <c:pt idx="6" formatCode="General">
                  <c:v>23619.280000000006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6E-4AD5-8425-FC04CB631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38720"/>
        <c:axId val="1085049280"/>
      </c:scatterChart>
      <c:valAx>
        <c:axId val="108503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5049280"/>
        <c:crosses val="autoZero"/>
        <c:crossBetween val="midCat"/>
      </c:valAx>
      <c:valAx>
        <c:axId val="10850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503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(ALT_ind_extrapol_2s!$A$2,ALT_ind_extrapol_2s!$A$4)</c:f>
              <c:numCache>
                <c:formatCode>0</c:formatCode>
                <c:ptCount val="2"/>
                <c:pt idx="0">
                  <c:v>2011</c:v>
                </c:pt>
                <c:pt idx="1">
                  <c:v>2020</c:v>
                </c:pt>
              </c:numCache>
            </c:numRef>
          </c:xVal>
          <c:yVal>
            <c:numRef>
              <c:f>(ALT_ind_extrapol_2s!$B$2,ALT_ind_extrapol_2s!$B$4)</c:f>
              <c:numCache>
                <c:formatCode>0.00</c:formatCode>
                <c:ptCount val="2"/>
                <c:pt idx="0">
                  <c:v>4188</c:v>
                </c:pt>
                <c:pt idx="1">
                  <c:v>4233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4996-9EDE-D38092A76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33136"/>
        <c:axId val="1326576480"/>
      </c:scatterChart>
      <c:valAx>
        <c:axId val="15043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26576480"/>
        <c:crosses val="autoZero"/>
        <c:crossBetween val="midCat"/>
      </c:valAx>
      <c:valAx>
        <c:axId val="13265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(ALT_ind_extrapol_2s!$A$2:$A$3,ALT_ind_extrapol_2s!$A$5:$A$11)</c:f>
              <c:numCache>
                <c:formatCode>0</c:formatCode>
                <c:ptCount val="9"/>
                <c:pt idx="0">
                  <c:v>2011</c:v>
                </c:pt>
                <c:pt idx="1">
                  <c:v>2019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(ALT_ind_extrapol_2s!$G$2:$G$3,ALT_ind_extrapol_2s!$G$5:$G$11)</c:f>
              <c:numCache>
                <c:formatCode>General</c:formatCode>
                <c:ptCount val="9"/>
                <c:pt idx="0">
                  <c:v>1354.0168727429138</c:v>
                </c:pt>
                <c:pt idx="1">
                  <c:v>1242.7898183857351</c:v>
                </c:pt>
                <c:pt idx="2">
                  <c:v>1279.9031777678531</c:v>
                </c:pt>
                <c:pt idx="3">
                  <c:v>1299.7864505535856</c:v>
                </c:pt>
                <c:pt idx="4">
                  <c:v>1310.7876348772045</c:v>
                </c:pt>
                <c:pt idx="5">
                  <c:v>1327.6915806506131</c:v>
                </c:pt>
                <c:pt idx="6">
                  <c:v>1343.125295567562</c:v>
                </c:pt>
                <c:pt idx="7">
                  <c:v>1358.5588556822411</c:v>
                </c:pt>
                <c:pt idx="8">
                  <c:v>1373.9922662304525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C-4D72-ADC4-A8B43BDAF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570224"/>
        <c:axId val="1404567824"/>
      </c:scatterChart>
      <c:valAx>
        <c:axId val="140457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4567824"/>
        <c:crosses val="autoZero"/>
        <c:crossBetween val="midCat"/>
      </c:valAx>
      <c:valAx>
        <c:axId val="14045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457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(ALT_ind_extrapol_2s!$A$3,ALT_ind_extrapol_2s!$A$5)</c:f>
              <c:numCache>
                <c:formatCode>0</c:formatCode>
                <c:ptCount val="2"/>
                <c:pt idx="0">
                  <c:v>2019</c:v>
                </c:pt>
                <c:pt idx="1">
                  <c:v>2030</c:v>
                </c:pt>
              </c:numCache>
            </c:numRef>
          </c:xVal>
          <c:yVal>
            <c:numRef>
              <c:f>(ALT_ind_extrapol_2s!$G$3,ALT_ind_extrapol_2s!$G$5)</c:f>
              <c:numCache>
                <c:formatCode>General</c:formatCode>
                <c:ptCount val="2"/>
                <c:pt idx="0">
                  <c:v>1242.7898183857351</c:v>
                </c:pt>
                <c:pt idx="1">
                  <c:v>1279.9031777678531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8-48F1-A9FF-0736D4159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87680"/>
        <c:axId val="435290560"/>
      </c:scatterChart>
      <c:valAx>
        <c:axId val="43528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290560"/>
        <c:crosses val="autoZero"/>
        <c:crossBetween val="midCat"/>
      </c:valAx>
      <c:valAx>
        <c:axId val="4352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28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(ALT_ind_extrapol_3s!$A$2,ALT_ind_extrapol_3s!$A$4)</c:f>
              <c:numCache>
                <c:formatCode>0</c:formatCode>
                <c:ptCount val="2"/>
                <c:pt idx="0">
                  <c:v>2011</c:v>
                </c:pt>
                <c:pt idx="1">
                  <c:v>2020</c:v>
                </c:pt>
              </c:numCache>
            </c:numRef>
          </c:xVal>
          <c:yVal>
            <c:numRef>
              <c:f>(ALT_ind_extrapol_3s!$B$2,ALT_ind_extrapol_3s!$B$4)</c:f>
              <c:numCache>
                <c:formatCode>0.00</c:formatCode>
                <c:ptCount val="2"/>
                <c:pt idx="0">
                  <c:v>9860</c:v>
                </c:pt>
                <c:pt idx="1">
                  <c:v>10438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D3-4B2C-983A-7A3E153E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33136"/>
        <c:axId val="1326576480"/>
      </c:scatterChart>
      <c:valAx>
        <c:axId val="15043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26576480"/>
        <c:crosses val="autoZero"/>
        <c:crossBetween val="midCat"/>
      </c:valAx>
      <c:valAx>
        <c:axId val="13265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ind_meth_vrtic!$A$2:$A$5</c:f>
              <c:numCache>
                <c:formatCode>0.00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2020</c:v>
                </c:pt>
              </c:numCache>
            </c:numRef>
          </c:xVal>
          <c:yVal>
            <c:numRef>
              <c:f>ind_meth_vrtic!$G$2:$G$5</c:f>
              <c:numCache>
                <c:formatCode>0.00</c:formatCode>
                <c:ptCount val="4"/>
                <c:pt idx="0">
                  <c:v>0.43847211400597913</c:v>
                </c:pt>
                <c:pt idx="1">
                  <c:v>0.39479148464001695</c:v>
                </c:pt>
                <c:pt idx="2">
                  <c:v>0.3464818483120497</c:v>
                </c:pt>
                <c:pt idx="3">
                  <c:v>0.31151059390253982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F-4BDD-8918-1B67ACD0D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94176"/>
        <c:axId val="1486986016"/>
      </c:scatterChart>
      <c:valAx>
        <c:axId val="1486994176"/>
        <c:scaling>
          <c:orientation val="minMax"/>
          <c:max val="2090"/>
          <c:min val="19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6986016"/>
        <c:crosses val="autoZero"/>
        <c:crossBetween val="midCat"/>
      </c:valAx>
      <c:valAx>
        <c:axId val="1486986016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69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ind_meth_vrtic!$A$5:$A$7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</c:numCache>
            </c:numRef>
          </c:xVal>
          <c:yVal>
            <c:numRef>
              <c:f>ind_meth_vrtic!$F$5:$F$7</c:f>
              <c:numCache>
                <c:formatCode>General</c:formatCode>
                <c:ptCount val="3"/>
                <c:pt idx="0" formatCode="0.00">
                  <c:v>3997.3877967974759</c:v>
                </c:pt>
                <c:pt idx="1">
                  <c:v>3999.1806733325129</c:v>
                </c:pt>
                <c:pt idx="2">
                  <c:v>4000.9735498675495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9-4611-A098-C236006CB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46272"/>
        <c:axId val="1586746752"/>
      </c:scatterChart>
      <c:valAx>
        <c:axId val="158674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6746752"/>
        <c:crosses val="autoZero"/>
        <c:crossBetween val="midCat"/>
      </c:valAx>
      <c:valAx>
        <c:axId val="15867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674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3</xdr:row>
      <xdr:rowOff>28575</xdr:rowOff>
    </xdr:from>
    <xdr:to>
      <xdr:col>9</xdr:col>
      <xdr:colOff>704850</xdr:colOff>
      <xdr:row>8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4E5CF7D-1D20-E6A0-5BBC-8F6F0B6938D0}"/>
            </a:ext>
          </a:extLst>
        </xdr:cNvPr>
        <xdr:cNvSpPr txBox="1"/>
      </xdr:nvSpPr>
      <xdr:spPr>
        <a:xfrm>
          <a:off x="8782050" y="571500"/>
          <a:ext cx="1847850" cy="9810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Werte mit allen Kulturen;</a:t>
          </a:r>
          <a:r>
            <a:rPr lang="de-CH" sz="1100" baseline="0"/>
            <a:t> </a:t>
          </a:r>
        </a:p>
        <a:p>
          <a:r>
            <a:rPr lang="de-CH" sz="1100" baseline="0"/>
            <a:t>no overlaps: auch ohne Fläche, die über Catchment hinaus reicht. </a:t>
          </a:r>
        </a:p>
        <a:p>
          <a:r>
            <a:rPr lang="de-CH" sz="1100" baseline="0"/>
            <a:t>Keine Werte für Gemeinden.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5</xdr:row>
      <xdr:rowOff>100965</xdr:rowOff>
    </xdr:from>
    <xdr:to>
      <xdr:col>4</xdr:col>
      <xdr:colOff>495300</xdr:colOff>
      <xdr:row>20</xdr:row>
      <xdr:rowOff>100965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ECDF0B-3EBE-C9D6-42E1-0FEA6AE38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124777</xdr:colOff>
      <xdr:row>37</xdr:row>
      <xdr:rowOff>63817</xdr:rowOff>
    </xdr:from>
    <xdr:to>
      <xdr:col>4</xdr:col>
      <xdr:colOff>515302</xdr:colOff>
      <xdr:row>52</xdr:row>
      <xdr:rowOff>88582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FDDCD2B-DA84-5CC5-0D4D-D6FBD3C5A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164782</xdr:colOff>
      <xdr:row>62</xdr:row>
      <xdr:rowOff>143827</xdr:rowOff>
    </xdr:from>
    <xdr:to>
      <xdr:col>4</xdr:col>
      <xdr:colOff>574357</xdr:colOff>
      <xdr:row>77</xdr:row>
      <xdr:rowOff>170497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5F2DAF1-D52A-401A-2A64-121B95C08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410526</xdr:colOff>
      <xdr:row>0</xdr:row>
      <xdr:rowOff>159066</xdr:rowOff>
    </xdr:from>
    <xdr:to>
      <xdr:col>18</xdr:col>
      <xdr:colOff>1021079</xdr:colOff>
      <xdr:row>18</xdr:row>
      <xdr:rowOff>78104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76DD0-C8FF-5B32-05B0-AD7AA5D7F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17</xdr:row>
      <xdr:rowOff>72390</xdr:rowOff>
    </xdr:from>
    <xdr:to>
      <xdr:col>5</xdr:col>
      <xdr:colOff>320040</xdr:colOff>
      <xdr:row>32</xdr:row>
      <xdr:rowOff>72390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7346B1C-A52F-A4C1-6358-C5AB9A64B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289560</xdr:colOff>
      <xdr:row>0</xdr:row>
      <xdr:rowOff>156210</xdr:rowOff>
    </xdr:from>
    <xdr:to>
      <xdr:col>12</xdr:col>
      <xdr:colOff>624840</xdr:colOff>
      <xdr:row>15</xdr:row>
      <xdr:rowOff>156210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7CB593-A114-264A-57FD-13A788BE4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825817</xdr:colOff>
      <xdr:row>16</xdr:row>
      <xdr:rowOff>43815</xdr:rowOff>
    </xdr:from>
    <xdr:to>
      <xdr:col>11</xdr:col>
      <xdr:colOff>39052</xdr:colOff>
      <xdr:row>31</xdr:row>
      <xdr:rowOff>78105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F396095-D16D-2D1D-ADF9-F03EB4C20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17</xdr:row>
      <xdr:rowOff>72390</xdr:rowOff>
    </xdr:from>
    <xdr:to>
      <xdr:col>5</xdr:col>
      <xdr:colOff>320040</xdr:colOff>
      <xdr:row>32</xdr:row>
      <xdr:rowOff>72390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706D4-B443-46FE-977D-268F6CE14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646965</xdr:colOff>
      <xdr:row>17</xdr:row>
      <xdr:rowOff>105262</xdr:rowOff>
    </xdr:from>
    <xdr:to>
      <xdr:col>4</xdr:col>
      <xdr:colOff>473937</xdr:colOff>
      <xdr:row>30</xdr:row>
      <xdr:rowOff>165184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B1A9AA3-19CA-F02A-BE4C-1B5C523B1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735113</xdr:colOff>
      <xdr:row>15</xdr:row>
      <xdr:rowOff>161365</xdr:rowOff>
    </xdr:from>
    <xdr:to>
      <xdr:col>7</xdr:col>
      <xdr:colOff>1362642</xdr:colOff>
      <xdr:row>31</xdr:row>
      <xdr:rowOff>35859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81EC67E-BEE0-0969-8AEA-6972BA350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C19" sqref="C19"/>
    </sheetView>
  </sheetViews>
  <sheetFormatPr baseColWidth="10" defaultColWidth="8.88671875" defaultRowHeight="14.4" x14ac:dyDescent="0.3"/>
  <cols>
    <col min="1" max="1" width="21.6640625" customWidth="1"/>
    <col min="2" max="4" width="9.109375" customWidth="1"/>
  </cols>
  <sheetData>
    <row r="1" spans="1:13" ht="18.600000000000001" customHeight="1" x14ac:dyDescent="0.3">
      <c r="A1" s="1" t="s">
        <v>0</v>
      </c>
    </row>
    <row r="2" spans="1:13" ht="12" customHeight="1" x14ac:dyDescent="0.3"/>
    <row r="3" spans="1:13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3">
      <c r="A4" t="s">
        <v>14</v>
      </c>
    </row>
    <row r="5" spans="1:13" x14ac:dyDescent="0.3">
      <c r="A5" t="s">
        <v>15</v>
      </c>
    </row>
    <row r="6" spans="1:13" x14ac:dyDescent="0.3">
      <c r="A6" t="s">
        <v>16</v>
      </c>
    </row>
    <row r="7" spans="1:13" x14ac:dyDescent="0.3">
      <c r="A7" t="s">
        <v>17</v>
      </c>
    </row>
    <row r="10" spans="1:13" x14ac:dyDescent="0.3">
      <c r="A10" s="2" t="s">
        <v>18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</row>
    <row r="11" spans="1:13" x14ac:dyDescent="0.3">
      <c r="A11" t="s">
        <v>14</v>
      </c>
    </row>
    <row r="12" spans="1:13" x14ac:dyDescent="0.3">
      <c r="A12" t="s">
        <v>15</v>
      </c>
    </row>
    <row r="13" spans="1:13" x14ac:dyDescent="0.3">
      <c r="A13" t="s">
        <v>16</v>
      </c>
    </row>
    <row r="14" spans="1:13" x14ac:dyDescent="0.3">
      <c r="A14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68C9-04B2-4383-9107-4F3B7548A115}">
  <dimension ref="A1:CX55"/>
  <sheetViews>
    <sheetView workbookViewId="0">
      <selection activeCell="A57" sqref="A57"/>
    </sheetView>
  </sheetViews>
  <sheetFormatPr baseColWidth="10" defaultColWidth="11.44140625" defaultRowHeight="14.4" x14ac:dyDescent="0.3"/>
  <cols>
    <col min="1" max="1" width="20.109375" customWidth="1"/>
    <col min="2" max="3" width="17.33203125" customWidth="1"/>
    <col min="4" max="4" width="16.88671875" customWidth="1"/>
    <col min="5" max="5" width="17" customWidth="1"/>
    <col min="6" max="6" width="16.88671875" customWidth="1"/>
    <col min="8" max="8" width="6.6640625" customWidth="1"/>
    <col min="9" max="9" width="21" customWidth="1"/>
    <col min="10" max="10" width="24.88671875" customWidth="1"/>
  </cols>
  <sheetData>
    <row r="1" spans="1:102" x14ac:dyDescent="0.3">
      <c r="A1" s="6" t="s">
        <v>19</v>
      </c>
      <c r="C1" s="6" t="s">
        <v>20</v>
      </c>
      <c r="D1" s="6" t="s">
        <v>20</v>
      </c>
      <c r="E1" s="6" t="s">
        <v>21</v>
      </c>
      <c r="F1" s="6" t="s">
        <v>21</v>
      </c>
      <c r="G1" s="6" t="s">
        <v>22</v>
      </c>
      <c r="I1" s="6" t="s">
        <v>23</v>
      </c>
      <c r="J1" s="6" t="s">
        <v>23</v>
      </c>
      <c r="L1" s="6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</row>
    <row r="2" spans="1:102" x14ac:dyDescent="0.3">
      <c r="A2" s="4" t="s">
        <v>115</v>
      </c>
      <c r="B2" s="4" t="s">
        <v>116</v>
      </c>
      <c r="C2" s="4" t="s">
        <v>117</v>
      </c>
      <c r="D2" s="4" t="s">
        <v>118</v>
      </c>
      <c r="E2" s="4" t="s">
        <v>119</v>
      </c>
      <c r="F2" s="4" t="s">
        <v>120</v>
      </c>
      <c r="G2" s="4" t="s">
        <v>121</v>
      </c>
      <c r="I2" s="4" t="s">
        <v>122</v>
      </c>
      <c r="J2" s="4" t="s">
        <v>123</v>
      </c>
      <c r="L2" t="s">
        <v>124</v>
      </c>
    </row>
    <row r="3" spans="1:102" x14ac:dyDescent="0.3">
      <c r="A3" t="str" cm="1">
        <f t="array" ref="A3:A22">bfs_percentage_area!M4:M23</f>
        <v>Belp</v>
      </c>
      <c r="B3" cm="1">
        <f t="array" ref="B3:B22">bfs_percentage_area!N4:N23</f>
        <v>861</v>
      </c>
      <c r="C3" cm="1">
        <f t="array" ref="C3:C22">bfs_percentage_area!C4:C23</f>
        <v>311</v>
      </c>
      <c r="D3" s="8" cm="1">
        <f t="array" ref="D3:D22">bfs_percentage_area!O4:O23</f>
        <v>0.23941493456505003</v>
      </c>
      <c r="E3" s="5">
        <v>1260</v>
      </c>
      <c r="F3" s="5">
        <f>E3*D3</f>
        <v>301.66281755196303</v>
      </c>
      <c r="G3" s="13">
        <f>1-(C3/F3)</f>
        <v>-3.0952380952381064E-2</v>
      </c>
      <c r="L3" t="s">
        <v>125</v>
      </c>
      <c r="M3">
        <v>36793.483258157001</v>
      </c>
      <c r="N3">
        <v>652083.83558441</v>
      </c>
      <c r="O3">
        <v>1534.6207574119901</v>
      </c>
      <c r="Q3">
        <v>1113024.77089675</v>
      </c>
      <c r="T3">
        <v>4438.1593672600002</v>
      </c>
      <c r="U3">
        <v>118194.60186055</v>
      </c>
      <c r="AA3">
        <v>597.08990303300004</v>
      </c>
      <c r="AD3">
        <v>2990.9624049619902</v>
      </c>
      <c r="AF3">
        <v>1442.63424022</v>
      </c>
      <c r="AI3">
        <v>35607.1533352509</v>
      </c>
      <c r="AJ3">
        <v>238640.16613449901</v>
      </c>
      <c r="AM3">
        <v>6754.8595060500002</v>
      </c>
      <c r="AO3">
        <v>20979.0697076</v>
      </c>
      <c r="AP3">
        <v>396564.63444975897</v>
      </c>
      <c r="AQ3">
        <v>11853.9280437</v>
      </c>
      <c r="AR3">
        <v>2331.3455098200002</v>
      </c>
      <c r="AS3">
        <v>1836.642801577</v>
      </c>
      <c r="AT3">
        <v>2409.1884281799998</v>
      </c>
      <c r="AU3">
        <v>339645.32782841398</v>
      </c>
      <c r="AV3">
        <v>51059.664876249997</v>
      </c>
      <c r="AW3">
        <v>75511.145497589998</v>
      </c>
      <c r="AY3">
        <v>17739.387784279999</v>
      </c>
      <c r="BD3">
        <v>44336.194946509997</v>
      </c>
      <c r="BE3">
        <v>1636.7949140999999</v>
      </c>
      <c r="BG3">
        <v>5686.9704084200002</v>
      </c>
      <c r="BO3">
        <v>5150.6157360999996</v>
      </c>
      <c r="BR3">
        <v>344283.04965007998</v>
      </c>
      <c r="BT3">
        <v>18239.448285890001</v>
      </c>
      <c r="BU3">
        <v>41464.112618214996</v>
      </c>
      <c r="BV3">
        <v>34985.389474299998</v>
      </c>
      <c r="BX3">
        <v>287.13567053899999</v>
      </c>
      <c r="BY3">
        <v>1102.0370661110001</v>
      </c>
      <c r="CA3">
        <v>7203.7170455900005</v>
      </c>
      <c r="CE3">
        <v>2930.3441663600001</v>
      </c>
      <c r="CQ3">
        <v>133843.19284417399</v>
      </c>
      <c r="CR3">
        <v>22400.880679419999</v>
      </c>
      <c r="CV3">
        <v>9150.20685185</v>
      </c>
    </row>
    <row r="4" spans="1:102" x14ac:dyDescent="0.3">
      <c r="A4" t="str">
        <v>Blumenstein</v>
      </c>
      <c r="B4" s="9">
        <v>922</v>
      </c>
      <c r="C4" s="9">
        <v>745</v>
      </c>
      <c r="D4" s="8">
        <v>1</v>
      </c>
      <c r="E4" s="5">
        <v>404</v>
      </c>
      <c r="F4" s="5">
        <f t="shared" ref="F4:F22" si="0">E4*D4</f>
        <v>404</v>
      </c>
      <c r="G4" s="13">
        <f t="shared" ref="G4:G23" si="1">1-(C4/F4)</f>
        <v>-0.84405940594059414</v>
      </c>
      <c r="L4" t="s">
        <v>126</v>
      </c>
      <c r="M4">
        <v>4345.0731804919997</v>
      </c>
      <c r="N4">
        <v>260990.398244112</v>
      </c>
      <c r="Q4">
        <v>704751.67271907697</v>
      </c>
      <c r="T4">
        <v>3276.43710707329</v>
      </c>
      <c r="U4">
        <v>86653.139906745695</v>
      </c>
      <c r="AH4">
        <v>244.29395697499999</v>
      </c>
      <c r="AJ4">
        <v>127140.96186105</v>
      </c>
      <c r="AP4">
        <v>52050.27195645</v>
      </c>
      <c r="AS4">
        <v>243.30173799600001</v>
      </c>
      <c r="AU4">
        <v>446339.71335001499</v>
      </c>
      <c r="AV4">
        <v>39699.952351159998</v>
      </c>
      <c r="BA4">
        <v>56006.25478214</v>
      </c>
      <c r="BB4">
        <v>6582361.69742209</v>
      </c>
      <c r="BC4">
        <v>18837.77793294</v>
      </c>
      <c r="BD4">
        <v>38592.750844429997</v>
      </c>
      <c r="BO4">
        <v>54268.755140825</v>
      </c>
      <c r="BR4">
        <v>1647192.2713200599</v>
      </c>
      <c r="BT4">
        <v>3751.5081495700001</v>
      </c>
      <c r="BU4">
        <v>378.54110902999997</v>
      </c>
      <c r="BY4">
        <v>459.582833978</v>
      </c>
      <c r="CD4">
        <v>5705.9187739600002</v>
      </c>
      <c r="CK4">
        <v>14233.409766500001</v>
      </c>
      <c r="CQ4">
        <v>154026.75913331599</v>
      </c>
    </row>
    <row r="5" spans="1:102" x14ac:dyDescent="0.3">
      <c r="A5" t="str">
        <v>Burgistein</v>
      </c>
      <c r="B5">
        <v>863</v>
      </c>
      <c r="C5" s="9">
        <v>574</v>
      </c>
      <c r="D5" s="8">
        <v>1</v>
      </c>
      <c r="E5" s="5">
        <v>642</v>
      </c>
      <c r="F5" s="5">
        <f t="shared" si="0"/>
        <v>642</v>
      </c>
      <c r="G5" s="13">
        <f t="shared" si="1"/>
        <v>0.10591900311526481</v>
      </c>
      <c r="L5" t="s">
        <v>127</v>
      </c>
      <c r="M5">
        <v>24663.235014383899</v>
      </c>
      <c r="N5">
        <v>1552542.2615298</v>
      </c>
      <c r="Q5">
        <v>1486310.45467805</v>
      </c>
      <c r="T5">
        <v>13688.4324893344</v>
      </c>
      <c r="U5">
        <v>59107.62547703</v>
      </c>
      <c r="X5">
        <v>2757.72358261</v>
      </c>
      <c r="Z5">
        <v>1226.6482346499999</v>
      </c>
      <c r="AA5">
        <v>1375.55345797</v>
      </c>
      <c r="AB5">
        <v>392.963915042</v>
      </c>
      <c r="AD5">
        <v>1420.9654484738901</v>
      </c>
      <c r="AF5">
        <v>70916.092822459905</v>
      </c>
      <c r="AG5">
        <v>661.27044108299901</v>
      </c>
      <c r="AH5">
        <v>183.69459750499999</v>
      </c>
      <c r="AI5">
        <v>4647.9731508259902</v>
      </c>
      <c r="AJ5">
        <v>189762.61575363801</v>
      </c>
      <c r="AL5">
        <v>279.706474429499</v>
      </c>
      <c r="AN5">
        <v>12834.956264</v>
      </c>
      <c r="AP5">
        <v>210797.48130176001</v>
      </c>
      <c r="AS5">
        <v>23569.8290590258</v>
      </c>
      <c r="AT5">
        <v>511.09802442300003</v>
      </c>
      <c r="AU5">
        <v>351989.70408159198</v>
      </c>
      <c r="AV5">
        <v>105487.65746357699</v>
      </c>
      <c r="AY5">
        <v>5028.2855842199997</v>
      </c>
      <c r="BA5">
        <v>76061.268888680002</v>
      </c>
      <c r="BB5">
        <v>115335.7012307</v>
      </c>
      <c r="BD5">
        <v>76560.478954039994</v>
      </c>
      <c r="BE5">
        <v>137.10819497599999</v>
      </c>
      <c r="BG5">
        <v>69603.832191470006</v>
      </c>
      <c r="BH5">
        <v>13360.0778995</v>
      </c>
      <c r="BO5">
        <v>223664.234649702</v>
      </c>
      <c r="BR5">
        <v>2358843.0673829499</v>
      </c>
      <c r="BT5">
        <v>37181.343004670001</v>
      </c>
      <c r="BU5">
        <v>33524.917537658999</v>
      </c>
      <c r="BX5">
        <v>877.88930930100003</v>
      </c>
      <c r="BY5">
        <v>5273.8780116729904</v>
      </c>
      <c r="CA5">
        <v>987.76040309300004</v>
      </c>
      <c r="CD5">
        <v>8109.3435207299999</v>
      </c>
      <c r="CE5">
        <v>14133.926858299999</v>
      </c>
      <c r="CF5">
        <v>930.37936300800004</v>
      </c>
      <c r="CK5">
        <v>10015.788287483099</v>
      </c>
      <c r="CQ5">
        <v>262709.41086867102</v>
      </c>
      <c r="CW5">
        <v>703.02306997699998</v>
      </c>
    </row>
    <row r="6" spans="1:102" x14ac:dyDescent="0.3">
      <c r="A6" t="str">
        <v>Forst-Längenbühl</v>
      </c>
      <c r="B6" s="9">
        <v>948</v>
      </c>
      <c r="C6" s="9">
        <v>281</v>
      </c>
      <c r="D6" s="8">
        <v>0.93046357615894038</v>
      </c>
      <c r="E6" s="5">
        <v>447</v>
      </c>
      <c r="F6" s="5">
        <f t="shared" si="0"/>
        <v>415.91721854304637</v>
      </c>
      <c r="G6" s="13">
        <f t="shared" si="1"/>
        <v>0.32438478747203581</v>
      </c>
      <c r="L6" t="s">
        <v>128</v>
      </c>
      <c r="M6">
        <v>15197.165777333001</v>
      </c>
      <c r="N6">
        <v>599919.30123339</v>
      </c>
      <c r="Q6">
        <v>646118.60298567195</v>
      </c>
      <c r="T6">
        <v>10149.718965964999</v>
      </c>
      <c r="U6">
        <v>65994.894639930004</v>
      </c>
      <c r="AA6">
        <v>599.81562410399999</v>
      </c>
      <c r="AC6">
        <v>13704.3447179</v>
      </c>
      <c r="AE6">
        <v>7192.2096469199996</v>
      </c>
      <c r="AF6">
        <v>644.018152923</v>
      </c>
      <c r="AJ6">
        <v>259866.15135774901</v>
      </c>
      <c r="AP6">
        <v>69600.973726769997</v>
      </c>
      <c r="AS6">
        <v>3668.4703576440002</v>
      </c>
      <c r="AU6">
        <v>202317.222922018</v>
      </c>
      <c r="AV6">
        <v>36349.021338550003</v>
      </c>
      <c r="AX6">
        <v>2013.2176510100001</v>
      </c>
      <c r="BA6">
        <v>31538.507647760001</v>
      </c>
      <c r="BD6">
        <v>5099.2888903100002</v>
      </c>
      <c r="BG6">
        <v>4241.2445260300001</v>
      </c>
      <c r="BM6">
        <v>7192.2096469199996</v>
      </c>
      <c r="BO6">
        <v>56272.89173969</v>
      </c>
      <c r="BP6">
        <v>586.48421005780006</v>
      </c>
      <c r="BQ6">
        <v>699.68964392199996</v>
      </c>
      <c r="BR6">
        <v>1587678.3589927901</v>
      </c>
      <c r="BT6">
        <v>22493.540166049999</v>
      </c>
      <c r="BU6">
        <v>5708.8177898269996</v>
      </c>
      <c r="BX6">
        <v>3207.76737499</v>
      </c>
      <c r="BY6">
        <v>1351.1905234802</v>
      </c>
      <c r="CA6">
        <v>17640.89662494</v>
      </c>
      <c r="CD6">
        <v>2036.15737399</v>
      </c>
      <c r="CI6">
        <v>18280.725741900002</v>
      </c>
      <c r="CK6">
        <v>282.21036300899999</v>
      </c>
      <c r="CL6">
        <v>7192.2096469199996</v>
      </c>
      <c r="CQ6">
        <v>136224.84238610099</v>
      </c>
      <c r="CS6">
        <v>7883.5856972700003</v>
      </c>
      <c r="CW6">
        <v>415.386905523</v>
      </c>
    </row>
    <row r="7" spans="1:102" x14ac:dyDescent="0.3">
      <c r="A7" t="str">
        <v>Gerzensee</v>
      </c>
      <c r="B7" s="9">
        <v>866</v>
      </c>
      <c r="C7" s="9">
        <v>224</v>
      </c>
      <c r="D7" s="8">
        <v>0.43076923076923079</v>
      </c>
      <c r="E7" s="5">
        <v>540</v>
      </c>
      <c r="F7" s="5">
        <f t="shared" si="0"/>
        <v>232.61538461538464</v>
      </c>
      <c r="G7" s="13">
        <f t="shared" si="1"/>
        <v>3.703703703703709E-2</v>
      </c>
      <c r="L7" t="s">
        <v>129</v>
      </c>
      <c r="M7">
        <v>17628.109271195</v>
      </c>
      <c r="N7">
        <v>416268.85554634902</v>
      </c>
      <c r="Q7">
        <v>947465.81571767095</v>
      </c>
      <c r="T7">
        <v>13971.3887466182</v>
      </c>
      <c r="U7">
        <v>54110.839005380003</v>
      </c>
      <c r="Y7">
        <v>232.150732543</v>
      </c>
      <c r="AA7">
        <v>1011.16075354</v>
      </c>
      <c r="AD7">
        <v>739.84326944099996</v>
      </c>
      <c r="AF7">
        <v>557.66459355819995</v>
      </c>
      <c r="AH7">
        <v>310.031642933</v>
      </c>
      <c r="AJ7">
        <v>258289.44239746901</v>
      </c>
      <c r="AM7">
        <v>17444.315556490001</v>
      </c>
      <c r="AO7">
        <v>56000.708990200001</v>
      </c>
      <c r="AP7">
        <v>332188.72794854001</v>
      </c>
      <c r="AS7">
        <v>3938.0697541730001</v>
      </c>
      <c r="AU7">
        <v>193889.18141691299</v>
      </c>
      <c r="AV7">
        <v>74689.603958462001</v>
      </c>
      <c r="AW7">
        <v>52805.816974950001</v>
      </c>
      <c r="BD7">
        <v>43794.679577479998</v>
      </c>
      <c r="BE7">
        <v>2201.6609919759999</v>
      </c>
      <c r="BG7">
        <v>4812.8247916599903</v>
      </c>
      <c r="BH7">
        <v>2296.1389109699999</v>
      </c>
      <c r="BJ7">
        <v>109.541540466</v>
      </c>
      <c r="BL7">
        <v>6186.6022706900003</v>
      </c>
      <c r="BO7">
        <v>13599.89909696</v>
      </c>
      <c r="BR7">
        <v>223458.01628681499</v>
      </c>
      <c r="BS7">
        <v>577.05697546099998</v>
      </c>
      <c r="BU7">
        <v>25919.367489313001</v>
      </c>
      <c r="BZ7">
        <v>4597.9825160199998</v>
      </c>
      <c r="CD7">
        <v>5316.5249840899996</v>
      </c>
      <c r="CF7">
        <v>844.94811145899996</v>
      </c>
      <c r="CQ7">
        <v>84165.705251625099</v>
      </c>
      <c r="CX7">
        <v>1013.41761947</v>
      </c>
    </row>
    <row r="8" spans="1:102" x14ac:dyDescent="0.3">
      <c r="A8" t="str">
        <v>Gurzelen</v>
      </c>
      <c r="B8" s="9">
        <v>867</v>
      </c>
      <c r="C8" s="9">
        <v>348</v>
      </c>
      <c r="D8" s="8">
        <v>0.96132596685082872</v>
      </c>
      <c r="E8" s="5">
        <v>414</v>
      </c>
      <c r="F8" s="5">
        <f t="shared" si="0"/>
        <v>397.98895027624309</v>
      </c>
      <c r="G8" s="13">
        <f t="shared" si="1"/>
        <v>0.12560386473429952</v>
      </c>
      <c r="L8" t="s">
        <v>130</v>
      </c>
      <c r="M8">
        <v>13186.941144769</v>
      </c>
      <c r="N8">
        <v>634940.45736196195</v>
      </c>
      <c r="Q8">
        <v>1089309.5859661</v>
      </c>
      <c r="T8">
        <v>7006.2114436042002</v>
      </c>
      <c r="U8">
        <v>68541.415695699994</v>
      </c>
      <c r="Z8">
        <v>1625.03668498</v>
      </c>
      <c r="AA8">
        <v>1612.281632915</v>
      </c>
      <c r="AB8">
        <v>538.29843206999999</v>
      </c>
      <c r="AC8">
        <v>2433.72089525</v>
      </c>
      <c r="AJ8">
        <v>232984.01843470999</v>
      </c>
      <c r="AP8">
        <v>30926.761150089998</v>
      </c>
      <c r="AR8">
        <v>465.71283905299998</v>
      </c>
      <c r="AS8">
        <v>5726.6373269309997</v>
      </c>
      <c r="AT8">
        <v>860.81850401600002</v>
      </c>
      <c r="AU8">
        <v>208795.78400801599</v>
      </c>
      <c r="AV8">
        <v>41343.399947147998</v>
      </c>
      <c r="AW8">
        <v>14540.212847000001</v>
      </c>
      <c r="BA8">
        <v>8791.0026670400002</v>
      </c>
      <c r="BD8">
        <v>52066.966445309998</v>
      </c>
      <c r="BE8">
        <v>2869.7207275300002</v>
      </c>
      <c r="BG8">
        <v>13105.459267300001</v>
      </c>
      <c r="BH8">
        <v>860.70023057399999</v>
      </c>
      <c r="BJ8">
        <v>1157.3677783999999</v>
      </c>
      <c r="BL8">
        <v>7272.0488709299998</v>
      </c>
      <c r="BM8">
        <v>2222.1588365399998</v>
      </c>
      <c r="BO8">
        <v>15440.0708037899</v>
      </c>
      <c r="BR8">
        <v>899531.77968162496</v>
      </c>
      <c r="BT8">
        <v>30318.027543</v>
      </c>
      <c r="BU8">
        <v>5240.3268347129997</v>
      </c>
      <c r="BY8">
        <v>277.74006605199997</v>
      </c>
      <c r="CD8">
        <v>24604.696250519999</v>
      </c>
      <c r="CG8">
        <v>128.589162507</v>
      </c>
      <c r="CK8">
        <v>137.70807151299999</v>
      </c>
      <c r="CL8">
        <v>2222.1588365399998</v>
      </c>
      <c r="CQ8">
        <v>153338.19302962799</v>
      </c>
      <c r="CR8">
        <v>5599.7980454099998</v>
      </c>
      <c r="CW8">
        <v>740.22518347300002</v>
      </c>
      <c r="CX8">
        <v>1001.47335003</v>
      </c>
    </row>
    <row r="9" spans="1:102" x14ac:dyDescent="0.3">
      <c r="A9" t="str">
        <v>Kaufdorf</v>
      </c>
      <c r="B9" s="9">
        <v>869</v>
      </c>
      <c r="C9" s="9">
        <v>129</v>
      </c>
      <c r="D9" s="8">
        <v>1</v>
      </c>
      <c r="E9" s="5">
        <v>145</v>
      </c>
      <c r="F9" s="5">
        <f t="shared" si="0"/>
        <v>145</v>
      </c>
      <c r="G9" s="13">
        <f t="shared" si="1"/>
        <v>0.1103448275862069</v>
      </c>
      <c r="L9" t="s">
        <v>131</v>
      </c>
      <c r="M9">
        <v>8691.5554984230002</v>
      </c>
      <c r="N9">
        <v>370863.10916976398</v>
      </c>
      <c r="Q9">
        <v>401302.15109697101</v>
      </c>
      <c r="T9">
        <v>2957.5633706140002</v>
      </c>
      <c r="U9">
        <v>12587.0359085</v>
      </c>
      <c r="Z9">
        <v>946.13058705900005</v>
      </c>
      <c r="AA9">
        <v>1155.0681366705901</v>
      </c>
      <c r="AB9">
        <v>666.67117639499997</v>
      </c>
      <c r="AE9">
        <v>678.89332399600005</v>
      </c>
      <c r="AF9">
        <v>180.54047253799999</v>
      </c>
      <c r="AH9">
        <v>383.308580017</v>
      </c>
      <c r="AI9">
        <v>190.89866851100001</v>
      </c>
      <c r="AJ9">
        <v>93289.059566359996</v>
      </c>
      <c r="AM9">
        <v>22520.798785070001</v>
      </c>
      <c r="AN9">
        <v>13809.8991248</v>
      </c>
      <c r="AP9">
        <v>150402.15869946999</v>
      </c>
      <c r="AS9">
        <v>2131.8954749549998</v>
      </c>
      <c r="AU9">
        <v>76091.920813107005</v>
      </c>
      <c r="AV9">
        <v>19640.322976281001</v>
      </c>
      <c r="BA9">
        <v>12485.227289099999</v>
      </c>
      <c r="BG9">
        <v>2608.08421245</v>
      </c>
      <c r="BJ9">
        <v>80.631355488899999</v>
      </c>
      <c r="BO9">
        <v>1029.433460059</v>
      </c>
      <c r="BR9">
        <v>367405.06327383697</v>
      </c>
      <c r="BT9">
        <v>13087.3213621</v>
      </c>
      <c r="BU9">
        <v>47990.549200081201</v>
      </c>
      <c r="BV9">
        <v>27523.859312770001</v>
      </c>
      <c r="BX9">
        <v>194.36385000300001</v>
      </c>
      <c r="BY9">
        <v>229.811946027</v>
      </c>
      <c r="CA9">
        <v>2788.1505416509999</v>
      </c>
      <c r="CB9">
        <v>27614.954034599999</v>
      </c>
      <c r="CE9">
        <v>1810.62828242</v>
      </c>
      <c r="CK9">
        <v>2839.9001953384</v>
      </c>
      <c r="CQ9">
        <v>95316.519164475001</v>
      </c>
      <c r="CT9">
        <v>4707.7108264799999</v>
      </c>
      <c r="CW9">
        <v>50.460120511200003</v>
      </c>
    </row>
    <row r="10" spans="1:102" x14ac:dyDescent="0.3">
      <c r="A10" t="str">
        <v>Kirchdorf</v>
      </c>
      <c r="B10" s="9">
        <v>872</v>
      </c>
      <c r="C10" s="9">
        <v>743</v>
      </c>
      <c r="D10" s="8">
        <v>0.6918063314711359</v>
      </c>
      <c r="E10" s="5">
        <v>1084</v>
      </c>
      <c r="F10" s="5">
        <f t="shared" si="0"/>
        <v>749.91806331471128</v>
      </c>
      <c r="G10" s="13">
        <f t="shared" si="1"/>
        <v>9.2250922509223843E-3</v>
      </c>
      <c r="L10" t="s">
        <v>132</v>
      </c>
      <c r="M10">
        <v>5335.759244588</v>
      </c>
      <c r="N10">
        <v>912654.63104664197</v>
      </c>
      <c r="Q10">
        <v>2441375.5101809902</v>
      </c>
      <c r="S10">
        <v>710.23142252800005</v>
      </c>
      <c r="T10">
        <v>6375.1047195250003</v>
      </c>
      <c r="U10">
        <v>168006.21031246</v>
      </c>
      <c r="X10">
        <v>16715.645791999999</v>
      </c>
      <c r="Z10">
        <v>1583.10551895</v>
      </c>
      <c r="AA10">
        <v>4846.4004369980003</v>
      </c>
      <c r="AB10">
        <v>913.927414989</v>
      </c>
      <c r="AC10">
        <v>17645.250468400001</v>
      </c>
      <c r="AD10">
        <v>153.17168048089999</v>
      </c>
      <c r="AE10">
        <v>21090.348846839999</v>
      </c>
      <c r="AF10">
        <v>14465.71048292</v>
      </c>
      <c r="AI10">
        <v>2739.912663652</v>
      </c>
      <c r="AJ10">
        <v>495538.06124113698</v>
      </c>
      <c r="AL10">
        <v>537.955895553</v>
      </c>
      <c r="AM10">
        <v>23705.733319229999</v>
      </c>
      <c r="AN10">
        <v>127906.28268860999</v>
      </c>
      <c r="AO10">
        <v>28150.324097649998</v>
      </c>
      <c r="AP10">
        <v>285199.80042290001</v>
      </c>
      <c r="AQ10">
        <v>25153.526536500001</v>
      </c>
      <c r="AS10">
        <v>11948.144168106001</v>
      </c>
      <c r="AT10">
        <v>1326.4100425009999</v>
      </c>
      <c r="AU10">
        <v>559263.80144380196</v>
      </c>
      <c r="AV10">
        <v>102928.531495209</v>
      </c>
      <c r="AW10">
        <v>72844.101015269902</v>
      </c>
      <c r="AY10">
        <v>2539.6061434200001</v>
      </c>
      <c r="AZ10">
        <v>2243.1355074500002</v>
      </c>
      <c r="BA10">
        <v>151823.63907111899</v>
      </c>
      <c r="BD10">
        <v>196879.14348467</v>
      </c>
      <c r="BF10">
        <v>5927.6642295600004</v>
      </c>
      <c r="BL10">
        <v>41103.349536779999</v>
      </c>
      <c r="BM10">
        <v>21323.945328239999</v>
      </c>
      <c r="BN10">
        <v>2607.8340951099999</v>
      </c>
      <c r="BO10">
        <v>14086.164107985</v>
      </c>
      <c r="BR10">
        <v>546493.82410743297</v>
      </c>
      <c r="BT10">
        <v>61735.086044529999</v>
      </c>
      <c r="BU10">
        <v>84967.230776928496</v>
      </c>
      <c r="BX10">
        <v>2786.5157924079999</v>
      </c>
      <c r="BY10">
        <v>6369.8713157467</v>
      </c>
      <c r="CA10">
        <v>500.75184946500002</v>
      </c>
      <c r="CB10">
        <v>50871.309343499997</v>
      </c>
      <c r="CC10">
        <v>3.69652099778</v>
      </c>
      <c r="CD10">
        <v>27657.53137398</v>
      </c>
      <c r="CE10">
        <v>10638.475300624999</v>
      </c>
      <c r="CF10">
        <v>4729.7345550700002</v>
      </c>
      <c r="CG10">
        <v>1251.73868049</v>
      </c>
      <c r="CK10">
        <v>5435.2805076989898</v>
      </c>
      <c r="CL10">
        <v>56600.148783279998</v>
      </c>
      <c r="CQ10">
        <v>190246.88620005699</v>
      </c>
      <c r="CT10">
        <v>5022.9017934900003</v>
      </c>
      <c r="CV10">
        <v>33610.207996149999</v>
      </c>
      <c r="CX10">
        <v>2573.4646700799999</v>
      </c>
    </row>
    <row r="11" spans="1:102" x14ac:dyDescent="0.3">
      <c r="A11" t="str">
        <v>Niedermuhlern</v>
      </c>
      <c r="B11" s="9">
        <v>877</v>
      </c>
      <c r="C11" s="9">
        <v>141</v>
      </c>
      <c r="D11" s="8">
        <v>0.25683060109289618</v>
      </c>
      <c r="E11" s="5">
        <v>594</v>
      </c>
      <c r="F11" s="5">
        <f t="shared" si="0"/>
        <v>152.55737704918033</v>
      </c>
      <c r="G11" s="13">
        <f t="shared" si="1"/>
        <v>7.5757575757575801E-2</v>
      </c>
      <c r="L11" t="s">
        <v>133</v>
      </c>
      <c r="M11">
        <v>13385.36670676</v>
      </c>
      <c r="N11">
        <v>389172.14592915802</v>
      </c>
      <c r="Q11">
        <v>582767.659489632</v>
      </c>
      <c r="U11">
        <v>21021.243079</v>
      </c>
      <c r="AC11">
        <v>15687.691570000001</v>
      </c>
      <c r="AD11">
        <v>429.63706107299998</v>
      </c>
      <c r="AF11">
        <v>26771.110765459998</v>
      </c>
      <c r="AJ11">
        <v>23661.639863</v>
      </c>
      <c r="AO11">
        <v>8822.3426545399998</v>
      </c>
      <c r="AP11">
        <v>202528.27506926999</v>
      </c>
      <c r="AS11">
        <v>8745.2399388909998</v>
      </c>
      <c r="AU11">
        <v>131868.68288846299</v>
      </c>
      <c r="AV11">
        <v>11207.798075859901</v>
      </c>
      <c r="AW11">
        <v>28842.0698980899</v>
      </c>
      <c r="AY11">
        <v>2083.1450805700001</v>
      </c>
      <c r="BA11">
        <v>23438.918701299899</v>
      </c>
      <c r="BD11">
        <v>20861.781966999999</v>
      </c>
      <c r="BG11">
        <v>4003.7971484899999</v>
      </c>
      <c r="BL11">
        <v>7254.8700048000001</v>
      </c>
      <c r="BO11">
        <v>5477.6161713000001</v>
      </c>
      <c r="BR11">
        <v>247693.012603918</v>
      </c>
      <c r="BT11">
        <v>28052.0012671</v>
      </c>
      <c r="BX11">
        <v>736.80398056000001</v>
      </c>
      <c r="CD11">
        <v>79791.144462149998</v>
      </c>
      <c r="CP11">
        <v>28591.844229800001</v>
      </c>
      <c r="CQ11">
        <v>50372.313241147</v>
      </c>
      <c r="CV11">
        <v>11352.827218300001</v>
      </c>
      <c r="CX11">
        <v>2559.68100542</v>
      </c>
    </row>
    <row r="12" spans="1:102" x14ac:dyDescent="0.3">
      <c r="A12" t="str">
        <v>Pohlern</v>
      </c>
      <c r="B12" s="9">
        <v>936</v>
      </c>
      <c r="C12" s="9">
        <v>366</v>
      </c>
      <c r="D12" s="8">
        <v>1</v>
      </c>
      <c r="E12" s="5">
        <v>161</v>
      </c>
      <c r="F12" s="5">
        <f t="shared" si="0"/>
        <v>161</v>
      </c>
      <c r="G12" s="13">
        <f t="shared" si="1"/>
        <v>-1.2732919254658386</v>
      </c>
      <c r="L12" t="s">
        <v>134</v>
      </c>
      <c r="M12">
        <v>14088.9983710709</v>
      </c>
      <c r="N12">
        <v>159659.07868774899</v>
      </c>
      <c r="Q12">
        <v>232560.107344121</v>
      </c>
      <c r="T12">
        <v>1828.7705059424</v>
      </c>
      <c r="U12">
        <v>10009.1880867</v>
      </c>
      <c r="AI12">
        <v>2201.6127470299998</v>
      </c>
      <c r="AJ12">
        <v>28802.047187</v>
      </c>
      <c r="AS12">
        <v>5797.6717026407996</v>
      </c>
      <c r="AT12">
        <v>139.100282115</v>
      </c>
      <c r="AU12">
        <v>84598.826511539897</v>
      </c>
      <c r="AV12">
        <v>64087.374755076002</v>
      </c>
      <c r="BA12">
        <v>25032.9357547</v>
      </c>
      <c r="BB12">
        <v>2915490.5440449999</v>
      </c>
      <c r="BO12">
        <v>62033.6333162499</v>
      </c>
      <c r="BR12">
        <v>882918.03802740702</v>
      </c>
      <c r="BU12">
        <v>137.41005151100001</v>
      </c>
      <c r="BY12">
        <v>2936.2714206001001</v>
      </c>
      <c r="CQ12">
        <v>44021.002955588803</v>
      </c>
      <c r="CS12">
        <v>16323.938011</v>
      </c>
    </row>
    <row r="13" spans="1:102" x14ac:dyDescent="0.3">
      <c r="A13" t="str">
        <v>Riggisberg</v>
      </c>
      <c r="B13" s="9">
        <v>879</v>
      </c>
      <c r="C13" s="9">
        <v>981</v>
      </c>
      <c r="D13" s="8">
        <v>0.60893854748603349</v>
      </c>
      <c r="E13" s="5">
        <v>1369</v>
      </c>
      <c r="F13" s="5">
        <f t="shared" si="0"/>
        <v>833.63687150837984</v>
      </c>
      <c r="G13" s="13">
        <f t="shared" si="1"/>
        <v>-0.1767713659605552</v>
      </c>
      <c r="L13" t="s">
        <v>135</v>
      </c>
      <c r="M13">
        <v>46505.582867119003</v>
      </c>
      <c r="N13">
        <v>2475766.9037605599</v>
      </c>
      <c r="Q13">
        <v>2455371.2097718301</v>
      </c>
      <c r="T13">
        <v>21436.3755810617</v>
      </c>
      <c r="U13">
        <v>111072.61903358001</v>
      </c>
      <c r="W13">
        <v>7095.1756809799999</v>
      </c>
      <c r="X13">
        <v>34018.713980799999</v>
      </c>
      <c r="Z13">
        <v>3228.2896510189998</v>
      </c>
      <c r="AA13">
        <v>1780.0932244609901</v>
      </c>
      <c r="AF13">
        <v>15658.972022432001</v>
      </c>
      <c r="AG13">
        <v>473.01579338300002</v>
      </c>
      <c r="AH13">
        <v>142.44493698599999</v>
      </c>
      <c r="AI13">
        <v>180.44256098700001</v>
      </c>
      <c r="AJ13">
        <v>405806.85981646902</v>
      </c>
      <c r="AK13">
        <v>3605.8999895229999</v>
      </c>
      <c r="AL13">
        <v>598.57172552099996</v>
      </c>
      <c r="AM13">
        <v>26010.80357045</v>
      </c>
      <c r="AP13">
        <v>486007.84665616101</v>
      </c>
      <c r="AR13">
        <v>1182.250575522</v>
      </c>
      <c r="AS13">
        <v>50355.0215779633</v>
      </c>
      <c r="AU13">
        <v>501094.351475175</v>
      </c>
      <c r="AV13">
        <v>334641.99820441101</v>
      </c>
      <c r="AW13">
        <v>29135.849660399999</v>
      </c>
      <c r="AZ13">
        <v>3848.6645645439999</v>
      </c>
      <c r="BA13">
        <v>180524.42853686999</v>
      </c>
      <c r="BB13">
        <v>49429.551383250997</v>
      </c>
      <c r="BD13">
        <v>70402.762742739898</v>
      </c>
      <c r="BE13">
        <v>1087.0586324200001</v>
      </c>
      <c r="BG13">
        <v>17302.03824672</v>
      </c>
      <c r="BH13">
        <v>17287.698212340001</v>
      </c>
      <c r="BI13">
        <v>10731.9970631</v>
      </c>
      <c r="BO13">
        <v>171578.31662503799</v>
      </c>
      <c r="BR13">
        <v>2575769.0014131502</v>
      </c>
      <c r="BT13">
        <v>67599.947135120005</v>
      </c>
      <c r="BU13">
        <v>6618.8618019959904</v>
      </c>
      <c r="BV13">
        <v>27094.686261700001</v>
      </c>
      <c r="BW13">
        <v>2790.5077725800002</v>
      </c>
      <c r="BX13">
        <v>149.475559546</v>
      </c>
      <c r="BY13">
        <v>2725.8696829244</v>
      </c>
      <c r="CA13">
        <v>3108.7805468949</v>
      </c>
      <c r="CC13">
        <v>672.80508505199998</v>
      </c>
      <c r="CD13">
        <v>48961.905229329001</v>
      </c>
      <c r="CE13">
        <v>6416.7861914799996</v>
      </c>
      <c r="CF13">
        <v>480.74863298399998</v>
      </c>
      <c r="CG13">
        <v>321.33218570700001</v>
      </c>
      <c r="CJ13">
        <v>203.40717902399999</v>
      </c>
      <c r="CK13">
        <v>14100.444559936999</v>
      </c>
      <c r="CN13">
        <v>109.475418979</v>
      </c>
      <c r="CQ13">
        <v>219966.594314808</v>
      </c>
      <c r="CS13">
        <v>17349.72828476</v>
      </c>
      <c r="CT13">
        <v>6448.2259305500002</v>
      </c>
      <c r="CV13">
        <v>9955.8764128099992</v>
      </c>
      <c r="CW13">
        <v>4780.78577004</v>
      </c>
      <c r="CX13">
        <v>8495.2028862000006</v>
      </c>
    </row>
    <row r="14" spans="1:102" x14ac:dyDescent="0.3">
      <c r="A14" t="str">
        <v>Rüeggisberg</v>
      </c>
      <c r="B14" s="9">
        <v>880</v>
      </c>
      <c r="C14" s="9">
        <v>318</v>
      </c>
      <c r="D14" s="8">
        <v>0.13996478873239437</v>
      </c>
      <c r="E14" s="5">
        <v>2069</v>
      </c>
      <c r="F14" s="5">
        <f t="shared" si="0"/>
        <v>289.58714788732397</v>
      </c>
      <c r="G14" s="13">
        <f t="shared" si="1"/>
        <v>-9.8115031416142973E-2</v>
      </c>
      <c r="L14" t="s">
        <v>136</v>
      </c>
      <c r="M14">
        <v>1949.71355816</v>
      </c>
      <c r="N14">
        <v>293680.12788868998</v>
      </c>
      <c r="Q14">
        <v>417414.61490211397</v>
      </c>
      <c r="T14">
        <v>3529.528892927</v>
      </c>
      <c r="U14">
        <v>50099.5376407</v>
      </c>
      <c r="Z14">
        <v>15973.796864100001</v>
      </c>
      <c r="AD14">
        <v>183.2491344844</v>
      </c>
      <c r="AF14">
        <v>11770.132379573</v>
      </c>
      <c r="AH14">
        <v>273.150073561</v>
      </c>
      <c r="AJ14">
        <v>61473.715924539902</v>
      </c>
      <c r="AP14">
        <v>75195.531811590001</v>
      </c>
      <c r="AS14">
        <v>2621.906850889</v>
      </c>
      <c r="AU14">
        <v>41214.120613232997</v>
      </c>
      <c r="AV14">
        <v>12435.429780210001</v>
      </c>
      <c r="AW14">
        <v>10045.8582259</v>
      </c>
      <c r="BA14">
        <v>44156.352607219997</v>
      </c>
      <c r="BB14">
        <v>1472316.0468619999</v>
      </c>
      <c r="BD14">
        <v>36178.163711150002</v>
      </c>
      <c r="BO14">
        <v>35840.28235447</v>
      </c>
      <c r="BP14">
        <v>4687.3017366000004</v>
      </c>
      <c r="BR14">
        <v>257050.55823433</v>
      </c>
      <c r="BT14">
        <v>9011.6942880900006</v>
      </c>
      <c r="BV14">
        <v>13461.296872499999</v>
      </c>
      <c r="BX14">
        <v>1299.3026244800001</v>
      </c>
      <c r="CA14">
        <v>1345.033641905</v>
      </c>
      <c r="CF14">
        <v>419.236074024</v>
      </c>
      <c r="CQ14">
        <v>19532.701927996899</v>
      </c>
    </row>
    <row r="15" spans="1:102" x14ac:dyDescent="0.3">
      <c r="A15" t="str">
        <v>Seftigen</v>
      </c>
      <c r="B15" s="9">
        <v>883</v>
      </c>
      <c r="C15" s="9">
        <v>235</v>
      </c>
      <c r="D15" s="8">
        <v>0.91085271317829453</v>
      </c>
      <c r="E15" s="5">
        <v>216</v>
      </c>
      <c r="F15" s="5">
        <f t="shared" si="0"/>
        <v>196.74418604651163</v>
      </c>
      <c r="G15" s="13">
        <f t="shared" si="1"/>
        <v>-0.19444444444444442</v>
      </c>
      <c r="L15" t="s">
        <v>137</v>
      </c>
      <c r="M15">
        <v>8652.737489051</v>
      </c>
      <c r="N15">
        <v>458271.39869774802</v>
      </c>
      <c r="O15">
        <v>87.721900039199994</v>
      </c>
      <c r="Q15">
        <v>565717.33227814198</v>
      </c>
      <c r="T15">
        <v>3535.5023215181</v>
      </c>
      <c r="U15">
        <v>20766.320159089999</v>
      </c>
      <c r="X15">
        <v>1254.2090349099999</v>
      </c>
      <c r="AF15">
        <v>3641.2362925799998</v>
      </c>
      <c r="AJ15">
        <v>107532.47063266901</v>
      </c>
      <c r="AM15">
        <v>8244.1642737099992</v>
      </c>
      <c r="AN15">
        <v>24689.662974399998</v>
      </c>
      <c r="AP15">
        <v>99204.093438099997</v>
      </c>
      <c r="AS15">
        <v>876.07820458200001</v>
      </c>
      <c r="AU15">
        <v>127764.504210827</v>
      </c>
      <c r="AV15">
        <v>12871.86247439</v>
      </c>
      <c r="AW15">
        <v>26423.59214773</v>
      </c>
      <c r="BA15">
        <v>52633.442610179998</v>
      </c>
      <c r="BD15">
        <v>18988.491275330001</v>
      </c>
      <c r="BE15">
        <v>2794.5057477129999</v>
      </c>
      <c r="BO15">
        <v>12670.933311082001</v>
      </c>
      <c r="BR15">
        <v>308504.78850951197</v>
      </c>
      <c r="BS15">
        <v>8608.4854609800004</v>
      </c>
      <c r="BT15">
        <v>6061.3603615700004</v>
      </c>
      <c r="BU15">
        <v>24796.111546510001</v>
      </c>
      <c r="BV15">
        <v>8472.1425767100009</v>
      </c>
      <c r="BY15">
        <v>227.077903456</v>
      </c>
      <c r="CD15">
        <v>4777.2177593699998</v>
      </c>
      <c r="CK15">
        <v>2148.1674564909999</v>
      </c>
      <c r="CL15">
        <v>24569.230946939999</v>
      </c>
      <c r="CQ15">
        <v>76481.847756162504</v>
      </c>
      <c r="CU15">
        <v>5899.3036394600003</v>
      </c>
      <c r="CV15">
        <v>18083.934084299999</v>
      </c>
      <c r="CW15">
        <v>126.777694481</v>
      </c>
      <c r="CX15">
        <v>4291.9762997600001</v>
      </c>
    </row>
    <row r="16" spans="1:102" x14ac:dyDescent="0.3">
      <c r="A16" t="str">
        <v>Stocken-Höfen</v>
      </c>
      <c r="B16" s="9">
        <v>770</v>
      </c>
      <c r="C16" s="9">
        <v>108</v>
      </c>
      <c r="D16" s="8">
        <v>0.16901408450704225</v>
      </c>
      <c r="E16" s="5">
        <v>509</v>
      </c>
      <c r="F16" s="5">
        <f t="shared" si="0"/>
        <v>86.028169014084511</v>
      </c>
      <c r="G16" s="13">
        <f t="shared" si="1"/>
        <v>-0.25540275049115913</v>
      </c>
      <c r="L16" t="s">
        <v>138</v>
      </c>
      <c r="M16">
        <v>4536.5196894299997</v>
      </c>
      <c r="N16">
        <v>115085.00013453999</v>
      </c>
      <c r="Q16">
        <v>198223.19603138001</v>
      </c>
      <c r="T16">
        <v>2029.185829993</v>
      </c>
      <c r="AJ16">
        <v>14183.223599499999</v>
      </c>
      <c r="AS16">
        <v>5610.1659708709903</v>
      </c>
      <c r="AT16">
        <v>351.63893949300001</v>
      </c>
      <c r="AU16">
        <v>45109.9564597469</v>
      </c>
      <c r="AV16">
        <v>2608.3687714799999</v>
      </c>
      <c r="BB16">
        <v>842473.18497399997</v>
      </c>
      <c r="BD16">
        <v>6629.6934876400001</v>
      </c>
      <c r="BO16">
        <v>34549.360543329902</v>
      </c>
      <c r="BR16">
        <v>665354.18196268496</v>
      </c>
      <c r="BY16">
        <v>180.660807019</v>
      </c>
      <c r="CA16">
        <v>9026.4034856399994</v>
      </c>
      <c r="CD16">
        <v>7032.7917676999996</v>
      </c>
      <c r="CQ16">
        <v>24103.371155144301</v>
      </c>
    </row>
    <row r="17" spans="1:102" x14ac:dyDescent="0.3">
      <c r="A17" t="str">
        <v>Thurnen</v>
      </c>
      <c r="B17" s="9">
        <v>889</v>
      </c>
      <c r="C17" s="9">
        <v>467</v>
      </c>
      <c r="D17" s="8">
        <v>1</v>
      </c>
      <c r="E17" s="5">
        <v>482</v>
      </c>
      <c r="F17" s="5">
        <f t="shared" si="0"/>
        <v>482</v>
      </c>
      <c r="G17" s="13">
        <f t="shared" si="1"/>
        <v>3.1120331950207469E-2</v>
      </c>
      <c r="L17" t="s">
        <v>139</v>
      </c>
      <c r="M17">
        <v>10413.621191303</v>
      </c>
      <c r="N17">
        <v>731568.98820894095</v>
      </c>
      <c r="O17">
        <v>115.8536404388</v>
      </c>
      <c r="Q17">
        <v>1707539.4606963</v>
      </c>
      <c r="T17">
        <v>7053.7172923520002</v>
      </c>
      <c r="U17">
        <v>265479.98906877998</v>
      </c>
      <c r="W17">
        <v>9389.8017877499897</v>
      </c>
      <c r="Z17">
        <v>327.05542996299999</v>
      </c>
      <c r="AA17">
        <v>7154.3103581730002</v>
      </c>
      <c r="AD17">
        <v>1741.93905451</v>
      </c>
      <c r="AF17">
        <v>485.97879552400002</v>
      </c>
      <c r="AG17">
        <v>163.957411511</v>
      </c>
      <c r="AH17">
        <v>591.95123200800003</v>
      </c>
      <c r="AJ17">
        <v>346519.91199039901</v>
      </c>
      <c r="AL17">
        <v>121.987298022</v>
      </c>
      <c r="AM17">
        <v>10096.390893399999</v>
      </c>
      <c r="AN17">
        <v>287004.93771083001</v>
      </c>
      <c r="AP17">
        <v>277188.71580598998</v>
      </c>
      <c r="AS17">
        <v>2173.637000701</v>
      </c>
      <c r="AT17">
        <v>1492.4264517709901</v>
      </c>
      <c r="AU17">
        <v>182324.703319597</v>
      </c>
      <c r="AV17">
        <v>22585.208813050001</v>
      </c>
      <c r="AW17">
        <v>10287.902366599999</v>
      </c>
      <c r="AX17">
        <v>8552.6206595200001</v>
      </c>
      <c r="AY17">
        <v>10367.3195849</v>
      </c>
      <c r="BA17">
        <v>118445.851161799</v>
      </c>
      <c r="BC17">
        <v>5185.4122691000002</v>
      </c>
      <c r="BD17">
        <v>193034.45899367001</v>
      </c>
      <c r="BG17">
        <v>13986.34494065</v>
      </c>
      <c r="BH17">
        <v>4929.4538973999997</v>
      </c>
      <c r="BK17">
        <v>5710.0353679899999</v>
      </c>
      <c r="BO17">
        <v>32676.965812679999</v>
      </c>
      <c r="BQ17">
        <v>1101.0202739399999</v>
      </c>
      <c r="BR17">
        <v>380278.68392065802</v>
      </c>
      <c r="BT17">
        <v>15942.84029624</v>
      </c>
      <c r="BU17">
        <v>32535.098349087999</v>
      </c>
      <c r="CB17">
        <v>6537.534647042</v>
      </c>
      <c r="CE17">
        <v>4514.5465333599996</v>
      </c>
      <c r="CF17">
        <v>1022.45149296</v>
      </c>
      <c r="CG17">
        <v>8642.4107380229998</v>
      </c>
      <c r="CJ17">
        <v>1507.2599200372999</v>
      </c>
      <c r="CK17">
        <v>2999.7498046410001</v>
      </c>
      <c r="CL17">
        <v>325.03682346300002</v>
      </c>
      <c r="CQ17">
        <v>122536.140300099</v>
      </c>
      <c r="CT17">
        <v>5042.8364998999996</v>
      </c>
      <c r="CV17">
        <v>9524.6847555799995</v>
      </c>
      <c r="CW17">
        <v>581.46257143299999</v>
      </c>
      <c r="CX17">
        <v>6408.5445554039998</v>
      </c>
    </row>
    <row r="18" spans="1:102" x14ac:dyDescent="0.3">
      <c r="A18" t="str">
        <v>Toffen</v>
      </c>
      <c r="B18" s="9">
        <v>884</v>
      </c>
      <c r="C18" s="9">
        <v>297</v>
      </c>
      <c r="D18" s="8">
        <v>1</v>
      </c>
      <c r="E18" s="5">
        <v>282</v>
      </c>
      <c r="F18" s="5">
        <f t="shared" si="0"/>
        <v>282</v>
      </c>
      <c r="G18" s="13">
        <f t="shared" si="1"/>
        <v>-5.3191489361702038E-2</v>
      </c>
      <c r="L18" t="s">
        <v>140</v>
      </c>
      <c r="M18">
        <v>7340.5615006959997</v>
      </c>
      <c r="N18">
        <v>553115.05772144604</v>
      </c>
      <c r="Q18">
        <v>1011496.07009191</v>
      </c>
      <c r="T18">
        <v>6358.6915900969998</v>
      </c>
      <c r="U18">
        <v>68545.50952408</v>
      </c>
      <c r="V18">
        <v>8208.4342667399997</v>
      </c>
      <c r="AD18">
        <v>998.53324396400001</v>
      </c>
      <c r="AF18">
        <v>38389.41823114</v>
      </c>
      <c r="AI18">
        <v>332.32179115100001</v>
      </c>
      <c r="AJ18">
        <v>295945.34882265999</v>
      </c>
      <c r="AL18">
        <v>1116.1330483700001</v>
      </c>
      <c r="AN18">
        <v>6729.4530517499998</v>
      </c>
      <c r="AP18">
        <v>237426.06249812999</v>
      </c>
      <c r="AR18">
        <v>517.452031519</v>
      </c>
      <c r="AS18">
        <v>4467.4831472340002</v>
      </c>
      <c r="AU18">
        <v>241473.821673361</v>
      </c>
      <c r="AV18">
        <v>56486.877103952997</v>
      </c>
      <c r="AW18">
        <v>23388.921205499999</v>
      </c>
      <c r="BA18">
        <v>6451.6193688800004</v>
      </c>
      <c r="BD18">
        <v>13948.563538189999</v>
      </c>
      <c r="BG18">
        <v>41962.522752730001</v>
      </c>
      <c r="BR18">
        <v>238417.084838857</v>
      </c>
      <c r="BT18">
        <v>14100.661617100001</v>
      </c>
      <c r="BU18">
        <v>33774.885462108999</v>
      </c>
      <c r="BY18">
        <v>1966.86650294899</v>
      </c>
      <c r="CA18">
        <v>2632.0356193899902</v>
      </c>
      <c r="CB18">
        <v>16108.6861785</v>
      </c>
      <c r="CH18">
        <v>35599.339538200002</v>
      </c>
      <c r="CJ18">
        <v>8988.9894987799998</v>
      </c>
      <c r="CK18">
        <v>775.576762433</v>
      </c>
      <c r="CQ18">
        <v>124003.591247502</v>
      </c>
      <c r="CW18">
        <v>1693.269877636</v>
      </c>
    </row>
    <row r="19" spans="1:102" x14ac:dyDescent="0.3">
      <c r="A19" t="str">
        <v>Uebeschi</v>
      </c>
      <c r="B19" s="9">
        <v>943</v>
      </c>
      <c r="C19" s="9">
        <v>159</v>
      </c>
      <c r="D19" s="8">
        <v>0.40253164556962023</v>
      </c>
      <c r="E19" s="5">
        <v>422</v>
      </c>
      <c r="F19" s="5">
        <f t="shared" si="0"/>
        <v>169.86835443037972</v>
      </c>
      <c r="G19" s="13">
        <f t="shared" si="1"/>
        <v>6.3981042654028264E-2</v>
      </c>
      <c r="L19" t="s">
        <v>141</v>
      </c>
      <c r="M19">
        <v>3423.2861288300001</v>
      </c>
      <c r="N19">
        <v>329987.11370877898</v>
      </c>
      <c r="Q19">
        <v>335588.70846657001</v>
      </c>
      <c r="T19">
        <v>2378.7608190211999</v>
      </c>
      <c r="U19">
        <v>38691.178105970001</v>
      </c>
      <c r="X19">
        <v>26784.044025309999</v>
      </c>
      <c r="AJ19">
        <v>102926.62211295401</v>
      </c>
      <c r="AP19">
        <v>6680.8338529299999</v>
      </c>
      <c r="AS19">
        <v>3489.440743008</v>
      </c>
      <c r="AT19">
        <v>357.97367802799999</v>
      </c>
      <c r="AU19">
        <v>61834.110931553201</v>
      </c>
      <c r="AV19">
        <v>11910.3901095</v>
      </c>
      <c r="AY19">
        <v>50412.961168199901</v>
      </c>
      <c r="BA19">
        <v>27406.436255379998</v>
      </c>
      <c r="BD19">
        <v>11500.004312020001</v>
      </c>
      <c r="BO19">
        <v>42601.506575369</v>
      </c>
      <c r="BQ19">
        <v>110.421761473</v>
      </c>
      <c r="BR19">
        <v>1144917.89943142</v>
      </c>
      <c r="BU19">
        <v>1073.957469294</v>
      </c>
      <c r="BY19">
        <v>1376.7715670309999</v>
      </c>
      <c r="CD19">
        <v>2577.8737169770002</v>
      </c>
      <c r="CG19">
        <v>174.686783967</v>
      </c>
      <c r="CQ19">
        <v>82405.235208503</v>
      </c>
    </row>
    <row r="20" spans="1:102" x14ac:dyDescent="0.3">
      <c r="A20" t="str">
        <v>Uetendorf</v>
      </c>
      <c r="B20" s="9">
        <v>944</v>
      </c>
      <c r="C20" s="9">
        <v>20</v>
      </c>
      <c r="D20" s="8">
        <v>2.8248587570621469E-2</v>
      </c>
      <c r="E20" s="5">
        <v>644</v>
      </c>
      <c r="F20" s="5">
        <f t="shared" si="0"/>
        <v>18.192090395480225</v>
      </c>
      <c r="G20" s="13">
        <f t="shared" si="1"/>
        <v>-9.9378881987577605E-2</v>
      </c>
      <c r="L20" t="s">
        <v>142</v>
      </c>
      <c r="N20">
        <v>48938.376797749901</v>
      </c>
      <c r="Q20">
        <v>17354.031588490001</v>
      </c>
      <c r="U20">
        <v>6012.68176511</v>
      </c>
      <c r="AD20">
        <v>174.11290401799999</v>
      </c>
      <c r="AJ20">
        <v>47497.817824500002</v>
      </c>
      <c r="AP20">
        <v>33579.453024599999</v>
      </c>
      <c r="AU20">
        <v>8881.995884639</v>
      </c>
      <c r="BA20">
        <v>41857.784411319997</v>
      </c>
      <c r="BR20">
        <v>4580.3594557030001</v>
      </c>
      <c r="BT20">
        <v>17881.974555000001</v>
      </c>
      <c r="BU20">
        <v>3381.1970800680001</v>
      </c>
      <c r="CQ20">
        <v>4928.8706922669999</v>
      </c>
      <c r="CV20">
        <v>59111.2478892</v>
      </c>
      <c r="CX20">
        <v>12290.6533015</v>
      </c>
    </row>
    <row r="21" spans="1:102" x14ac:dyDescent="0.3">
      <c r="A21" t="str">
        <v>Wald</v>
      </c>
      <c r="B21" s="9">
        <v>888</v>
      </c>
      <c r="C21" s="9">
        <v>77</v>
      </c>
      <c r="D21" s="8">
        <v>7.8491335372069315E-2</v>
      </c>
      <c r="E21" s="5">
        <v>1054</v>
      </c>
      <c r="F21" s="5">
        <f t="shared" si="0"/>
        <v>82.729867482161055</v>
      </c>
      <c r="G21" s="13">
        <f t="shared" si="1"/>
        <v>6.9259962049335821E-2</v>
      </c>
      <c r="L21" t="s">
        <v>143</v>
      </c>
      <c r="M21">
        <v>2628.796508505</v>
      </c>
      <c r="N21">
        <v>143890.27914984</v>
      </c>
      <c r="Q21">
        <v>114729.58016611</v>
      </c>
      <c r="R21">
        <v>1870.38181618</v>
      </c>
      <c r="T21">
        <v>730.73231802400005</v>
      </c>
      <c r="U21">
        <v>30698.565975699999</v>
      </c>
      <c r="AA21">
        <v>1712.54014009</v>
      </c>
      <c r="AB21">
        <v>2799.3838705190001</v>
      </c>
      <c r="AE21">
        <v>15304.542814549999</v>
      </c>
      <c r="AF21">
        <v>7433.7947315499996</v>
      </c>
      <c r="AJ21">
        <v>37720.87010896</v>
      </c>
      <c r="AL21">
        <v>3874.0026567899999</v>
      </c>
      <c r="AO21">
        <v>17684.671585960001</v>
      </c>
      <c r="AP21">
        <v>54581.434261410002</v>
      </c>
      <c r="AQ21">
        <v>6144.1671609200002</v>
      </c>
      <c r="AU21">
        <v>44865.076547345001</v>
      </c>
      <c r="AV21">
        <v>5959.3351622500004</v>
      </c>
      <c r="AW21">
        <v>7326.4284077700004</v>
      </c>
      <c r="AY21">
        <v>17572.381918800002</v>
      </c>
      <c r="BR21">
        <v>49246.561500165997</v>
      </c>
      <c r="BT21">
        <v>15882.165185399999</v>
      </c>
      <c r="BU21">
        <v>30521.279297939898</v>
      </c>
      <c r="CD21">
        <v>13487.25660683</v>
      </c>
      <c r="CK21">
        <v>5146.6918355600001</v>
      </c>
      <c r="CN21">
        <v>3874.0026567899999</v>
      </c>
      <c r="CQ21">
        <v>35068.054745051901</v>
      </c>
      <c r="CW21">
        <v>361.09043000100002</v>
      </c>
      <c r="CX21">
        <v>3508.7935024600001</v>
      </c>
    </row>
    <row r="22" spans="1:102" x14ac:dyDescent="0.3">
      <c r="A22" s="7" t="str">
        <v>Wattenwil</v>
      </c>
      <c r="B22" s="10">
        <v>886</v>
      </c>
      <c r="C22" s="10">
        <v>578</v>
      </c>
      <c r="D22" s="12">
        <v>0.99483648881239239</v>
      </c>
      <c r="E22" s="11">
        <v>531</v>
      </c>
      <c r="F22" s="11">
        <f t="shared" si="0"/>
        <v>528.25817555938033</v>
      </c>
      <c r="G22" s="14">
        <f t="shared" si="1"/>
        <v>-9.4161958568738324E-2</v>
      </c>
      <c r="H22" s="7"/>
      <c r="I22" s="7"/>
      <c r="J22" s="7"/>
      <c r="L22" t="s">
        <v>144</v>
      </c>
      <c r="M22">
        <v>9169.3384300749894</v>
      </c>
      <c r="N22">
        <v>881669.097329251</v>
      </c>
      <c r="P22">
        <v>2482.7054719150001</v>
      </c>
      <c r="Q22">
        <v>808610.45951399195</v>
      </c>
      <c r="T22">
        <v>10342.3586276066</v>
      </c>
      <c r="U22">
        <v>31747.777729329999</v>
      </c>
      <c r="Y22">
        <v>2760.7035174500002</v>
      </c>
      <c r="Z22">
        <v>539.13135999300005</v>
      </c>
      <c r="AB22">
        <v>252.19575299249999</v>
      </c>
      <c r="AD22">
        <v>2020.4302299850001</v>
      </c>
      <c r="AF22">
        <v>1281.6040239500001</v>
      </c>
      <c r="AH22">
        <v>348.69276549199998</v>
      </c>
      <c r="AJ22">
        <v>334473.96206092997</v>
      </c>
      <c r="AL22">
        <v>17.396066508600001</v>
      </c>
      <c r="AM22">
        <v>4679.84299844</v>
      </c>
      <c r="AP22">
        <v>18219.230408269999</v>
      </c>
      <c r="AS22">
        <v>9514.7216747370003</v>
      </c>
      <c r="AU22">
        <v>381578.56031422003</v>
      </c>
      <c r="AV22">
        <v>142052.14250562299</v>
      </c>
      <c r="AY22">
        <v>5803.9737249999998</v>
      </c>
      <c r="BA22">
        <v>69709.200782699903</v>
      </c>
      <c r="BD22">
        <v>64920.442237980002</v>
      </c>
      <c r="BG22">
        <v>9365.4067891300001</v>
      </c>
      <c r="BL22">
        <v>395.12949349500002</v>
      </c>
      <c r="BO22">
        <v>151235.02111150001</v>
      </c>
      <c r="BR22">
        <v>2392738.62876938</v>
      </c>
      <c r="BT22">
        <v>11618.367361549999</v>
      </c>
      <c r="BU22">
        <v>11830.220824194001</v>
      </c>
      <c r="BY22">
        <v>43.259088004900001</v>
      </c>
      <c r="CA22">
        <v>1211.5332429600001</v>
      </c>
      <c r="CD22">
        <v>9129.9411887779897</v>
      </c>
      <c r="CE22">
        <v>8986.9810096599995</v>
      </c>
      <c r="CM22">
        <v>4388.4377151899998</v>
      </c>
      <c r="CO22">
        <v>2757.5414041499998</v>
      </c>
      <c r="CP22">
        <v>8034.3774494299996</v>
      </c>
      <c r="CQ22">
        <v>234007.11317188299</v>
      </c>
      <c r="CX22">
        <v>948.42816954399996</v>
      </c>
    </row>
    <row r="23" spans="1:102" ht="15" thickBot="1" x14ac:dyDescent="0.35">
      <c r="A23" s="15" t="s">
        <v>145</v>
      </c>
      <c r="B23" s="16"/>
      <c r="C23" s="17">
        <f>SUM(C3:C22)</f>
        <v>7102</v>
      </c>
      <c r="D23" s="18"/>
      <c r="E23" s="19"/>
      <c r="F23" s="20">
        <f>SUM(F3:F22)</f>
        <v>6571.7046736742304</v>
      </c>
      <c r="G23" s="19">
        <f t="shared" si="1"/>
        <v>-8.0693724483708706E-2</v>
      </c>
      <c r="I23" s="21">
        <v>8581</v>
      </c>
      <c r="J23" s="21">
        <v>8076</v>
      </c>
    </row>
    <row r="24" spans="1:102" ht="15" thickTop="1" x14ac:dyDescent="0.3"/>
    <row r="38" spans="1:3" x14ac:dyDescent="0.3">
      <c r="A38" t="s">
        <v>146</v>
      </c>
      <c r="B38" t="s">
        <v>147</v>
      </c>
    </row>
    <row r="39" spans="1:3" x14ac:dyDescent="0.3">
      <c r="A39" s="3" t="s">
        <v>148</v>
      </c>
    </row>
    <row r="40" spans="1:3" x14ac:dyDescent="0.3">
      <c r="A40" s="4" t="s">
        <v>149</v>
      </c>
      <c r="B40" s="4" t="s">
        <v>150</v>
      </c>
      <c r="C40" s="4"/>
    </row>
    <row r="51" spans="1:3" x14ac:dyDescent="0.3">
      <c r="A51" s="2" t="s">
        <v>151</v>
      </c>
      <c r="B51" s="2" t="s">
        <v>152</v>
      </c>
      <c r="C51" s="2"/>
    </row>
    <row r="52" spans="1:3" x14ac:dyDescent="0.3">
      <c r="A52" t="s">
        <v>153</v>
      </c>
    </row>
    <row r="53" spans="1:3" x14ac:dyDescent="0.3">
      <c r="A53" t="s">
        <v>154</v>
      </c>
    </row>
    <row r="55" spans="1:3" x14ac:dyDescent="0.3">
      <c r="A55" t="s">
        <v>155</v>
      </c>
    </row>
  </sheetData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1CC8-56DE-46AE-8293-EFE850972C18}">
  <dimension ref="A1:P23"/>
  <sheetViews>
    <sheetView workbookViewId="0">
      <selection activeCell="F33" sqref="F33"/>
    </sheetView>
  </sheetViews>
  <sheetFormatPr baseColWidth="10" defaultColWidth="11.44140625" defaultRowHeight="14.4" x14ac:dyDescent="0.3"/>
  <cols>
    <col min="13" max="13" width="15.6640625" customWidth="1"/>
  </cols>
  <sheetData>
    <row r="1" spans="1:16" ht="31.95" customHeight="1" x14ac:dyDescent="0.3">
      <c r="A1" s="2" t="s">
        <v>156</v>
      </c>
      <c r="B1" s="2"/>
      <c r="C1" s="2"/>
      <c r="D1" s="2"/>
      <c r="E1" s="2"/>
      <c r="F1" s="2"/>
      <c r="G1" s="2" t="s">
        <v>157</v>
      </c>
      <c r="H1" s="2"/>
      <c r="N1" s="2" t="s">
        <v>158</v>
      </c>
      <c r="O1" s="2"/>
      <c r="P1" s="2"/>
    </row>
    <row r="2" spans="1:16" x14ac:dyDescent="0.3">
      <c r="A2" t="s">
        <v>159</v>
      </c>
      <c r="B2">
        <v>1</v>
      </c>
      <c r="C2">
        <v>2</v>
      </c>
      <c r="D2">
        <v>3</v>
      </c>
      <c r="E2">
        <v>4</v>
      </c>
      <c r="G2" t="s">
        <v>159</v>
      </c>
      <c r="H2">
        <v>1</v>
      </c>
      <c r="I2">
        <v>2</v>
      </c>
      <c r="J2">
        <v>3</v>
      </c>
      <c r="K2">
        <v>4</v>
      </c>
    </row>
    <row r="3" spans="1:16" x14ac:dyDescent="0.3">
      <c r="A3" s="7" t="s">
        <v>160</v>
      </c>
      <c r="B3" s="7"/>
      <c r="C3" s="7"/>
      <c r="D3" s="7"/>
      <c r="E3" s="7"/>
      <c r="F3" s="7"/>
      <c r="G3" s="7" t="s">
        <v>160</v>
      </c>
      <c r="H3" s="7"/>
      <c r="I3" s="7"/>
      <c r="J3" s="7"/>
      <c r="K3" s="7"/>
      <c r="L3" s="7"/>
      <c r="M3" s="4" t="s">
        <v>161</v>
      </c>
      <c r="N3" s="4" t="s">
        <v>160</v>
      </c>
      <c r="O3" s="4" t="s">
        <v>162</v>
      </c>
      <c r="P3" s="4" t="s">
        <v>163</v>
      </c>
    </row>
    <row r="4" spans="1:16" x14ac:dyDescent="0.3">
      <c r="A4">
        <v>861</v>
      </c>
      <c r="B4">
        <v>62</v>
      </c>
      <c r="C4">
        <v>311</v>
      </c>
      <c r="D4">
        <v>209</v>
      </c>
      <c r="E4">
        <v>4</v>
      </c>
      <c r="G4">
        <v>861</v>
      </c>
      <c r="H4">
        <v>302</v>
      </c>
      <c r="I4">
        <v>988</v>
      </c>
      <c r="J4">
        <v>400</v>
      </c>
      <c r="K4">
        <v>54</v>
      </c>
      <c r="M4" t="s">
        <v>125</v>
      </c>
      <c r="N4">
        <f t="shared" ref="N4:N23" si="0">G4</f>
        <v>861</v>
      </c>
      <c r="O4" s="8">
        <f t="shared" ref="O4:O23" si="1">C4/(C4+I4)</f>
        <v>0.23941493456505003</v>
      </c>
      <c r="P4" s="8">
        <f t="shared" ref="P4:P23" si="2">B4/(B4+H4)</f>
        <v>0.17032967032967034</v>
      </c>
    </row>
    <row r="5" spans="1:16" x14ac:dyDescent="0.3">
      <c r="A5">
        <v>922</v>
      </c>
      <c r="B5">
        <v>62</v>
      </c>
      <c r="C5">
        <v>745</v>
      </c>
      <c r="D5">
        <v>627</v>
      </c>
      <c r="E5">
        <v>116</v>
      </c>
      <c r="G5">
        <v>922</v>
      </c>
      <c r="H5">
        <v>0</v>
      </c>
      <c r="I5">
        <v>0</v>
      </c>
      <c r="J5">
        <v>0</v>
      </c>
      <c r="K5">
        <v>0</v>
      </c>
      <c r="M5" t="s">
        <v>126</v>
      </c>
      <c r="N5">
        <f t="shared" si="0"/>
        <v>922</v>
      </c>
      <c r="O5" s="8">
        <f t="shared" si="1"/>
        <v>1</v>
      </c>
      <c r="P5" s="8">
        <f t="shared" si="2"/>
        <v>1</v>
      </c>
    </row>
    <row r="6" spans="1:16" x14ac:dyDescent="0.3">
      <c r="A6">
        <v>863</v>
      </c>
      <c r="B6">
        <v>73</v>
      </c>
      <c r="C6">
        <v>574</v>
      </c>
      <c r="D6">
        <v>100</v>
      </c>
      <c r="E6">
        <v>5</v>
      </c>
      <c r="G6">
        <v>863</v>
      </c>
      <c r="H6">
        <v>0</v>
      </c>
      <c r="I6">
        <v>0</v>
      </c>
      <c r="J6">
        <v>0</v>
      </c>
      <c r="K6">
        <v>0</v>
      </c>
      <c r="M6" t="s">
        <v>127</v>
      </c>
      <c r="N6">
        <f t="shared" si="0"/>
        <v>863</v>
      </c>
      <c r="O6" s="8">
        <f t="shared" si="1"/>
        <v>1</v>
      </c>
      <c r="P6" s="8">
        <f t="shared" si="2"/>
        <v>1</v>
      </c>
    </row>
    <row r="7" spans="1:16" x14ac:dyDescent="0.3">
      <c r="A7">
        <v>948</v>
      </c>
      <c r="B7">
        <v>39</v>
      </c>
      <c r="C7">
        <v>281</v>
      </c>
      <c r="D7">
        <v>91</v>
      </c>
      <c r="E7">
        <v>13</v>
      </c>
      <c r="G7">
        <v>948</v>
      </c>
      <c r="H7">
        <v>3</v>
      </c>
      <c r="I7">
        <v>21</v>
      </c>
      <c r="J7">
        <v>4</v>
      </c>
      <c r="K7">
        <v>0</v>
      </c>
      <c r="M7" t="s">
        <v>128</v>
      </c>
      <c r="N7">
        <f t="shared" si="0"/>
        <v>948</v>
      </c>
      <c r="O7" s="8">
        <f t="shared" si="1"/>
        <v>0.93046357615894038</v>
      </c>
      <c r="P7" s="8">
        <f t="shared" si="2"/>
        <v>0.9285714285714286</v>
      </c>
    </row>
    <row r="8" spans="1:16" x14ac:dyDescent="0.3">
      <c r="A8">
        <v>866</v>
      </c>
      <c r="B8">
        <v>46</v>
      </c>
      <c r="C8">
        <v>224</v>
      </c>
      <c r="D8">
        <v>27</v>
      </c>
      <c r="E8">
        <v>14</v>
      </c>
      <c r="G8">
        <v>866</v>
      </c>
      <c r="H8">
        <v>31</v>
      </c>
      <c r="I8">
        <v>296</v>
      </c>
      <c r="J8">
        <v>130</v>
      </c>
      <c r="K8">
        <v>13</v>
      </c>
      <c r="M8" t="s">
        <v>129</v>
      </c>
      <c r="N8">
        <f t="shared" si="0"/>
        <v>866</v>
      </c>
      <c r="O8" s="8">
        <f t="shared" si="1"/>
        <v>0.43076923076923079</v>
      </c>
      <c r="P8" s="8">
        <f t="shared" si="2"/>
        <v>0.59740259740259738</v>
      </c>
    </row>
    <row r="9" spans="1:16" x14ac:dyDescent="0.3">
      <c r="A9">
        <v>867</v>
      </c>
      <c r="B9">
        <v>31</v>
      </c>
      <c r="C9">
        <v>348</v>
      </c>
      <c r="D9">
        <v>54</v>
      </c>
      <c r="E9">
        <v>0</v>
      </c>
      <c r="G9">
        <v>867</v>
      </c>
      <c r="H9">
        <v>1</v>
      </c>
      <c r="I9">
        <v>14</v>
      </c>
      <c r="J9">
        <v>1</v>
      </c>
      <c r="K9">
        <v>0</v>
      </c>
      <c r="M9" t="s">
        <v>130</v>
      </c>
      <c r="N9">
        <f t="shared" si="0"/>
        <v>867</v>
      </c>
      <c r="O9" s="8">
        <f t="shared" si="1"/>
        <v>0.96132596685082872</v>
      </c>
      <c r="P9" s="8">
        <f t="shared" si="2"/>
        <v>0.96875</v>
      </c>
    </row>
    <row r="10" spans="1:16" x14ac:dyDescent="0.3">
      <c r="A10">
        <v>869</v>
      </c>
      <c r="B10">
        <v>44</v>
      </c>
      <c r="C10">
        <v>129</v>
      </c>
      <c r="D10">
        <v>30</v>
      </c>
      <c r="E10">
        <v>3</v>
      </c>
      <c r="G10">
        <v>869</v>
      </c>
      <c r="H10">
        <v>0</v>
      </c>
      <c r="I10">
        <v>0</v>
      </c>
      <c r="J10">
        <v>0</v>
      </c>
      <c r="K10">
        <v>0</v>
      </c>
      <c r="M10" t="s">
        <v>131</v>
      </c>
      <c r="N10">
        <f t="shared" si="0"/>
        <v>869</v>
      </c>
      <c r="O10" s="8">
        <f t="shared" si="1"/>
        <v>1</v>
      </c>
      <c r="P10" s="8">
        <f t="shared" si="2"/>
        <v>1</v>
      </c>
    </row>
    <row r="11" spans="1:16" x14ac:dyDescent="0.3">
      <c r="A11">
        <v>872</v>
      </c>
      <c r="B11">
        <v>55</v>
      </c>
      <c r="C11">
        <v>743</v>
      </c>
      <c r="D11">
        <v>154</v>
      </c>
      <c r="E11">
        <v>19</v>
      </c>
      <c r="G11">
        <v>872</v>
      </c>
      <c r="H11">
        <v>74</v>
      </c>
      <c r="I11">
        <v>331</v>
      </c>
      <c r="J11">
        <v>88</v>
      </c>
      <c r="K11">
        <v>1</v>
      </c>
      <c r="M11" t="s">
        <v>164</v>
      </c>
      <c r="N11">
        <f t="shared" si="0"/>
        <v>872</v>
      </c>
      <c r="O11" s="8">
        <f t="shared" si="1"/>
        <v>0.6918063314711359</v>
      </c>
      <c r="P11" s="8">
        <f t="shared" si="2"/>
        <v>0.4263565891472868</v>
      </c>
    </row>
    <row r="12" spans="1:16" x14ac:dyDescent="0.3">
      <c r="A12">
        <v>877</v>
      </c>
      <c r="B12">
        <v>10</v>
      </c>
      <c r="C12">
        <v>141</v>
      </c>
      <c r="D12">
        <v>38</v>
      </c>
      <c r="E12">
        <v>0</v>
      </c>
      <c r="G12">
        <v>877</v>
      </c>
      <c r="H12">
        <v>32</v>
      </c>
      <c r="I12">
        <v>408</v>
      </c>
      <c r="J12">
        <v>90</v>
      </c>
      <c r="K12">
        <v>0</v>
      </c>
      <c r="M12" t="s">
        <v>133</v>
      </c>
      <c r="N12">
        <f t="shared" si="0"/>
        <v>877</v>
      </c>
      <c r="O12" s="8">
        <f t="shared" si="1"/>
        <v>0.25683060109289618</v>
      </c>
      <c r="P12" s="8">
        <f t="shared" si="2"/>
        <v>0.23809523809523808</v>
      </c>
    </row>
    <row r="13" spans="1:16" x14ac:dyDescent="0.3">
      <c r="A13">
        <v>936</v>
      </c>
      <c r="B13">
        <v>19</v>
      </c>
      <c r="C13">
        <v>366</v>
      </c>
      <c r="D13">
        <v>455</v>
      </c>
      <c r="E13">
        <v>149</v>
      </c>
      <c r="G13">
        <v>936</v>
      </c>
      <c r="H13">
        <v>0</v>
      </c>
      <c r="I13">
        <v>0</v>
      </c>
      <c r="J13">
        <v>0</v>
      </c>
      <c r="K13">
        <v>0</v>
      </c>
      <c r="M13" t="s">
        <v>134</v>
      </c>
      <c r="N13">
        <f t="shared" si="0"/>
        <v>936</v>
      </c>
      <c r="O13" s="8">
        <f t="shared" si="1"/>
        <v>1</v>
      </c>
      <c r="P13" s="8">
        <f t="shared" si="2"/>
        <v>1</v>
      </c>
    </row>
    <row r="14" spans="1:16" x14ac:dyDescent="0.3">
      <c r="A14">
        <v>879</v>
      </c>
      <c r="B14">
        <v>156</v>
      </c>
      <c r="C14">
        <v>981</v>
      </c>
      <c r="D14">
        <v>403</v>
      </c>
      <c r="E14">
        <v>8</v>
      </c>
      <c r="G14">
        <v>879</v>
      </c>
      <c r="H14">
        <v>59</v>
      </c>
      <c r="I14">
        <v>630</v>
      </c>
      <c r="J14">
        <v>1207</v>
      </c>
      <c r="K14">
        <v>17</v>
      </c>
      <c r="M14" t="s">
        <v>135</v>
      </c>
      <c r="N14">
        <f t="shared" si="0"/>
        <v>879</v>
      </c>
      <c r="O14" s="8">
        <f t="shared" si="1"/>
        <v>0.60893854748603349</v>
      </c>
      <c r="P14" s="8">
        <f t="shared" si="2"/>
        <v>0.72558139534883725</v>
      </c>
    </row>
    <row r="15" spans="1:16" x14ac:dyDescent="0.3">
      <c r="A15">
        <v>880</v>
      </c>
      <c r="B15">
        <v>21</v>
      </c>
      <c r="C15">
        <v>318</v>
      </c>
      <c r="D15">
        <v>132</v>
      </c>
      <c r="E15">
        <v>32</v>
      </c>
      <c r="G15">
        <v>880</v>
      </c>
      <c r="H15">
        <v>145</v>
      </c>
      <c r="I15">
        <v>1954</v>
      </c>
      <c r="J15">
        <v>945</v>
      </c>
      <c r="K15">
        <v>27</v>
      </c>
      <c r="M15" t="s">
        <v>136</v>
      </c>
      <c r="N15">
        <f t="shared" si="0"/>
        <v>880</v>
      </c>
      <c r="O15" s="8">
        <f t="shared" si="1"/>
        <v>0.13996478873239437</v>
      </c>
      <c r="P15" s="8">
        <f t="shared" si="2"/>
        <v>0.12650602409638553</v>
      </c>
    </row>
    <row r="16" spans="1:16" x14ac:dyDescent="0.3">
      <c r="A16">
        <v>883</v>
      </c>
      <c r="B16">
        <v>62</v>
      </c>
      <c r="C16">
        <v>235</v>
      </c>
      <c r="D16">
        <v>53</v>
      </c>
      <c r="E16">
        <v>2</v>
      </c>
      <c r="G16">
        <v>883</v>
      </c>
      <c r="H16">
        <v>4</v>
      </c>
      <c r="I16">
        <v>23</v>
      </c>
      <c r="J16">
        <v>13</v>
      </c>
      <c r="K16">
        <v>0</v>
      </c>
      <c r="M16" t="s">
        <v>137</v>
      </c>
      <c r="N16">
        <f t="shared" si="0"/>
        <v>883</v>
      </c>
      <c r="O16" s="8">
        <f t="shared" si="1"/>
        <v>0.91085271317829453</v>
      </c>
      <c r="P16" s="8">
        <f t="shared" si="2"/>
        <v>0.93939393939393945</v>
      </c>
    </row>
    <row r="17" spans="1:16" x14ac:dyDescent="0.3">
      <c r="A17">
        <v>770</v>
      </c>
      <c r="B17">
        <v>5</v>
      </c>
      <c r="C17">
        <v>108</v>
      </c>
      <c r="D17">
        <v>28</v>
      </c>
      <c r="E17">
        <v>15</v>
      </c>
      <c r="G17">
        <v>770</v>
      </c>
      <c r="H17">
        <v>61</v>
      </c>
      <c r="I17">
        <v>531</v>
      </c>
      <c r="J17">
        <v>535</v>
      </c>
      <c r="K17">
        <v>141</v>
      </c>
      <c r="M17" t="s">
        <v>138</v>
      </c>
      <c r="N17">
        <f t="shared" si="0"/>
        <v>770</v>
      </c>
      <c r="O17" s="8">
        <f t="shared" si="1"/>
        <v>0.16901408450704225</v>
      </c>
      <c r="P17" s="8">
        <f t="shared" si="2"/>
        <v>7.575757575757576E-2</v>
      </c>
    </row>
    <row r="18" spans="1:16" x14ac:dyDescent="0.3">
      <c r="A18">
        <v>889</v>
      </c>
      <c r="B18">
        <v>88</v>
      </c>
      <c r="C18">
        <v>467</v>
      </c>
      <c r="D18">
        <v>35</v>
      </c>
      <c r="E18">
        <v>5</v>
      </c>
      <c r="G18">
        <v>889</v>
      </c>
      <c r="H18">
        <v>0</v>
      </c>
      <c r="I18">
        <v>0</v>
      </c>
      <c r="J18">
        <v>0</v>
      </c>
      <c r="K18">
        <v>0</v>
      </c>
      <c r="M18" t="s">
        <v>139</v>
      </c>
      <c r="N18">
        <f t="shared" si="0"/>
        <v>889</v>
      </c>
      <c r="O18" s="8">
        <f t="shared" si="1"/>
        <v>1</v>
      </c>
      <c r="P18" s="8">
        <f t="shared" si="2"/>
        <v>1</v>
      </c>
    </row>
    <row r="19" spans="1:16" x14ac:dyDescent="0.3">
      <c r="A19">
        <v>884</v>
      </c>
      <c r="B19">
        <v>88</v>
      </c>
      <c r="C19">
        <v>297</v>
      </c>
      <c r="D19">
        <v>97</v>
      </c>
      <c r="E19">
        <v>4</v>
      </c>
      <c r="G19">
        <v>884</v>
      </c>
      <c r="H19">
        <v>0</v>
      </c>
      <c r="I19">
        <v>0</v>
      </c>
      <c r="J19">
        <v>0</v>
      </c>
      <c r="K19">
        <v>0</v>
      </c>
      <c r="M19" t="s">
        <v>140</v>
      </c>
      <c r="N19">
        <f t="shared" si="0"/>
        <v>884</v>
      </c>
      <c r="O19" s="8">
        <f t="shared" si="1"/>
        <v>1</v>
      </c>
      <c r="P19" s="8">
        <f t="shared" si="2"/>
        <v>1</v>
      </c>
    </row>
    <row r="20" spans="1:16" x14ac:dyDescent="0.3">
      <c r="A20">
        <v>943</v>
      </c>
      <c r="B20">
        <v>11</v>
      </c>
      <c r="C20">
        <v>159</v>
      </c>
      <c r="D20">
        <v>4</v>
      </c>
      <c r="E20">
        <v>1</v>
      </c>
      <c r="G20">
        <v>943</v>
      </c>
      <c r="H20">
        <v>21</v>
      </c>
      <c r="I20">
        <v>236</v>
      </c>
      <c r="J20">
        <v>8</v>
      </c>
      <c r="K20">
        <v>2</v>
      </c>
      <c r="M20" t="s">
        <v>141</v>
      </c>
      <c r="N20">
        <f t="shared" si="0"/>
        <v>943</v>
      </c>
      <c r="O20" s="8">
        <f t="shared" si="1"/>
        <v>0.40253164556962023</v>
      </c>
      <c r="P20" s="8">
        <f t="shared" si="2"/>
        <v>0.34375</v>
      </c>
    </row>
    <row r="21" spans="1:16" x14ac:dyDescent="0.3">
      <c r="A21">
        <v>944</v>
      </c>
      <c r="B21">
        <v>1</v>
      </c>
      <c r="C21">
        <v>20</v>
      </c>
      <c r="D21">
        <v>0</v>
      </c>
      <c r="E21">
        <v>0</v>
      </c>
      <c r="G21">
        <v>944</v>
      </c>
      <c r="H21">
        <v>226</v>
      </c>
      <c r="I21">
        <v>688</v>
      </c>
      <c r="J21">
        <v>79</v>
      </c>
      <c r="K21">
        <v>3</v>
      </c>
      <c r="M21" t="s">
        <v>142</v>
      </c>
      <c r="N21">
        <f t="shared" si="0"/>
        <v>944</v>
      </c>
      <c r="O21" s="8">
        <f t="shared" si="1"/>
        <v>2.8248587570621469E-2</v>
      </c>
      <c r="P21" s="8">
        <f t="shared" si="2"/>
        <v>4.4052863436123352E-3</v>
      </c>
    </row>
    <row r="22" spans="1:16" x14ac:dyDescent="0.3">
      <c r="A22">
        <v>888</v>
      </c>
      <c r="B22">
        <v>5</v>
      </c>
      <c r="C22">
        <v>77</v>
      </c>
      <c r="D22">
        <v>3</v>
      </c>
      <c r="E22">
        <v>0</v>
      </c>
      <c r="G22">
        <v>888</v>
      </c>
      <c r="H22">
        <v>86</v>
      </c>
      <c r="I22">
        <v>904</v>
      </c>
      <c r="J22">
        <v>254</v>
      </c>
      <c r="K22">
        <v>1</v>
      </c>
      <c r="M22" t="s">
        <v>44</v>
      </c>
      <c r="N22">
        <f t="shared" si="0"/>
        <v>888</v>
      </c>
      <c r="O22" s="8">
        <f t="shared" si="1"/>
        <v>7.8491335372069315E-2</v>
      </c>
      <c r="P22" s="8">
        <f t="shared" si="2"/>
        <v>5.4945054945054944E-2</v>
      </c>
    </row>
    <row r="23" spans="1:16" x14ac:dyDescent="0.3">
      <c r="A23" s="7">
        <v>886</v>
      </c>
      <c r="B23" s="7">
        <v>121</v>
      </c>
      <c r="C23" s="7">
        <v>578</v>
      </c>
      <c r="D23" s="7">
        <v>558</v>
      </c>
      <c r="E23" s="7">
        <v>22</v>
      </c>
      <c r="F23" s="7"/>
      <c r="G23" s="7">
        <v>886</v>
      </c>
      <c r="H23" s="7"/>
      <c r="I23" s="7">
        <v>3</v>
      </c>
      <c r="J23" s="7">
        <v>164</v>
      </c>
      <c r="K23" s="7">
        <v>0</v>
      </c>
      <c r="L23" s="7"/>
      <c r="M23" s="7" t="s">
        <v>144</v>
      </c>
      <c r="N23" s="7">
        <f t="shared" si="0"/>
        <v>886</v>
      </c>
      <c r="O23" s="12">
        <f t="shared" si="1"/>
        <v>0.99483648881239239</v>
      </c>
      <c r="P23" s="12">
        <f t="shared" si="2"/>
        <v>1</v>
      </c>
    </row>
  </sheetData>
  <autoFilter ref="A3:P23" xr:uid="{74E41CC8-56DE-46AE-8293-EFE850972C18}">
    <sortState xmlns:xlrd2="http://schemas.microsoft.com/office/spreadsheetml/2017/richdata2" ref="A4:P23">
      <sortCondition ref="M3:M23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29D-EF38-4ED9-BA70-712D258A0C88}">
  <dimension ref="A1:C21"/>
  <sheetViews>
    <sheetView workbookViewId="0">
      <selection activeCell="E5" sqref="E5"/>
    </sheetView>
  </sheetViews>
  <sheetFormatPr baseColWidth="10" defaultRowHeight="14.4" x14ac:dyDescent="0.3"/>
  <sheetData>
    <row r="1" spans="1:3" x14ac:dyDescent="0.3">
      <c r="A1" t="str" cm="1">
        <f t="array" ref="A1:C21">bfs_percentage_area!M3:O23</f>
        <v>GMDE_nam</v>
      </c>
      <c r="B1" t="str">
        <v>GMDE</v>
      </c>
      <c r="C1" t="str">
        <v>kat_2</v>
      </c>
    </row>
    <row r="2" spans="1:3" x14ac:dyDescent="0.3">
      <c r="A2" t="str">
        <v>Belp</v>
      </c>
      <c r="B2">
        <v>861</v>
      </c>
      <c r="C2">
        <v>0.23941493456505003</v>
      </c>
    </row>
    <row r="3" spans="1:3" x14ac:dyDescent="0.3">
      <c r="A3" t="str">
        <v>Blumenstein</v>
      </c>
      <c r="B3">
        <v>922</v>
      </c>
      <c r="C3">
        <v>1</v>
      </c>
    </row>
    <row r="4" spans="1:3" x14ac:dyDescent="0.3">
      <c r="A4" t="str">
        <v>Burgistein</v>
      </c>
      <c r="B4">
        <v>863</v>
      </c>
      <c r="C4">
        <v>1</v>
      </c>
    </row>
    <row r="5" spans="1:3" x14ac:dyDescent="0.3">
      <c r="A5" t="str">
        <v>Forst-Längenbühl</v>
      </c>
      <c r="B5">
        <v>948</v>
      </c>
      <c r="C5">
        <v>0.93046357615894038</v>
      </c>
    </row>
    <row r="6" spans="1:3" x14ac:dyDescent="0.3">
      <c r="A6" t="str">
        <v>Gerzensee</v>
      </c>
      <c r="B6">
        <v>866</v>
      </c>
      <c r="C6">
        <v>0.43076923076923079</v>
      </c>
    </row>
    <row r="7" spans="1:3" x14ac:dyDescent="0.3">
      <c r="A7" t="str">
        <v>Gurzelen</v>
      </c>
      <c r="B7">
        <v>867</v>
      </c>
      <c r="C7">
        <v>0.96132596685082872</v>
      </c>
    </row>
    <row r="8" spans="1:3" x14ac:dyDescent="0.3">
      <c r="A8" t="str">
        <v>Kaufdorf</v>
      </c>
      <c r="B8">
        <v>869</v>
      </c>
      <c r="C8">
        <v>1</v>
      </c>
    </row>
    <row r="9" spans="1:3" x14ac:dyDescent="0.3">
      <c r="A9" t="str">
        <v>Kirchdorf</v>
      </c>
      <c r="B9">
        <v>872</v>
      </c>
      <c r="C9">
        <v>0.6918063314711359</v>
      </c>
    </row>
    <row r="10" spans="1:3" x14ac:dyDescent="0.3">
      <c r="A10" t="str">
        <v>Niedermuhlern</v>
      </c>
      <c r="B10">
        <v>877</v>
      </c>
      <c r="C10">
        <v>0.25683060109289618</v>
      </c>
    </row>
    <row r="11" spans="1:3" x14ac:dyDescent="0.3">
      <c r="A11" t="str">
        <v>Pohlern</v>
      </c>
      <c r="B11">
        <v>936</v>
      </c>
      <c r="C11">
        <v>1</v>
      </c>
    </row>
    <row r="12" spans="1:3" x14ac:dyDescent="0.3">
      <c r="A12" t="str">
        <v>Riggisberg</v>
      </c>
      <c r="B12">
        <v>879</v>
      </c>
      <c r="C12">
        <v>0.60893854748603349</v>
      </c>
    </row>
    <row r="13" spans="1:3" x14ac:dyDescent="0.3">
      <c r="A13" t="str">
        <v>Rüeggisberg</v>
      </c>
      <c r="B13">
        <v>880</v>
      </c>
      <c r="C13">
        <v>0.13996478873239437</v>
      </c>
    </row>
    <row r="14" spans="1:3" x14ac:dyDescent="0.3">
      <c r="A14" t="str">
        <v>Seftigen</v>
      </c>
      <c r="B14">
        <v>883</v>
      </c>
      <c r="C14">
        <v>0.91085271317829453</v>
      </c>
    </row>
    <row r="15" spans="1:3" x14ac:dyDescent="0.3">
      <c r="A15" t="str">
        <v>Stocken-Höfen</v>
      </c>
      <c r="B15">
        <v>770</v>
      </c>
      <c r="C15">
        <v>0.16901408450704225</v>
      </c>
    </row>
    <row r="16" spans="1:3" x14ac:dyDescent="0.3">
      <c r="A16" t="str">
        <v>Thurnen</v>
      </c>
      <c r="B16">
        <v>889</v>
      </c>
      <c r="C16">
        <v>1</v>
      </c>
    </row>
    <row r="17" spans="1:3" x14ac:dyDescent="0.3">
      <c r="A17" t="str">
        <v>Toffen</v>
      </c>
      <c r="B17">
        <v>884</v>
      </c>
      <c r="C17">
        <v>1</v>
      </c>
    </row>
    <row r="18" spans="1:3" x14ac:dyDescent="0.3">
      <c r="A18" t="str">
        <v>Uebeschi</v>
      </c>
      <c r="B18">
        <v>943</v>
      </c>
      <c r="C18">
        <v>0.40253164556962023</v>
      </c>
    </row>
    <row r="19" spans="1:3" x14ac:dyDescent="0.3">
      <c r="A19" t="str">
        <v>Uetendorf</v>
      </c>
      <c r="B19">
        <v>944</v>
      </c>
      <c r="C19">
        <v>2.8248587570621469E-2</v>
      </c>
    </row>
    <row r="20" spans="1:3" x14ac:dyDescent="0.3">
      <c r="A20" t="str">
        <v>Wald</v>
      </c>
      <c r="B20">
        <v>888</v>
      </c>
      <c r="C20">
        <v>7.8491335372069315E-2</v>
      </c>
    </row>
    <row r="21" spans="1:3" x14ac:dyDescent="0.3">
      <c r="A21" t="str">
        <v>Wattenwil</v>
      </c>
      <c r="B21">
        <v>886</v>
      </c>
      <c r="C21">
        <v>0.99483648881239239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91FF-876B-455D-B975-8531008F77DE}">
  <dimension ref="A1:O51"/>
  <sheetViews>
    <sheetView topLeftCell="AG1" workbookViewId="0">
      <selection activeCell="F41" sqref="F41"/>
    </sheetView>
  </sheetViews>
  <sheetFormatPr baseColWidth="10" defaultColWidth="11.44140625" defaultRowHeight="14.4" x14ac:dyDescent="0.3"/>
  <cols>
    <col min="1" max="1" width="29" customWidth="1"/>
    <col min="2" max="2" width="10.88671875" style="22" customWidth="1"/>
    <col min="3" max="6" width="23.33203125" customWidth="1"/>
    <col min="7" max="8" width="22.33203125" customWidth="1"/>
    <col min="11" max="11" width="11.44140625" style="8"/>
    <col min="12" max="12" width="11.44140625" style="23"/>
  </cols>
  <sheetData>
    <row r="1" spans="1:15" x14ac:dyDescent="0.3">
      <c r="A1" s="113" t="s">
        <v>189</v>
      </c>
      <c r="B1" s="113"/>
      <c r="C1" s="114"/>
      <c r="D1" s="77"/>
      <c r="E1" s="113" t="s">
        <v>185</v>
      </c>
      <c r="F1" s="113"/>
      <c r="G1" s="113"/>
      <c r="H1" s="114"/>
      <c r="I1" s="115" t="s">
        <v>186</v>
      </c>
      <c r="J1" s="113"/>
      <c r="K1" s="114"/>
      <c r="L1" s="116" t="s">
        <v>187</v>
      </c>
      <c r="M1" s="117"/>
      <c r="N1" s="117"/>
      <c r="O1" s="118"/>
    </row>
    <row r="2" spans="1:15" x14ac:dyDescent="0.3">
      <c r="A2" s="4" t="s">
        <v>165</v>
      </c>
      <c r="B2" s="41" t="s">
        <v>169</v>
      </c>
      <c r="C2" s="46" t="s">
        <v>166</v>
      </c>
      <c r="D2" s="78" t="s">
        <v>204</v>
      </c>
      <c r="E2" s="4" t="s">
        <v>183</v>
      </c>
      <c r="F2" s="4" t="s">
        <v>184</v>
      </c>
      <c r="G2" s="4" t="s">
        <v>188</v>
      </c>
      <c r="H2" s="46" t="s">
        <v>176</v>
      </c>
      <c r="I2" s="51" t="s">
        <v>170</v>
      </c>
      <c r="J2" s="4" t="s">
        <v>171</v>
      </c>
      <c r="K2" s="52" t="s">
        <v>172</v>
      </c>
      <c r="L2" s="57">
        <v>1990</v>
      </c>
      <c r="M2" s="4">
        <v>2010</v>
      </c>
      <c r="N2" s="4">
        <v>2019</v>
      </c>
      <c r="O2" s="46">
        <v>2022</v>
      </c>
    </row>
    <row r="3" spans="1:15" x14ac:dyDescent="0.3">
      <c r="A3" t="s">
        <v>125</v>
      </c>
      <c r="B3" s="38">
        <v>861</v>
      </c>
      <c r="C3" s="47" t="s">
        <v>167</v>
      </c>
      <c r="D3" s="79" t="s">
        <v>125</v>
      </c>
      <c r="E3" s="39">
        <v>8476</v>
      </c>
      <c r="F3" s="40">
        <v>10636</v>
      </c>
      <c r="G3" s="40">
        <v>11578</v>
      </c>
      <c r="H3" s="49">
        <v>11572</v>
      </c>
      <c r="I3" s="53">
        <v>364</v>
      </c>
      <c r="J3">
        <v>62</v>
      </c>
      <c r="K3" s="54">
        <f t="shared" ref="K3:K23" si="0">J3/I3</f>
        <v>0.17032967032967034</v>
      </c>
      <c r="L3" s="58">
        <f>K3*E3</f>
        <v>1443.7142857142858</v>
      </c>
      <c r="M3" s="37">
        <f>K3*F3</f>
        <v>1811.6263736263736</v>
      </c>
      <c r="N3" s="37">
        <f>K3*H3</f>
        <v>1971.0549450549452</v>
      </c>
      <c r="O3" s="59">
        <f>K3*G3</f>
        <v>1972.0769230769231</v>
      </c>
    </row>
    <row r="4" spans="1:15" x14ac:dyDescent="0.3">
      <c r="A4" t="s">
        <v>126</v>
      </c>
      <c r="B4" s="38">
        <v>922</v>
      </c>
      <c r="C4" s="47" t="s">
        <v>168</v>
      </c>
      <c r="D4" s="79" t="s">
        <v>207</v>
      </c>
      <c r="E4" s="39">
        <v>1144</v>
      </c>
      <c r="F4" s="40">
        <v>1171</v>
      </c>
      <c r="G4" s="40">
        <v>1267</v>
      </c>
      <c r="H4" s="49">
        <v>1248</v>
      </c>
      <c r="I4" s="53">
        <v>62</v>
      </c>
      <c r="J4">
        <v>62</v>
      </c>
      <c r="K4" s="54">
        <f t="shared" si="0"/>
        <v>1</v>
      </c>
      <c r="L4" s="58">
        <f t="shared" ref="L4:L22" si="1">K4*E4</f>
        <v>1144</v>
      </c>
      <c r="M4" s="37">
        <f t="shared" ref="M4:M22" si="2">K4*F4</f>
        <v>1171</v>
      </c>
      <c r="N4" s="37">
        <f t="shared" ref="N4:N22" si="3">K4*H4</f>
        <v>1248</v>
      </c>
      <c r="O4" s="59">
        <f t="shared" ref="O4:O22" si="4">K4*G4</f>
        <v>1267</v>
      </c>
    </row>
    <row r="5" spans="1:15" x14ac:dyDescent="0.3">
      <c r="A5" t="s">
        <v>127</v>
      </c>
      <c r="B5" s="38">
        <v>863</v>
      </c>
      <c r="C5" s="47" t="s">
        <v>168</v>
      </c>
      <c r="D5" s="79" t="s">
        <v>207</v>
      </c>
      <c r="E5" s="39">
        <v>974</v>
      </c>
      <c r="F5" s="40">
        <v>1034</v>
      </c>
      <c r="G5" s="40">
        <v>1098</v>
      </c>
      <c r="H5" s="49">
        <v>1113</v>
      </c>
      <c r="I5" s="53">
        <v>73</v>
      </c>
      <c r="J5">
        <v>73</v>
      </c>
      <c r="K5" s="54">
        <f t="shared" si="0"/>
        <v>1</v>
      </c>
      <c r="L5" s="58">
        <f t="shared" si="1"/>
        <v>974</v>
      </c>
      <c r="M5" s="37">
        <f t="shared" si="2"/>
        <v>1034</v>
      </c>
      <c r="N5" s="37">
        <f t="shared" si="3"/>
        <v>1113</v>
      </c>
      <c r="O5" s="59">
        <f t="shared" si="4"/>
        <v>1098</v>
      </c>
    </row>
    <row r="6" spans="1:15" x14ac:dyDescent="0.3">
      <c r="A6" t="s">
        <v>128</v>
      </c>
      <c r="B6" s="38">
        <v>948</v>
      </c>
      <c r="C6" s="47" t="s">
        <v>168</v>
      </c>
      <c r="D6" s="79" t="s">
        <v>207</v>
      </c>
      <c r="E6" s="37">
        <v>577</v>
      </c>
      <c r="F6" s="40">
        <v>730</v>
      </c>
      <c r="G6" s="40">
        <v>766</v>
      </c>
      <c r="H6" s="49">
        <v>777</v>
      </c>
      <c r="I6" s="53">
        <v>42</v>
      </c>
      <c r="J6">
        <v>39</v>
      </c>
      <c r="K6" s="54">
        <f t="shared" si="0"/>
        <v>0.9285714285714286</v>
      </c>
      <c r="L6" s="58">
        <f t="shared" si="1"/>
        <v>535.78571428571433</v>
      </c>
      <c r="M6" s="37">
        <f t="shared" si="2"/>
        <v>677.85714285714289</v>
      </c>
      <c r="N6" s="37">
        <f t="shared" si="3"/>
        <v>721.5</v>
      </c>
      <c r="O6" s="59">
        <f t="shared" si="4"/>
        <v>711.28571428571433</v>
      </c>
    </row>
    <row r="7" spans="1:15" x14ac:dyDescent="0.3">
      <c r="A7" t="s">
        <v>129</v>
      </c>
      <c r="B7" s="38">
        <v>866</v>
      </c>
      <c r="C7" s="47" t="s">
        <v>167</v>
      </c>
      <c r="D7" s="79" t="s">
        <v>208</v>
      </c>
      <c r="E7" s="39">
        <v>872</v>
      </c>
      <c r="F7" s="40">
        <v>1108</v>
      </c>
      <c r="G7" s="40">
        <v>1266</v>
      </c>
      <c r="H7" s="49">
        <v>1231</v>
      </c>
      <c r="I7" s="53">
        <v>77</v>
      </c>
      <c r="J7">
        <v>46</v>
      </c>
      <c r="K7" s="54">
        <f t="shared" si="0"/>
        <v>0.59740259740259738</v>
      </c>
      <c r="L7" s="58">
        <f t="shared" si="1"/>
        <v>520.93506493506493</v>
      </c>
      <c r="M7" s="37">
        <f t="shared" si="2"/>
        <v>661.92207792207785</v>
      </c>
      <c r="N7" s="37">
        <f t="shared" si="3"/>
        <v>735.40259740259739</v>
      </c>
      <c r="O7" s="59">
        <f t="shared" si="4"/>
        <v>756.31168831168827</v>
      </c>
    </row>
    <row r="8" spans="1:15" x14ac:dyDescent="0.3">
      <c r="A8" t="s">
        <v>130</v>
      </c>
      <c r="B8" s="38">
        <v>867</v>
      </c>
      <c r="C8" s="47" t="s">
        <v>168</v>
      </c>
      <c r="D8" s="79" t="s">
        <v>207</v>
      </c>
      <c r="E8" s="39">
        <v>703</v>
      </c>
      <c r="F8" s="40">
        <v>812</v>
      </c>
      <c r="G8" s="40">
        <v>889</v>
      </c>
      <c r="H8" s="49">
        <v>859</v>
      </c>
      <c r="I8" s="53">
        <v>32</v>
      </c>
      <c r="J8">
        <v>31</v>
      </c>
      <c r="K8" s="54">
        <f t="shared" si="0"/>
        <v>0.96875</v>
      </c>
      <c r="L8" s="58">
        <f t="shared" si="1"/>
        <v>681.03125</v>
      </c>
      <c r="M8" s="37">
        <f t="shared" si="2"/>
        <v>786.625</v>
      </c>
      <c r="N8" s="37">
        <f t="shared" si="3"/>
        <v>832.15625</v>
      </c>
      <c r="O8" s="59">
        <f t="shared" si="4"/>
        <v>861.21875</v>
      </c>
    </row>
    <row r="9" spans="1:15" x14ac:dyDescent="0.3">
      <c r="A9" t="s">
        <v>131</v>
      </c>
      <c r="B9" s="38">
        <v>869</v>
      </c>
      <c r="C9" s="47" t="s">
        <v>167</v>
      </c>
      <c r="D9" s="79" t="s">
        <v>205</v>
      </c>
      <c r="E9" s="39">
        <v>673</v>
      </c>
      <c r="F9" s="40">
        <v>1029</v>
      </c>
      <c r="G9" s="40">
        <v>1124</v>
      </c>
      <c r="H9" s="49">
        <v>1112</v>
      </c>
      <c r="I9" s="53">
        <v>44</v>
      </c>
      <c r="J9">
        <v>44</v>
      </c>
      <c r="K9" s="54">
        <f t="shared" si="0"/>
        <v>1</v>
      </c>
      <c r="L9" s="58">
        <f t="shared" si="1"/>
        <v>673</v>
      </c>
      <c r="M9" s="37">
        <f t="shared" si="2"/>
        <v>1029</v>
      </c>
      <c r="N9" s="37">
        <f t="shared" si="3"/>
        <v>1112</v>
      </c>
      <c r="O9" s="59">
        <f t="shared" si="4"/>
        <v>1124</v>
      </c>
    </row>
    <row r="10" spans="1:15" x14ac:dyDescent="0.3">
      <c r="A10" t="s">
        <v>164</v>
      </c>
      <c r="B10" s="38">
        <v>872</v>
      </c>
      <c r="C10" s="47" t="s">
        <v>167</v>
      </c>
      <c r="D10" s="79" t="s">
        <v>208</v>
      </c>
      <c r="E10" s="39">
        <v>1305</v>
      </c>
      <c r="F10" s="40">
        <v>1316</v>
      </c>
      <c r="G10" s="40">
        <v>1820</v>
      </c>
      <c r="H10" s="49">
        <v>1829</v>
      </c>
      <c r="I10" s="53">
        <v>129</v>
      </c>
      <c r="J10">
        <v>55</v>
      </c>
      <c r="K10" s="54">
        <f t="shared" si="0"/>
        <v>0.4263565891472868</v>
      </c>
      <c r="L10" s="58">
        <f t="shared" si="1"/>
        <v>556.39534883720933</v>
      </c>
      <c r="M10" s="37">
        <f t="shared" si="2"/>
        <v>561.08527131782944</v>
      </c>
      <c r="N10" s="37">
        <f t="shared" si="3"/>
        <v>779.80620155038753</v>
      </c>
      <c r="O10" s="59">
        <f t="shared" si="4"/>
        <v>775.96899224806202</v>
      </c>
    </row>
    <row r="11" spans="1:15" x14ac:dyDescent="0.3">
      <c r="A11" t="s">
        <v>133</v>
      </c>
      <c r="B11" s="38">
        <v>877</v>
      </c>
      <c r="C11" s="47" t="s">
        <v>167</v>
      </c>
      <c r="D11" s="79" t="s">
        <v>208</v>
      </c>
      <c r="E11" s="39">
        <v>509</v>
      </c>
      <c r="F11" s="40">
        <v>464</v>
      </c>
      <c r="G11" s="40">
        <v>509</v>
      </c>
      <c r="H11" s="49">
        <v>501</v>
      </c>
      <c r="I11" s="53">
        <v>42</v>
      </c>
      <c r="J11">
        <v>10</v>
      </c>
      <c r="K11" s="54">
        <f t="shared" si="0"/>
        <v>0.23809523809523808</v>
      </c>
      <c r="L11" s="58">
        <f t="shared" si="1"/>
        <v>121.19047619047619</v>
      </c>
      <c r="M11" s="37">
        <f t="shared" si="2"/>
        <v>110.47619047619047</v>
      </c>
      <c r="N11" s="37">
        <f t="shared" si="3"/>
        <v>119.28571428571428</v>
      </c>
      <c r="O11" s="59">
        <f t="shared" si="4"/>
        <v>121.19047619047619</v>
      </c>
    </row>
    <row r="12" spans="1:15" x14ac:dyDescent="0.3">
      <c r="A12" t="s">
        <v>134</v>
      </c>
      <c r="B12" s="38">
        <v>936</v>
      </c>
      <c r="C12" s="47" t="s">
        <v>168</v>
      </c>
      <c r="D12" s="79" t="s">
        <v>207</v>
      </c>
      <c r="E12" s="39">
        <v>239</v>
      </c>
      <c r="F12" s="40">
        <v>267</v>
      </c>
      <c r="G12" s="40">
        <v>230</v>
      </c>
      <c r="H12" s="49">
        <v>247</v>
      </c>
      <c r="I12" s="53">
        <v>19</v>
      </c>
      <c r="J12">
        <v>19</v>
      </c>
      <c r="K12" s="54">
        <f t="shared" si="0"/>
        <v>1</v>
      </c>
      <c r="L12" s="58">
        <f t="shared" si="1"/>
        <v>239</v>
      </c>
      <c r="M12" s="37">
        <f t="shared" si="2"/>
        <v>267</v>
      </c>
      <c r="N12" s="37">
        <f t="shared" si="3"/>
        <v>247</v>
      </c>
      <c r="O12" s="59">
        <f t="shared" si="4"/>
        <v>230</v>
      </c>
    </row>
    <row r="13" spans="1:15" x14ac:dyDescent="0.3">
      <c r="A13" t="s">
        <v>135</v>
      </c>
      <c r="B13" s="38">
        <v>879</v>
      </c>
      <c r="C13" s="47" t="s">
        <v>167</v>
      </c>
      <c r="D13" s="79" t="s">
        <v>205</v>
      </c>
      <c r="E13" s="39">
        <v>2706</v>
      </c>
      <c r="F13" s="40">
        <v>2839</v>
      </c>
      <c r="G13" s="40">
        <v>3086</v>
      </c>
      <c r="H13" s="49">
        <v>2565</v>
      </c>
      <c r="I13" s="53">
        <v>215</v>
      </c>
      <c r="J13">
        <v>156</v>
      </c>
      <c r="K13" s="54">
        <f t="shared" si="0"/>
        <v>0.72558139534883725</v>
      </c>
      <c r="L13" s="58">
        <f t="shared" si="1"/>
        <v>1963.4232558139536</v>
      </c>
      <c r="M13" s="37">
        <f t="shared" si="2"/>
        <v>2059.9255813953491</v>
      </c>
      <c r="N13" s="37">
        <f t="shared" si="3"/>
        <v>1861.1162790697676</v>
      </c>
      <c r="O13" s="59">
        <f t="shared" si="4"/>
        <v>2239.1441860465115</v>
      </c>
    </row>
    <row r="14" spans="1:15" x14ac:dyDescent="0.3">
      <c r="A14" t="s">
        <v>136</v>
      </c>
      <c r="B14" s="38">
        <v>880</v>
      </c>
      <c r="C14" s="47" t="s">
        <v>167</v>
      </c>
      <c r="D14" s="79" t="s">
        <v>209</v>
      </c>
      <c r="E14" s="39">
        <v>1923</v>
      </c>
      <c r="F14" s="40">
        <v>1862</v>
      </c>
      <c r="G14" s="40">
        <v>1787</v>
      </c>
      <c r="H14" s="49">
        <v>1761</v>
      </c>
      <c r="I14" s="53">
        <v>166</v>
      </c>
      <c r="J14">
        <v>21</v>
      </c>
      <c r="K14" s="54">
        <f t="shared" si="0"/>
        <v>0.12650602409638553</v>
      </c>
      <c r="L14" s="58">
        <f t="shared" si="1"/>
        <v>243.27108433734938</v>
      </c>
      <c r="M14" s="37">
        <f t="shared" si="2"/>
        <v>235.55421686746988</v>
      </c>
      <c r="N14" s="37">
        <f t="shared" si="3"/>
        <v>222.77710843373492</v>
      </c>
      <c r="O14" s="59">
        <f t="shared" si="4"/>
        <v>226.06626506024094</v>
      </c>
    </row>
    <row r="15" spans="1:15" x14ac:dyDescent="0.3">
      <c r="A15" t="s">
        <v>137</v>
      </c>
      <c r="B15" s="38">
        <v>883</v>
      </c>
      <c r="C15" s="47" t="s">
        <v>168</v>
      </c>
      <c r="D15" s="79" t="s">
        <v>206</v>
      </c>
      <c r="E15" s="39">
        <v>1920</v>
      </c>
      <c r="F15" s="40">
        <v>2129</v>
      </c>
      <c r="G15" s="40">
        <v>2161</v>
      </c>
      <c r="H15" s="49">
        <v>2161</v>
      </c>
      <c r="I15" s="53">
        <v>66</v>
      </c>
      <c r="J15">
        <v>62</v>
      </c>
      <c r="K15" s="54">
        <f t="shared" si="0"/>
        <v>0.93939393939393945</v>
      </c>
      <c r="L15" s="58">
        <f t="shared" si="1"/>
        <v>1803.6363636363637</v>
      </c>
      <c r="M15" s="37">
        <f t="shared" si="2"/>
        <v>1999.969696969697</v>
      </c>
      <c r="N15" s="37">
        <f t="shared" si="3"/>
        <v>2030.0303030303032</v>
      </c>
      <c r="O15" s="59">
        <f t="shared" si="4"/>
        <v>2030.0303030303032</v>
      </c>
    </row>
    <row r="16" spans="1:15" x14ac:dyDescent="0.3">
      <c r="A16" t="s">
        <v>138</v>
      </c>
      <c r="B16" s="38">
        <v>770</v>
      </c>
      <c r="C16" s="47" t="s">
        <v>168</v>
      </c>
      <c r="D16" s="79" t="s">
        <v>207</v>
      </c>
      <c r="E16" s="37">
        <v>882</v>
      </c>
      <c r="F16" s="37">
        <v>968</v>
      </c>
      <c r="G16" s="40">
        <v>1021</v>
      </c>
      <c r="H16" s="49">
        <v>1012</v>
      </c>
      <c r="I16" s="53">
        <v>66</v>
      </c>
      <c r="J16">
        <v>5</v>
      </c>
      <c r="K16" s="54">
        <f t="shared" si="0"/>
        <v>7.575757575757576E-2</v>
      </c>
      <c r="L16" s="58">
        <f t="shared" si="1"/>
        <v>66.818181818181813</v>
      </c>
      <c r="M16" s="37">
        <f t="shared" si="2"/>
        <v>73.333333333333329</v>
      </c>
      <c r="N16" s="37">
        <f t="shared" si="3"/>
        <v>76.666666666666671</v>
      </c>
      <c r="O16" s="59">
        <f t="shared" si="4"/>
        <v>77.348484848484844</v>
      </c>
    </row>
    <row r="17" spans="1:15" x14ac:dyDescent="0.3">
      <c r="A17" t="s">
        <v>139</v>
      </c>
      <c r="B17" s="38">
        <v>889</v>
      </c>
      <c r="C17" s="47" t="s">
        <v>167</v>
      </c>
      <c r="D17" s="79" t="s">
        <v>208</v>
      </c>
      <c r="E17" s="37">
        <v>1579</v>
      </c>
      <c r="F17" s="37">
        <v>1860</v>
      </c>
      <c r="G17" s="40">
        <v>2013</v>
      </c>
      <c r="H17" s="49">
        <v>2013</v>
      </c>
      <c r="I17" s="53">
        <v>88</v>
      </c>
      <c r="J17">
        <v>88</v>
      </c>
      <c r="K17" s="54">
        <f t="shared" si="0"/>
        <v>1</v>
      </c>
      <c r="L17" s="58">
        <f t="shared" si="1"/>
        <v>1579</v>
      </c>
      <c r="M17" s="37">
        <f t="shared" si="2"/>
        <v>1860</v>
      </c>
      <c r="N17" s="37">
        <f t="shared" si="3"/>
        <v>2013</v>
      </c>
      <c r="O17" s="59">
        <f t="shared" si="4"/>
        <v>2013</v>
      </c>
    </row>
    <row r="18" spans="1:15" x14ac:dyDescent="0.3">
      <c r="A18" t="s">
        <v>140</v>
      </c>
      <c r="B18" s="38">
        <v>884</v>
      </c>
      <c r="C18" s="47" t="s">
        <v>167</v>
      </c>
      <c r="D18" s="79" t="s">
        <v>205</v>
      </c>
      <c r="E18" s="39">
        <v>1970</v>
      </c>
      <c r="F18" s="40">
        <v>2450</v>
      </c>
      <c r="G18" s="40">
        <v>2611</v>
      </c>
      <c r="H18" s="49">
        <v>2526</v>
      </c>
      <c r="I18" s="53">
        <v>88</v>
      </c>
      <c r="J18">
        <v>88</v>
      </c>
      <c r="K18" s="54">
        <f t="shared" si="0"/>
        <v>1</v>
      </c>
      <c r="L18" s="58">
        <f t="shared" si="1"/>
        <v>1970</v>
      </c>
      <c r="M18" s="37">
        <f t="shared" si="2"/>
        <v>2450</v>
      </c>
      <c r="N18" s="37">
        <f t="shared" si="3"/>
        <v>2526</v>
      </c>
      <c r="O18" s="59">
        <f t="shared" si="4"/>
        <v>2611</v>
      </c>
    </row>
    <row r="19" spans="1:15" x14ac:dyDescent="0.3">
      <c r="A19" t="s">
        <v>141</v>
      </c>
      <c r="B19" s="38">
        <v>943</v>
      </c>
      <c r="C19" s="47" t="s">
        <v>168</v>
      </c>
      <c r="D19" s="79" t="s">
        <v>207</v>
      </c>
      <c r="E19" s="39">
        <v>584</v>
      </c>
      <c r="F19" s="40">
        <v>695</v>
      </c>
      <c r="G19" s="40">
        <v>720</v>
      </c>
      <c r="H19" s="49">
        <v>685</v>
      </c>
      <c r="I19" s="53">
        <v>32</v>
      </c>
      <c r="J19">
        <v>11</v>
      </c>
      <c r="K19" s="54">
        <f t="shared" si="0"/>
        <v>0.34375</v>
      </c>
      <c r="L19" s="58">
        <f t="shared" si="1"/>
        <v>200.75</v>
      </c>
      <c r="M19" s="37">
        <f t="shared" si="2"/>
        <v>238.90625</v>
      </c>
      <c r="N19" s="37">
        <f t="shared" si="3"/>
        <v>235.46875</v>
      </c>
      <c r="O19" s="59">
        <f t="shared" si="4"/>
        <v>247.5</v>
      </c>
    </row>
    <row r="20" spans="1:15" x14ac:dyDescent="0.3">
      <c r="A20" t="s">
        <v>142</v>
      </c>
      <c r="B20" s="38">
        <v>944</v>
      </c>
      <c r="C20" s="47" t="s">
        <v>168</v>
      </c>
      <c r="D20" s="79" t="s">
        <v>206</v>
      </c>
      <c r="E20" s="39">
        <v>5449</v>
      </c>
      <c r="F20" s="40">
        <v>5980</v>
      </c>
      <c r="G20" s="40">
        <v>5858</v>
      </c>
      <c r="H20" s="49">
        <v>5843</v>
      </c>
      <c r="I20" s="53">
        <v>227</v>
      </c>
      <c r="J20">
        <v>1</v>
      </c>
      <c r="K20" s="54">
        <f t="shared" si="0"/>
        <v>4.4052863436123352E-3</v>
      </c>
      <c r="L20" s="58">
        <f t="shared" si="1"/>
        <v>24.004405286343616</v>
      </c>
      <c r="M20" s="37">
        <f t="shared" si="2"/>
        <v>26.343612334801765</v>
      </c>
      <c r="N20" s="37">
        <f t="shared" si="3"/>
        <v>25.740088105726876</v>
      </c>
      <c r="O20" s="59">
        <f t="shared" si="4"/>
        <v>25.806167400881058</v>
      </c>
    </row>
    <row r="21" spans="1:15" x14ac:dyDescent="0.3">
      <c r="A21" t="s">
        <v>44</v>
      </c>
      <c r="B21" s="38">
        <v>888</v>
      </c>
      <c r="C21" s="47" t="s">
        <v>167</v>
      </c>
      <c r="D21" s="79" t="s">
        <v>208</v>
      </c>
      <c r="E21" s="39">
        <v>932</v>
      </c>
      <c r="F21" s="40">
        <v>1175</v>
      </c>
      <c r="G21" s="40">
        <v>1176</v>
      </c>
      <c r="H21" s="49">
        <v>1174</v>
      </c>
      <c r="I21" s="53">
        <v>91</v>
      </c>
      <c r="J21">
        <v>5</v>
      </c>
      <c r="K21" s="54">
        <f t="shared" si="0"/>
        <v>5.4945054945054944E-2</v>
      </c>
      <c r="L21" s="58">
        <f t="shared" si="1"/>
        <v>51.208791208791204</v>
      </c>
      <c r="M21" s="37">
        <f t="shared" si="2"/>
        <v>64.560439560439562</v>
      </c>
      <c r="N21" s="37">
        <f t="shared" si="3"/>
        <v>64.505494505494511</v>
      </c>
      <c r="O21" s="59">
        <f t="shared" si="4"/>
        <v>64.615384615384613</v>
      </c>
    </row>
    <row r="22" spans="1:15" x14ac:dyDescent="0.3">
      <c r="A22" s="7" t="s">
        <v>144</v>
      </c>
      <c r="B22" s="42">
        <v>886</v>
      </c>
      <c r="C22" s="48" t="s">
        <v>168</v>
      </c>
      <c r="D22" s="80" t="s">
        <v>207</v>
      </c>
      <c r="E22" s="43">
        <v>2356</v>
      </c>
      <c r="F22" s="44">
        <v>2655</v>
      </c>
      <c r="G22" s="44">
        <v>3165</v>
      </c>
      <c r="H22" s="50">
        <v>3018</v>
      </c>
      <c r="I22" s="55">
        <v>121</v>
      </c>
      <c r="J22" s="7">
        <v>121</v>
      </c>
      <c r="K22" s="56">
        <f t="shared" si="0"/>
        <v>1</v>
      </c>
      <c r="L22" s="60">
        <f t="shared" si="1"/>
        <v>2356</v>
      </c>
      <c r="M22" s="45">
        <f t="shared" si="2"/>
        <v>2655</v>
      </c>
      <c r="N22" s="45">
        <f t="shared" si="3"/>
        <v>3018</v>
      </c>
      <c r="O22" s="61">
        <f t="shared" si="4"/>
        <v>3165</v>
      </c>
    </row>
    <row r="23" spans="1:15" ht="15" thickBot="1" x14ac:dyDescent="0.35">
      <c r="A23" s="62" t="s">
        <v>145</v>
      </c>
      <c r="B23" s="63"/>
      <c r="C23" s="64"/>
      <c r="D23" s="81"/>
      <c r="E23" s="65"/>
      <c r="F23" s="62"/>
      <c r="G23" s="62"/>
      <c r="H23" s="64"/>
      <c r="I23" s="66">
        <f>SUM(I3:I22)</f>
        <v>2044</v>
      </c>
      <c r="J23" s="62">
        <f>SUM(J3:J22)</f>
        <v>999</v>
      </c>
      <c r="K23" s="67">
        <f t="shared" si="0"/>
        <v>0.48874755381604695</v>
      </c>
      <c r="L23" s="68">
        <f>SUM(L3:L22)</f>
        <v>17147.164222063737</v>
      </c>
      <c r="M23" s="69">
        <f t="shared" ref="M23:O23" si="5">SUM(M3:M22)</f>
        <v>19774.185186660703</v>
      </c>
      <c r="N23" s="69">
        <f t="shared" si="5"/>
        <v>20952.510398105336</v>
      </c>
      <c r="O23" s="70">
        <f t="shared" si="5"/>
        <v>21616.563335114672</v>
      </c>
    </row>
    <row r="24" spans="1:15" ht="15" thickTop="1" x14ac:dyDescent="0.3">
      <c r="E24" s="33"/>
    </row>
    <row r="25" spans="1:15" x14ac:dyDescent="0.3">
      <c r="A25" s="33"/>
      <c r="C25" s="33"/>
      <c r="D25" s="33"/>
      <c r="E25" s="33"/>
    </row>
    <row r="26" spans="1:15" x14ac:dyDescent="0.3">
      <c r="C26" s="33"/>
      <c r="D26" s="33"/>
      <c r="E26" s="36"/>
    </row>
    <row r="27" spans="1:15" x14ac:dyDescent="0.3">
      <c r="C27" s="33"/>
      <c r="D27" s="33"/>
      <c r="E27" s="36"/>
    </row>
    <row r="28" spans="1:15" x14ac:dyDescent="0.3">
      <c r="C28" s="34"/>
      <c r="D28" s="34"/>
      <c r="E28" s="35"/>
    </row>
    <row r="30" spans="1:15" x14ac:dyDescent="0.3">
      <c r="B30"/>
    </row>
    <row r="31" spans="1:15" x14ac:dyDescent="0.3">
      <c r="B31"/>
    </row>
    <row r="32" spans="1:15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</sheetData>
  <mergeCells count="4">
    <mergeCell ref="A1:C1"/>
    <mergeCell ref="E1:H1"/>
    <mergeCell ref="I1:K1"/>
    <mergeCell ref="L1:O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DB7D-073B-412C-A34F-D7DA4D05B8FE}">
  <dimension ref="A1:U67"/>
  <sheetViews>
    <sheetView topLeftCell="G1" zoomScaleNormal="100" workbookViewId="0">
      <selection activeCell="G4" sqref="G4"/>
    </sheetView>
  </sheetViews>
  <sheetFormatPr baseColWidth="10" defaultRowHeight="14.4" x14ac:dyDescent="0.3"/>
  <cols>
    <col min="1" max="1" width="19" customWidth="1"/>
    <col min="2" max="2" width="16.6640625" style="8" customWidth="1"/>
    <col min="3" max="3" width="13.5546875" customWidth="1"/>
    <col min="15" max="15" width="17.44140625" customWidth="1"/>
    <col min="18" max="18" width="17.6640625" customWidth="1"/>
    <col min="19" max="19" width="22" customWidth="1"/>
    <col min="20" max="20" width="21.44140625" customWidth="1"/>
  </cols>
  <sheetData>
    <row r="1" spans="1:12" x14ac:dyDescent="0.3">
      <c r="A1" s="2"/>
      <c r="B1" s="24"/>
      <c r="C1" s="113" t="s">
        <v>177</v>
      </c>
      <c r="D1" s="113"/>
      <c r="E1" s="113"/>
      <c r="F1" s="113" t="s">
        <v>178</v>
      </c>
      <c r="G1" s="113"/>
      <c r="H1" s="113"/>
    </row>
    <row r="2" spans="1:12" x14ac:dyDescent="0.3">
      <c r="A2" s="4" t="s">
        <v>166</v>
      </c>
      <c r="B2" s="27" t="s">
        <v>176</v>
      </c>
      <c r="C2" s="4" t="s">
        <v>173</v>
      </c>
      <c r="D2" s="4" t="s">
        <v>174</v>
      </c>
      <c r="E2" s="4" t="s">
        <v>175</v>
      </c>
      <c r="F2" s="4">
        <v>2030</v>
      </c>
      <c r="G2" s="4">
        <v>2040</v>
      </c>
      <c r="H2" s="4">
        <v>2050</v>
      </c>
      <c r="I2" s="4">
        <v>2060</v>
      </c>
      <c r="J2" s="4">
        <v>2070</v>
      </c>
      <c r="K2" s="4">
        <v>2080</v>
      </c>
      <c r="L2" s="4">
        <v>2090</v>
      </c>
    </row>
    <row r="3" spans="1:12" x14ac:dyDescent="0.3">
      <c r="A3" t="s">
        <v>167</v>
      </c>
      <c r="B3" s="28">
        <f>SUMIF(dw_einwohnende!C$3:C$22,dw_extrapol_ew!$A3,dw_einwohnende!N$3:N$22)</f>
        <v>11404.948340302641</v>
      </c>
      <c r="C3" s="29">
        <v>7.3616523678833241</v>
      </c>
      <c r="D3" s="29">
        <v>3.2655078635200661</v>
      </c>
      <c r="E3" s="29">
        <v>1.3011961561868541</v>
      </c>
      <c r="F3" s="28">
        <f>$B3*(1+(C3/100))</f>
        <v>12244.540989852401</v>
      </c>
      <c r="G3" s="28">
        <f>F3*(1+(D3/100))</f>
        <v>12644.38743872797</v>
      </c>
      <c r="H3" s="28">
        <f>G3*(1+(E3/100))</f>
        <v>12808.915722054071</v>
      </c>
    </row>
    <row r="4" spans="1:12" x14ac:dyDescent="0.3">
      <c r="A4" s="7" t="s">
        <v>168</v>
      </c>
      <c r="B4" s="31">
        <f>SUMIF(dw_einwohnende!C$3:C$22,dw_extrapol_ew!$A4,dw_einwohnende!N$3:N$22)</f>
        <v>9547.5620578026974</v>
      </c>
      <c r="C4" s="30">
        <v>5.073958449474115</v>
      </c>
      <c r="D4" s="30">
        <v>1.9223797186286906</v>
      </c>
      <c r="E4" s="30">
        <v>0.18566235478861387</v>
      </c>
      <c r="F4" s="31">
        <f>$B4*(1+(C4/100))</f>
        <v>10032.001389553361</v>
      </c>
      <c r="G4" s="31">
        <f>F4*(1+(D4/100))</f>
        <v>10224.854549638683</v>
      </c>
      <c r="H4" s="31">
        <f>G4*(1+(E4/100))</f>
        <v>10243.838255369252</v>
      </c>
      <c r="I4" s="7"/>
      <c r="J4" s="7"/>
      <c r="K4" s="7"/>
      <c r="L4" s="7"/>
    </row>
    <row r="5" spans="1:12" x14ac:dyDescent="0.3">
      <c r="A5" s="26" t="s">
        <v>145</v>
      </c>
      <c r="B5" s="32">
        <f>SUM(B3:B4)</f>
        <v>20952.51039810534</v>
      </c>
      <c r="C5" s="32"/>
      <c r="D5" s="32"/>
      <c r="E5" s="32"/>
      <c r="F5" s="32">
        <f>SUM(F3:F4)</f>
        <v>22276.542379405764</v>
      </c>
      <c r="G5" s="32">
        <f>SUM(G3:G4)</f>
        <v>22869.241988366652</v>
      </c>
      <c r="H5" s="32">
        <f>SUM(H3:H4)</f>
        <v>23052.753977423323</v>
      </c>
      <c r="I5">
        <f>$G$9*I$2+$G$10</f>
        <v>23509.660000000003</v>
      </c>
      <c r="J5">
        <f t="shared" ref="J5:L5" si="0">$G$9*J$2+$G$10</f>
        <v>23897.770000000004</v>
      </c>
      <c r="K5">
        <f t="shared" si="0"/>
        <v>24285.880000000005</v>
      </c>
      <c r="L5">
        <f t="shared" si="0"/>
        <v>24673.990000000005</v>
      </c>
    </row>
    <row r="8" spans="1:12" x14ac:dyDescent="0.3">
      <c r="F8" t="s">
        <v>179</v>
      </c>
    </row>
    <row r="9" spans="1:12" x14ac:dyDescent="0.3">
      <c r="B9"/>
      <c r="F9" t="s">
        <v>180</v>
      </c>
      <c r="G9">
        <v>38.811</v>
      </c>
    </row>
    <row r="10" spans="1:12" x14ac:dyDescent="0.3">
      <c r="B10" s="25"/>
      <c r="C10" s="25"/>
      <c r="D10" s="25"/>
      <c r="E10" s="25"/>
      <c r="F10" t="s">
        <v>181</v>
      </c>
      <c r="G10">
        <v>-56441</v>
      </c>
    </row>
    <row r="11" spans="1:12" x14ac:dyDescent="0.3">
      <c r="B11" s="25"/>
      <c r="C11" s="25"/>
      <c r="D11" s="25"/>
      <c r="E11" s="25"/>
    </row>
    <row r="25" spans="1:21" x14ac:dyDescent="0.3">
      <c r="A25" s="2"/>
      <c r="B25" s="24"/>
      <c r="C25" s="113" t="s">
        <v>213</v>
      </c>
      <c r="D25" s="113"/>
      <c r="E25" s="113"/>
      <c r="F25" s="113" t="s">
        <v>178</v>
      </c>
      <c r="G25" s="113"/>
      <c r="H25" s="113"/>
      <c r="P25" t="s">
        <v>227</v>
      </c>
      <c r="Q25" t="s">
        <v>228</v>
      </c>
      <c r="S25" t="s">
        <v>230</v>
      </c>
    </row>
    <row r="26" spans="1:21" x14ac:dyDescent="0.3">
      <c r="A26" s="4" t="s">
        <v>204</v>
      </c>
      <c r="B26" s="27">
        <v>2019</v>
      </c>
      <c r="C26" s="4" t="s">
        <v>214</v>
      </c>
      <c r="D26" s="4"/>
      <c r="E26" s="4"/>
      <c r="F26" s="4">
        <v>2030</v>
      </c>
      <c r="G26" s="4">
        <v>2040</v>
      </c>
      <c r="H26" s="4">
        <v>2050</v>
      </c>
      <c r="I26" s="4">
        <v>2060</v>
      </c>
      <c r="J26" s="4">
        <v>2070</v>
      </c>
      <c r="K26" s="4">
        <v>2080</v>
      </c>
      <c r="L26" s="4">
        <v>2090</v>
      </c>
      <c r="O26" s="7" t="s">
        <v>204</v>
      </c>
      <c r="P26" s="7">
        <v>2019</v>
      </c>
      <c r="Q26" s="7">
        <v>2019</v>
      </c>
      <c r="R26" s="7" t="s">
        <v>229</v>
      </c>
      <c r="S26" s="7" t="s">
        <v>231</v>
      </c>
      <c r="T26" s="7" t="s">
        <v>232</v>
      </c>
      <c r="U26" s="7" t="s">
        <v>233</v>
      </c>
    </row>
    <row r="27" spans="1:21" x14ac:dyDescent="0.3">
      <c r="A27" t="s">
        <v>210</v>
      </c>
      <c r="B27" s="28">
        <f>SUMIF(dw_einwohnende!$D$3:$D$22,dw_extrapol_ew!$A27,dw_einwohnende!$N$3:$N$22)</f>
        <v>0</v>
      </c>
      <c r="C27" s="29">
        <v>2.4</v>
      </c>
      <c r="D27" s="29"/>
      <c r="E27" s="29"/>
      <c r="F27" s="28"/>
      <c r="G27" s="28">
        <f>B27+(B27*C27/100)</f>
        <v>0</v>
      </c>
      <c r="H27" s="28"/>
      <c r="O27" t="s">
        <v>210</v>
      </c>
      <c r="P27" s="8">
        <v>0</v>
      </c>
      <c r="Q27" s="8">
        <v>6406</v>
      </c>
      <c r="R27" s="8">
        <v>2.4E-2</v>
      </c>
      <c r="S27" s="8">
        <f>P27*R27*100</f>
        <v>0</v>
      </c>
      <c r="T27" s="8">
        <f>Q27*R27*100</f>
        <v>15374.4</v>
      </c>
    </row>
    <row r="28" spans="1:21" x14ac:dyDescent="0.3">
      <c r="A28" t="s">
        <v>205</v>
      </c>
      <c r="B28" s="28">
        <f>SUMIF(dw_einwohnende!$D$3:$D$22,dw_extrapol_ew!$A28,dw_einwohnende!$N$3:$N$22)</f>
        <v>5499.1162790697672</v>
      </c>
      <c r="C28" s="29">
        <v>8</v>
      </c>
      <c r="D28" s="29"/>
      <c r="E28" s="29"/>
      <c r="F28" s="28"/>
      <c r="G28" s="28">
        <f t="shared" ref="G28:G35" si="1">B28+(B28*C28/100)</f>
        <v>5939.0455813953486</v>
      </c>
      <c r="H28" s="28"/>
      <c r="O28" t="s">
        <v>205</v>
      </c>
      <c r="P28" s="8">
        <v>5499.1162790697672</v>
      </c>
      <c r="Q28" s="8">
        <v>89732</v>
      </c>
      <c r="R28" s="8">
        <v>0.08</v>
      </c>
      <c r="S28" s="8">
        <f t="shared" ref="S28:S40" si="2">P28*R28*100</f>
        <v>43992.930232558138</v>
      </c>
      <c r="T28" s="8">
        <f t="shared" ref="T28:T40" si="3">Q28*R28*100</f>
        <v>717856</v>
      </c>
    </row>
    <row r="29" spans="1:21" x14ac:dyDescent="0.3">
      <c r="A29" t="s">
        <v>208</v>
      </c>
      <c r="B29" s="28">
        <f>SUMIF(dw_einwohnende!$D$3:$D$22,dw_extrapol_ew!$A29,dw_einwohnende!$N$3:$N$22)</f>
        <v>3712.0000077441937</v>
      </c>
      <c r="C29" s="29">
        <v>6.6</v>
      </c>
      <c r="D29" s="29"/>
      <c r="E29" s="29"/>
      <c r="F29" s="28"/>
      <c r="G29" s="28">
        <f t="shared" si="1"/>
        <v>3956.9920082553103</v>
      </c>
      <c r="H29" s="28"/>
      <c r="O29" t="s">
        <v>208</v>
      </c>
      <c r="P29" s="8">
        <v>3712.0000077441937</v>
      </c>
      <c r="Q29" s="8">
        <v>37664</v>
      </c>
      <c r="R29" s="8">
        <v>6.6000000000000003E-2</v>
      </c>
      <c r="S29" s="8">
        <f t="shared" si="2"/>
        <v>24499.200051111678</v>
      </c>
      <c r="T29" s="8">
        <f t="shared" si="3"/>
        <v>248582.39999999999</v>
      </c>
    </row>
    <row r="30" spans="1:21" x14ac:dyDescent="0.3">
      <c r="A30" t="s">
        <v>209</v>
      </c>
      <c r="B30" s="28">
        <f>SUMIF(dw_einwohnende!$D$3:$D$22,dw_extrapol_ew!$A30,dw_einwohnende!$N$3:$N$22)</f>
        <v>222.77710843373492</v>
      </c>
      <c r="C30" s="29">
        <v>2.5</v>
      </c>
      <c r="D30" s="29"/>
      <c r="E30" s="29"/>
      <c r="F30" s="28"/>
      <c r="G30" s="28">
        <f t="shared" si="1"/>
        <v>228.34653614457829</v>
      </c>
      <c r="H30" s="28"/>
      <c r="O30" t="s">
        <v>209</v>
      </c>
      <c r="P30" s="8">
        <v>222.77710843373492</v>
      </c>
      <c r="Q30" s="8">
        <v>8626</v>
      </c>
      <c r="R30" s="8">
        <v>2.5000000000000001E-2</v>
      </c>
      <c r="S30" s="8">
        <f t="shared" si="2"/>
        <v>556.94277108433732</v>
      </c>
      <c r="T30" s="8">
        <f t="shared" si="3"/>
        <v>21565</v>
      </c>
    </row>
    <row r="31" spans="1:21" x14ac:dyDescent="0.3">
      <c r="A31" t="s">
        <v>211</v>
      </c>
      <c r="B31" s="28">
        <f>SUMIF(dw_einwohnende!$D$3:$D$22,dw_extrapol_ew!$A31,dw_einwohnende!$N$3:$N$22)</f>
        <v>0</v>
      </c>
      <c r="C31" s="29">
        <v>13.4</v>
      </c>
      <c r="D31" s="29"/>
      <c r="E31" s="29"/>
      <c r="F31" s="28"/>
      <c r="G31" s="28">
        <f t="shared" si="1"/>
        <v>0</v>
      </c>
      <c r="H31" s="28"/>
      <c r="O31" t="s">
        <v>125</v>
      </c>
      <c r="P31" s="8">
        <v>1971.0549450549452</v>
      </c>
      <c r="Q31" s="8">
        <v>11661</v>
      </c>
      <c r="R31" s="8">
        <v>0.13500000000000001</v>
      </c>
      <c r="S31" s="8">
        <f t="shared" si="2"/>
        <v>26609.241758241762</v>
      </c>
      <c r="T31" s="8">
        <f t="shared" si="3"/>
        <v>157423.5</v>
      </c>
    </row>
    <row r="32" spans="1:21" x14ac:dyDescent="0.3">
      <c r="A32" t="s">
        <v>206</v>
      </c>
      <c r="B32" s="28">
        <f>SUMIF(dw_einwohnende!$D$3:$D$22,dw_extrapol_ew!$A32,dw_einwohnende!$N$3:$N$22)</f>
        <v>2055.77039113603</v>
      </c>
      <c r="C32" s="29">
        <v>2.7</v>
      </c>
      <c r="D32" s="29"/>
      <c r="E32" s="29"/>
      <c r="F32" s="28"/>
      <c r="G32" s="28">
        <f t="shared" si="1"/>
        <v>2111.2761916967029</v>
      </c>
      <c r="H32" s="28"/>
      <c r="O32" t="s">
        <v>218</v>
      </c>
      <c r="P32" s="8">
        <v>0</v>
      </c>
      <c r="Q32" s="8">
        <v>143965</v>
      </c>
      <c r="R32" s="8">
        <v>0.14099999999999999</v>
      </c>
      <c r="S32" s="8">
        <f t="shared" si="2"/>
        <v>0</v>
      </c>
      <c r="T32" s="8">
        <f t="shared" si="3"/>
        <v>2029906.4999999998</v>
      </c>
    </row>
    <row r="33" spans="1:21" x14ac:dyDescent="0.3">
      <c r="A33" t="s">
        <v>207</v>
      </c>
      <c r="B33" s="28">
        <f>SUMIF(dw_einwohnende!$D$3:$D$22,dw_extrapol_ew!$A33,dw_einwohnende!$N$3:$N$22)</f>
        <v>7491.791666666667</v>
      </c>
      <c r="C33" s="29">
        <v>5.4</v>
      </c>
      <c r="D33" s="29"/>
      <c r="E33" s="29"/>
      <c r="F33" s="28"/>
      <c r="G33" s="28">
        <f t="shared" si="1"/>
        <v>7896.3484166666667</v>
      </c>
      <c r="H33" s="28"/>
      <c r="O33" t="s">
        <v>219</v>
      </c>
      <c r="P33" s="8">
        <v>0</v>
      </c>
      <c r="Q33" s="8">
        <v>11517</v>
      </c>
      <c r="R33" s="8">
        <v>9.9000000000000005E-2</v>
      </c>
      <c r="S33" s="8">
        <f t="shared" si="2"/>
        <v>0</v>
      </c>
      <c r="T33" s="8">
        <f t="shared" si="3"/>
        <v>114018.3</v>
      </c>
    </row>
    <row r="34" spans="1:21" x14ac:dyDescent="0.3">
      <c r="A34" t="s">
        <v>212</v>
      </c>
      <c r="B34" s="28">
        <f>SUMIF(dw_einwohnende!$D$3:$D$22,dw_extrapol_ew!$A34,dw_einwohnende!$N$3:$N$22)</f>
        <v>0</v>
      </c>
      <c r="C34" s="29">
        <v>-0.4</v>
      </c>
      <c r="D34" s="29"/>
      <c r="E34" s="29"/>
      <c r="F34" s="28"/>
      <c r="G34" s="28">
        <f t="shared" si="1"/>
        <v>0</v>
      </c>
      <c r="H34" s="28"/>
      <c r="O34" t="s">
        <v>220</v>
      </c>
      <c r="P34" s="8">
        <v>0</v>
      </c>
      <c r="Q34" s="8">
        <v>43001</v>
      </c>
      <c r="R34" s="8">
        <v>0.11799999999999999</v>
      </c>
      <c r="S34" s="8">
        <f t="shared" si="2"/>
        <v>0</v>
      </c>
      <c r="T34" s="8">
        <f t="shared" si="3"/>
        <v>507411.79999999993</v>
      </c>
    </row>
    <row r="35" spans="1:21" x14ac:dyDescent="0.3">
      <c r="A35" s="7" t="s">
        <v>125</v>
      </c>
      <c r="B35" s="31">
        <f>SUMIF(dw_einwohnende!$D$3:$D$22,dw_extrapol_ew!$A35,dw_einwohnende!$N$3:$N$22)</f>
        <v>1971.0549450549452</v>
      </c>
      <c r="C35" s="30">
        <v>13.5</v>
      </c>
      <c r="D35" s="30"/>
      <c r="E35" s="30"/>
      <c r="F35" s="31"/>
      <c r="G35" s="31">
        <f t="shared" si="1"/>
        <v>2237.1473626373627</v>
      </c>
      <c r="H35" s="31"/>
      <c r="I35" s="7"/>
      <c r="J35" s="7"/>
      <c r="K35" s="7"/>
      <c r="L35" s="7"/>
      <c r="O35" t="s">
        <v>221</v>
      </c>
      <c r="P35" s="8">
        <v>0</v>
      </c>
      <c r="Q35" s="8">
        <v>10544</v>
      </c>
      <c r="R35" s="8">
        <v>0.11799999999999999</v>
      </c>
      <c r="S35" s="8">
        <f t="shared" si="2"/>
        <v>0</v>
      </c>
      <c r="T35" s="8">
        <f t="shared" si="3"/>
        <v>124419.2</v>
      </c>
    </row>
    <row r="36" spans="1:21" x14ac:dyDescent="0.3">
      <c r="A36" s="26" t="s">
        <v>145</v>
      </c>
      <c r="B36" s="32">
        <f>SUM(B27:B35)</f>
        <v>20952.510398105336</v>
      </c>
      <c r="C36" s="32"/>
      <c r="D36" s="32"/>
      <c r="E36" s="32"/>
      <c r="F36">
        <f>$G$41*F$26+$G$42</f>
        <v>21693.770000000019</v>
      </c>
      <c r="G36" s="32">
        <f>SUM(G27:G35)</f>
        <v>22369.15609679597</v>
      </c>
      <c r="H36">
        <f>$G$41*H$26+$G$42</f>
        <v>23042.950000000012</v>
      </c>
      <c r="I36">
        <f>$G$41*I$26+$G$42</f>
        <v>23717.540000000008</v>
      </c>
      <c r="J36">
        <f t="shared" ref="J36:L36" si="4">$G$41*J$26+$G$42</f>
        <v>24392.130000000005</v>
      </c>
      <c r="K36">
        <f t="shared" si="4"/>
        <v>25066.720000000001</v>
      </c>
      <c r="L36">
        <f t="shared" si="4"/>
        <v>25741.309999999998</v>
      </c>
      <c r="O36" t="s">
        <v>222</v>
      </c>
      <c r="P36" s="8">
        <v>0</v>
      </c>
      <c r="Q36" s="8">
        <v>13032</v>
      </c>
      <c r="R36" s="8">
        <v>0.13400000000000001</v>
      </c>
      <c r="S36" s="8">
        <f t="shared" si="2"/>
        <v>0</v>
      </c>
      <c r="T36" s="8">
        <f t="shared" si="3"/>
        <v>174628.8</v>
      </c>
    </row>
    <row r="37" spans="1:21" x14ac:dyDescent="0.3">
      <c r="O37" t="s">
        <v>223</v>
      </c>
      <c r="P37" s="8">
        <v>0</v>
      </c>
      <c r="Q37" s="8">
        <v>13233</v>
      </c>
      <c r="R37" s="8">
        <v>4.2999999999999997E-2</v>
      </c>
      <c r="S37" s="8">
        <f t="shared" si="2"/>
        <v>0</v>
      </c>
      <c r="T37" s="8">
        <f t="shared" si="3"/>
        <v>56901.9</v>
      </c>
    </row>
    <row r="38" spans="1:21" x14ac:dyDescent="0.3">
      <c r="O38" t="s">
        <v>224</v>
      </c>
      <c r="P38" s="8">
        <v>0</v>
      </c>
      <c r="Q38" s="8">
        <v>18132</v>
      </c>
      <c r="R38" s="8">
        <v>0.222</v>
      </c>
      <c r="S38" s="8">
        <f t="shared" si="2"/>
        <v>0</v>
      </c>
      <c r="T38" s="8">
        <f t="shared" si="3"/>
        <v>402530.4</v>
      </c>
    </row>
    <row r="39" spans="1:21" x14ac:dyDescent="0.3">
      <c r="O39" t="s">
        <v>225</v>
      </c>
      <c r="P39" s="8">
        <v>0</v>
      </c>
      <c r="Q39" s="8">
        <v>11572</v>
      </c>
      <c r="R39" s="8">
        <v>2.8000000000000001E-2</v>
      </c>
      <c r="S39" s="8">
        <f t="shared" si="2"/>
        <v>0</v>
      </c>
      <c r="T39" s="8">
        <f t="shared" si="3"/>
        <v>32401.600000000002</v>
      </c>
    </row>
    <row r="40" spans="1:21" x14ac:dyDescent="0.3">
      <c r="F40" t="s">
        <v>215</v>
      </c>
      <c r="O40" s="7" t="s">
        <v>226</v>
      </c>
      <c r="P40" s="12">
        <v>0</v>
      </c>
      <c r="Q40" s="12">
        <v>10710</v>
      </c>
      <c r="R40" s="12">
        <v>8.2000000000000003E-2</v>
      </c>
      <c r="S40" s="12">
        <f t="shared" si="2"/>
        <v>0</v>
      </c>
      <c r="T40" s="12">
        <f t="shared" si="3"/>
        <v>87822</v>
      </c>
      <c r="U40" s="7"/>
    </row>
    <row r="41" spans="1:21" x14ac:dyDescent="0.3">
      <c r="F41" t="s">
        <v>180</v>
      </c>
      <c r="G41">
        <v>67.459000000000003</v>
      </c>
      <c r="P41" s="8">
        <f>SUM(P26:P40)</f>
        <v>13423.948340302642</v>
      </c>
      <c r="Q41" s="8">
        <f>SUM(Q27:Q40)</f>
        <v>429795</v>
      </c>
      <c r="R41" s="8"/>
      <c r="S41" s="8">
        <f>SUM(S27:S40)/P41</f>
        <v>7.1259447956754647</v>
      </c>
      <c r="T41" s="8">
        <f>SUM(T27:T40)/Q41</f>
        <v>10.914137670284669</v>
      </c>
      <c r="U41" s="82">
        <f>S41/T41</f>
        <v>0.65290955739699785</v>
      </c>
    </row>
    <row r="42" spans="1:21" x14ac:dyDescent="0.3">
      <c r="F42" t="s">
        <v>181</v>
      </c>
      <c r="G42">
        <v>-115248</v>
      </c>
      <c r="O42" s="7"/>
      <c r="P42" s="12"/>
      <c r="Q42" s="12"/>
      <c r="R42" s="12"/>
      <c r="S42" s="12"/>
      <c r="T42" s="12"/>
      <c r="U42" s="7"/>
    </row>
    <row r="43" spans="1:21" x14ac:dyDescent="0.3">
      <c r="O43" t="s">
        <v>211</v>
      </c>
      <c r="P43" s="8">
        <v>0</v>
      </c>
      <c r="Q43" s="8">
        <v>6969</v>
      </c>
      <c r="R43" s="8">
        <v>0.13400000000000001</v>
      </c>
      <c r="S43" s="8">
        <f>P43*R43*100</f>
        <v>0</v>
      </c>
      <c r="T43" s="8">
        <f>Q43*R43*100</f>
        <v>93384.6</v>
      </c>
    </row>
    <row r="44" spans="1:21" x14ac:dyDescent="0.3">
      <c r="O44" t="s">
        <v>206</v>
      </c>
      <c r="P44" s="8">
        <v>2055.77039113603</v>
      </c>
      <c r="Q44" s="8">
        <v>45904</v>
      </c>
      <c r="R44" s="8">
        <v>2.7E-2</v>
      </c>
      <c r="S44" s="8">
        <f t="shared" ref="S44:S49" si="5">P44*R44*100</f>
        <v>5550.5800560672815</v>
      </c>
      <c r="T44" s="8">
        <f t="shared" ref="T44:T49" si="6">Q44*R44*100</f>
        <v>123940.79999999999</v>
      </c>
    </row>
    <row r="45" spans="1:21" x14ac:dyDescent="0.3">
      <c r="O45" t="s">
        <v>207</v>
      </c>
      <c r="P45" s="8">
        <v>7491.791666666667</v>
      </c>
      <c r="Q45" s="8">
        <v>31629</v>
      </c>
      <c r="R45" s="8">
        <v>5.3999999999999999E-2</v>
      </c>
      <c r="S45" s="8">
        <f t="shared" si="5"/>
        <v>40455.675000000003</v>
      </c>
      <c r="T45" s="8">
        <f t="shared" si="6"/>
        <v>170796.59999999998</v>
      </c>
    </row>
    <row r="46" spans="1:21" x14ac:dyDescent="0.3">
      <c r="O46" t="s">
        <v>212</v>
      </c>
      <c r="P46" s="8">
        <v>0</v>
      </c>
      <c r="Q46" s="8">
        <v>9974</v>
      </c>
      <c r="R46" s="8">
        <v>-4.0000000000000001E-3</v>
      </c>
      <c r="S46" s="8">
        <f t="shared" si="5"/>
        <v>0</v>
      </c>
      <c r="T46" s="8">
        <f t="shared" si="6"/>
        <v>-3989.6</v>
      </c>
    </row>
    <row r="47" spans="1:21" x14ac:dyDescent="0.3">
      <c r="O47" t="s">
        <v>216</v>
      </c>
      <c r="P47" s="8">
        <v>0</v>
      </c>
      <c r="Q47" s="8">
        <v>13072</v>
      </c>
      <c r="R47" s="8">
        <v>5.1999999999999998E-2</v>
      </c>
      <c r="S47" s="8">
        <f t="shared" si="5"/>
        <v>0</v>
      </c>
      <c r="T47" s="8">
        <f t="shared" si="6"/>
        <v>67974.399999999994</v>
      </c>
    </row>
    <row r="48" spans="1:21" x14ac:dyDescent="0.3">
      <c r="O48" t="s">
        <v>217</v>
      </c>
      <c r="P48" s="8">
        <v>0</v>
      </c>
      <c r="Q48" s="8">
        <v>15863</v>
      </c>
      <c r="R48" s="8">
        <v>8.6999999999999994E-2</v>
      </c>
      <c r="S48" s="8">
        <f t="shared" si="5"/>
        <v>0</v>
      </c>
      <c r="T48" s="8">
        <f t="shared" si="6"/>
        <v>138008.09999999998</v>
      </c>
    </row>
    <row r="49" spans="1:21" x14ac:dyDescent="0.3">
      <c r="O49" s="7" t="s">
        <v>168</v>
      </c>
      <c r="P49" s="12">
        <v>0</v>
      </c>
      <c r="Q49" s="12">
        <v>44280</v>
      </c>
      <c r="R49" s="12">
        <v>7.1999999999999995E-2</v>
      </c>
      <c r="S49" s="12">
        <f t="shared" si="5"/>
        <v>0</v>
      </c>
      <c r="T49" s="12">
        <f t="shared" si="6"/>
        <v>318816</v>
      </c>
      <c r="U49" s="7"/>
    </row>
    <row r="50" spans="1:21" x14ac:dyDescent="0.3">
      <c r="P50" s="8">
        <f>SUM(P43:P49)</f>
        <v>9547.5620578026974</v>
      </c>
      <c r="Q50" s="8">
        <f>SUM(Q43:Q49)</f>
        <v>167691</v>
      </c>
      <c r="R50" s="8"/>
      <c r="S50" s="8">
        <f>SUM(S43:S49)/P50</f>
        <v>4.8186390177447338</v>
      </c>
      <c r="T50" s="8">
        <f>SUM(T43:T49)/Q50</f>
        <v>5.4202724057939902</v>
      </c>
      <c r="U50" s="82">
        <f>S50/T50</f>
        <v>0.88900310851422493</v>
      </c>
    </row>
    <row r="58" spans="1:21" x14ac:dyDescent="0.3">
      <c r="A58" s="2"/>
      <c r="B58" s="24"/>
      <c r="C58" s="113" t="s">
        <v>177</v>
      </c>
      <c r="D58" s="113"/>
      <c r="E58" s="113"/>
      <c r="F58" s="113" t="s">
        <v>178</v>
      </c>
      <c r="G58" s="113"/>
      <c r="H58" s="113"/>
    </row>
    <row r="59" spans="1:21" x14ac:dyDescent="0.3">
      <c r="A59" s="4" t="s">
        <v>166</v>
      </c>
      <c r="B59" s="27" t="s">
        <v>176</v>
      </c>
      <c r="C59" s="4" t="s">
        <v>173</v>
      </c>
      <c r="D59" s="4" t="s">
        <v>174</v>
      </c>
      <c r="E59" s="4" t="s">
        <v>175</v>
      </c>
      <c r="F59" s="4">
        <v>2030</v>
      </c>
      <c r="G59" s="4">
        <v>2040</v>
      </c>
      <c r="H59" s="4">
        <v>2050</v>
      </c>
      <c r="I59" s="4">
        <v>2060</v>
      </c>
      <c r="J59" s="4">
        <v>2070</v>
      </c>
      <c r="K59" s="4">
        <v>2080</v>
      </c>
      <c r="L59" s="4">
        <v>2090</v>
      </c>
    </row>
    <row r="60" spans="1:21" x14ac:dyDescent="0.3">
      <c r="A60" t="s">
        <v>167</v>
      </c>
      <c r="B60" s="28">
        <f>SUMIF(dw_einwohnende!C$3:C$22,dw_extrapol_ew!$A60,dw_einwohnende!N$3:N$22)</f>
        <v>11404.948340302641</v>
      </c>
      <c r="C60" s="29">
        <f>C3*$U$41</f>
        <v>4.8064931892252627</v>
      </c>
      <c r="D60" s="29">
        <f t="shared" ref="D60:E60" si="7">D3*$U$41</f>
        <v>2.1320812938473024</v>
      </c>
      <c r="E60" s="29">
        <f t="shared" si="7"/>
        <v>0.84956340642263384</v>
      </c>
      <c r="F60" s="28">
        <f>$B60*(1+(C60/100))</f>
        <v>11953.126405513945</v>
      </c>
      <c r="G60" s="28">
        <f>F60*(1+(D60/100))</f>
        <v>12207.976777635829</v>
      </c>
      <c r="H60" s="28">
        <f>G60*(1+(E60/100))</f>
        <v>12311.691281003197</v>
      </c>
    </row>
    <row r="61" spans="1:21" x14ac:dyDescent="0.3">
      <c r="A61" s="7" t="s">
        <v>168</v>
      </c>
      <c r="B61" s="31">
        <f>SUMIF(dw_einwohnende!C$3:C$22,dw_extrapol_ew!$A61,dw_einwohnende!N$3:N$22)</f>
        <v>9547.5620578026974</v>
      </c>
      <c r="C61" s="30">
        <f>C4*$U$50</f>
        <v>4.5107648340545055</v>
      </c>
      <c r="D61" s="30">
        <f t="shared" ref="D61:E61" si="8">D4*$U$50</f>
        <v>1.7090015456056071</v>
      </c>
      <c r="E61" s="30">
        <f t="shared" si="8"/>
        <v>0.16505441054114861</v>
      </c>
      <c r="F61" s="31">
        <f>$B61*(1+(C61/100))</f>
        <v>9978.2301296155929</v>
      </c>
      <c r="G61" s="31">
        <f>F61*(1+(D61/100))</f>
        <v>10148.758236754808</v>
      </c>
      <c r="H61" s="31">
        <f>G61*(1+(E61/100))</f>
        <v>10165.509209839731</v>
      </c>
      <c r="I61" s="7"/>
      <c r="J61" s="7"/>
      <c r="K61" s="7"/>
      <c r="L61" s="7"/>
    </row>
    <row r="62" spans="1:21" x14ac:dyDescent="0.3">
      <c r="A62" s="26" t="s">
        <v>145</v>
      </c>
      <c r="B62" s="32">
        <f>SUM(B60:B61)</f>
        <v>20952.51039810534</v>
      </c>
      <c r="C62" s="32"/>
      <c r="D62" s="32"/>
      <c r="E62" s="32"/>
      <c r="F62" s="32">
        <f>SUM(F60:F61)</f>
        <v>21931.35653512954</v>
      </c>
      <c r="G62" s="32">
        <f>SUM(G60:G61)</f>
        <v>22356.735014390637</v>
      </c>
      <c r="H62" s="32">
        <f>SUM(H60:H61)</f>
        <v>22477.20049084293</v>
      </c>
      <c r="I62">
        <f>$G$66*I$2+$G$67</f>
        <v>22800.520000000004</v>
      </c>
      <c r="J62">
        <f t="shared" ref="J62:L62" si="9">$G$66*J$2+$G$67</f>
        <v>23073.440000000002</v>
      </c>
      <c r="K62">
        <f t="shared" si="9"/>
        <v>23346.36</v>
      </c>
      <c r="L62">
        <f t="shared" si="9"/>
        <v>23619.280000000006</v>
      </c>
    </row>
    <row r="65" spans="2:7" x14ac:dyDescent="0.3">
      <c r="F65" t="s">
        <v>179</v>
      </c>
    </row>
    <row r="66" spans="2:7" x14ac:dyDescent="0.3">
      <c r="B66"/>
      <c r="F66" t="s">
        <v>180</v>
      </c>
      <c r="G66">
        <v>27.292000000000002</v>
      </c>
    </row>
    <row r="67" spans="2:7" x14ac:dyDescent="0.3">
      <c r="B67" s="25"/>
      <c r="C67" s="25"/>
      <c r="D67" s="25"/>
      <c r="E67" s="25"/>
      <c r="F67" t="s">
        <v>181</v>
      </c>
      <c r="G67">
        <v>-33421</v>
      </c>
    </row>
  </sheetData>
  <mergeCells count="6">
    <mergeCell ref="C1:E1"/>
    <mergeCell ref="F1:H1"/>
    <mergeCell ref="C25:E25"/>
    <mergeCell ref="F25:H25"/>
    <mergeCell ref="C58:E58"/>
    <mergeCell ref="F58:H58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06D8-5923-4037-BC0F-4BF77D81F607}">
  <sheetPr>
    <tabColor rgb="FFC00000"/>
  </sheetPr>
  <dimension ref="A1:H23"/>
  <sheetViews>
    <sheetView workbookViewId="0">
      <selection activeCell="D24" sqref="D24"/>
    </sheetView>
  </sheetViews>
  <sheetFormatPr baseColWidth="10" defaultRowHeight="14.4" x14ac:dyDescent="0.3"/>
  <cols>
    <col min="3" max="3" width="21.109375" customWidth="1"/>
    <col min="4" max="4" width="20.6640625" customWidth="1"/>
    <col min="5" max="7" width="24.88671875" customWidth="1"/>
  </cols>
  <sheetData>
    <row r="1" spans="1:8" x14ac:dyDescent="0.3">
      <c r="A1" t="s">
        <v>182</v>
      </c>
      <c r="B1" t="s">
        <v>190</v>
      </c>
      <c r="C1" t="s">
        <v>254</v>
      </c>
      <c r="D1" t="s">
        <v>255</v>
      </c>
      <c r="E1" t="s">
        <v>256</v>
      </c>
      <c r="F1" t="s">
        <v>253</v>
      </c>
      <c r="G1" t="s">
        <v>252</v>
      </c>
      <c r="H1" t="s">
        <v>191</v>
      </c>
    </row>
    <row r="2" spans="1:8" x14ac:dyDescent="0.3">
      <c r="A2">
        <v>1990</v>
      </c>
      <c r="B2" s="9">
        <f>dw_einwohnende!L23</f>
        <v>17147.164222063737</v>
      </c>
      <c r="C2" s="9">
        <v>142</v>
      </c>
      <c r="D2" s="9">
        <f>C2*365.25</f>
        <v>51865.5</v>
      </c>
      <c r="E2" s="37">
        <f>D2/1000</f>
        <v>51.865499999999997</v>
      </c>
      <c r="F2" s="37">
        <f>E2*B2</f>
        <v>889346.24595944665</v>
      </c>
      <c r="G2" s="71">
        <f>((F2*1000)/116000000)/12</f>
        <v>0.63889816520075193</v>
      </c>
      <c r="H2" t="s">
        <v>192</v>
      </c>
    </row>
    <row r="3" spans="1:8" x14ac:dyDescent="0.3">
      <c r="A3">
        <v>2010</v>
      </c>
      <c r="B3" s="9">
        <f>dw_einwohnende!M23</f>
        <v>19774.185186660703</v>
      </c>
      <c r="C3" s="9">
        <v>142</v>
      </c>
      <c r="D3" s="9">
        <f t="shared" ref="D3:D7" si="0">C3*365.25</f>
        <v>51865.5</v>
      </c>
      <c r="E3" s="37">
        <f t="shared" ref="E3:E7" si="1">D3/1000</f>
        <v>51.865499999999997</v>
      </c>
      <c r="F3" s="37">
        <f t="shared" ref="F3:F7" si="2">E3*B3</f>
        <v>1025598.0017987506</v>
      </c>
      <c r="G3" s="71">
        <f t="shared" ref="G3:G7" si="3">((F3*1000)/116000000)/12</f>
        <v>0.73678017370599902</v>
      </c>
      <c r="H3" t="s">
        <v>192</v>
      </c>
    </row>
    <row r="4" spans="1:8" x14ac:dyDescent="0.3">
      <c r="A4">
        <v>2030</v>
      </c>
      <c r="B4" s="9">
        <f>dw_extrapol_ew!F62</f>
        <v>21931.35653512954</v>
      </c>
      <c r="C4" s="9">
        <v>142</v>
      </c>
      <c r="D4" s="9">
        <f t="shared" si="0"/>
        <v>51865.5</v>
      </c>
      <c r="E4" s="37">
        <f t="shared" si="1"/>
        <v>51.865499999999997</v>
      </c>
      <c r="F4" s="37">
        <f t="shared" si="2"/>
        <v>1137480.772372761</v>
      </c>
      <c r="G4" s="71">
        <f t="shared" si="3"/>
        <v>0.81715572727928232</v>
      </c>
      <c r="H4" t="s">
        <v>193</v>
      </c>
    </row>
    <row r="5" spans="1:8" x14ac:dyDescent="0.3">
      <c r="A5">
        <v>2050</v>
      </c>
      <c r="B5" s="9">
        <f>dw_extrapol_ew!H62</f>
        <v>22477.20049084293</v>
      </c>
      <c r="C5" s="9">
        <v>142</v>
      </c>
      <c r="D5" s="9">
        <f t="shared" si="0"/>
        <v>51865.5</v>
      </c>
      <c r="E5" s="37">
        <f t="shared" si="1"/>
        <v>51.865499999999997</v>
      </c>
      <c r="F5" s="37">
        <f t="shared" si="2"/>
        <v>1165791.242057814</v>
      </c>
      <c r="G5" s="71">
        <f t="shared" si="3"/>
        <v>0.83749370837486647</v>
      </c>
      <c r="H5" t="s">
        <v>193</v>
      </c>
    </row>
    <row r="6" spans="1:8" x14ac:dyDescent="0.3">
      <c r="A6">
        <v>2070</v>
      </c>
      <c r="B6" s="9">
        <f>dw_extrapol_ew!J62</f>
        <v>23073.440000000002</v>
      </c>
      <c r="C6" s="9">
        <v>142</v>
      </c>
      <c r="D6" s="9">
        <f t="shared" si="0"/>
        <v>51865.5</v>
      </c>
      <c r="E6" s="37">
        <f t="shared" si="1"/>
        <v>51.865499999999997</v>
      </c>
      <c r="F6" s="37">
        <f t="shared" si="2"/>
        <v>1196715.50232</v>
      </c>
      <c r="G6" s="71">
        <f t="shared" si="3"/>
        <v>0.85970941258620692</v>
      </c>
      <c r="H6" t="s">
        <v>194</v>
      </c>
    </row>
    <row r="7" spans="1:8" x14ac:dyDescent="0.3">
      <c r="A7">
        <v>2090</v>
      </c>
      <c r="B7" s="9">
        <f>dw_extrapol_ew!L62</f>
        <v>23619.280000000006</v>
      </c>
      <c r="C7" s="9">
        <v>142</v>
      </c>
      <c r="D7" s="9">
        <f t="shared" si="0"/>
        <v>51865.5</v>
      </c>
      <c r="E7" s="37">
        <f t="shared" si="1"/>
        <v>51.865499999999997</v>
      </c>
      <c r="F7" s="37">
        <f t="shared" si="2"/>
        <v>1225025.7668400002</v>
      </c>
      <c r="G7" s="71">
        <f t="shared" si="3"/>
        <v>0.88004724629310349</v>
      </c>
      <c r="H7" t="s">
        <v>194</v>
      </c>
    </row>
    <row r="14" spans="1:8" x14ac:dyDescent="0.3">
      <c r="B14">
        <f>B2/G2</f>
        <v>26838.649969632996</v>
      </c>
      <c r="C14" s="122">
        <v>0.7087</v>
      </c>
      <c r="D14">
        <f>B14*C14</f>
        <v>19020.551233478905</v>
      </c>
    </row>
    <row r="15" spans="1:8" x14ac:dyDescent="0.3">
      <c r="B15">
        <f t="shared" ref="B15:B21" si="4">B3/G3</f>
        <v>26838.649969632996</v>
      </c>
      <c r="C15" s="122">
        <v>0.81599999999999995</v>
      </c>
      <c r="D15">
        <f t="shared" ref="D15:D16" si="5">B15*C15</f>
        <v>21900.338375220523</v>
      </c>
    </row>
    <row r="16" spans="1:8" x14ac:dyDescent="0.3">
      <c r="B16">
        <f t="shared" si="4"/>
        <v>26838.649969632996</v>
      </c>
      <c r="C16" s="122">
        <v>0.84794999999999998</v>
      </c>
      <c r="D16">
        <f t="shared" si="5"/>
        <v>22757.833241750297</v>
      </c>
    </row>
    <row r="17" spans="2:4" x14ac:dyDescent="0.3">
      <c r="B17">
        <f t="shared" si="4"/>
        <v>26838.649969632988</v>
      </c>
    </row>
    <row r="18" spans="2:4" x14ac:dyDescent="0.3">
      <c r="B18">
        <f t="shared" si="4"/>
        <v>26838.649969632996</v>
      </c>
    </row>
    <row r="19" spans="2:4" x14ac:dyDescent="0.3">
      <c r="B19">
        <f t="shared" si="4"/>
        <v>26838.649969632999</v>
      </c>
    </row>
    <row r="23" spans="2:4" x14ac:dyDescent="0.3">
      <c r="D23">
        <f>((B6/B2)-1)/8</f>
        <v>4.3201573312562386E-2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8804-9161-4837-93D2-9E1F72094112}">
  <dimension ref="A1:N51"/>
  <sheetViews>
    <sheetView topLeftCell="C1" workbookViewId="0">
      <selection activeCell="E40" sqref="E40"/>
    </sheetView>
  </sheetViews>
  <sheetFormatPr baseColWidth="10" defaultColWidth="11.44140625" defaultRowHeight="14.4" x14ac:dyDescent="0.3"/>
  <cols>
    <col min="1" max="1" width="29" customWidth="1"/>
    <col min="2" max="2" width="10.88671875" style="22" customWidth="1"/>
    <col min="3" max="4" width="23.33203125" customWidth="1"/>
    <col min="5" max="6" width="22.33203125" customWidth="1"/>
    <col min="9" max="9" width="11.44140625" style="8"/>
    <col min="13" max="13" width="19.77734375" customWidth="1"/>
    <col min="14" max="14" width="31.33203125" customWidth="1"/>
  </cols>
  <sheetData>
    <row r="1" spans="1:14" x14ac:dyDescent="0.3">
      <c r="A1" s="113" t="s">
        <v>189</v>
      </c>
      <c r="B1" s="113"/>
      <c r="C1" s="114"/>
      <c r="D1" s="113" t="s">
        <v>195</v>
      </c>
      <c r="E1" s="113"/>
      <c r="F1" s="114"/>
      <c r="G1" s="115" t="s">
        <v>186</v>
      </c>
      <c r="H1" s="113"/>
      <c r="I1" s="114"/>
      <c r="J1" s="117" t="s">
        <v>199</v>
      </c>
      <c r="K1" s="117"/>
      <c r="L1" s="118"/>
      <c r="M1" s="2" t="s">
        <v>200</v>
      </c>
      <c r="N1" s="2" t="s">
        <v>203</v>
      </c>
    </row>
    <row r="2" spans="1:14" x14ac:dyDescent="0.3">
      <c r="A2" s="4" t="s">
        <v>165</v>
      </c>
      <c r="B2" s="41" t="s">
        <v>169</v>
      </c>
      <c r="C2" s="46" t="s">
        <v>166</v>
      </c>
      <c r="D2" s="72">
        <v>2011</v>
      </c>
      <c r="E2" s="72">
        <v>2019</v>
      </c>
      <c r="F2" s="73">
        <v>2020</v>
      </c>
      <c r="G2" s="51" t="s">
        <v>170</v>
      </c>
      <c r="H2" s="4" t="s">
        <v>171</v>
      </c>
      <c r="I2" s="52" t="s">
        <v>172</v>
      </c>
      <c r="J2" s="72">
        <v>2011</v>
      </c>
      <c r="K2" s="72">
        <v>2019</v>
      </c>
      <c r="L2" s="73">
        <v>2020</v>
      </c>
      <c r="M2" s="51" t="s">
        <v>201</v>
      </c>
      <c r="N2" s="51" t="s">
        <v>201</v>
      </c>
    </row>
    <row r="3" spans="1:14" x14ac:dyDescent="0.3">
      <c r="A3" t="s">
        <v>138</v>
      </c>
      <c r="B3" s="38">
        <v>770</v>
      </c>
      <c r="C3" s="47" t="s">
        <v>168</v>
      </c>
      <c r="D3" s="5">
        <v>16</v>
      </c>
      <c r="E3" s="5">
        <v>27</v>
      </c>
      <c r="F3" s="5">
        <v>27</v>
      </c>
      <c r="G3" s="53">
        <v>66</v>
      </c>
      <c r="H3">
        <v>5</v>
      </c>
      <c r="I3" s="54">
        <f t="shared" ref="I3:I23" si="0">H3/G3</f>
        <v>7.575757575757576E-2</v>
      </c>
      <c r="J3" s="37">
        <f t="shared" ref="J3:J22" si="1">I3*D3</f>
        <v>1.2121212121212122</v>
      </c>
      <c r="K3" s="37">
        <f>I3*E3</f>
        <v>2.0454545454545454</v>
      </c>
      <c r="L3" s="59">
        <f>I3*F3</f>
        <v>2.0454545454545454</v>
      </c>
      <c r="M3" s="75">
        <f>(L3/J3)-1</f>
        <v>0.6875</v>
      </c>
      <c r="N3" s="75">
        <f>(L3-J3)/($L$23-$J$23)</f>
        <v>-7.6601426751683977E-3</v>
      </c>
    </row>
    <row r="4" spans="1:14" x14ac:dyDescent="0.3">
      <c r="A4" t="s">
        <v>125</v>
      </c>
      <c r="B4" s="38">
        <v>861</v>
      </c>
      <c r="C4" s="47" t="s">
        <v>167</v>
      </c>
      <c r="D4" s="5">
        <v>1091</v>
      </c>
      <c r="E4" s="5">
        <v>1080</v>
      </c>
      <c r="F4" s="5">
        <v>1089</v>
      </c>
      <c r="G4" s="53">
        <v>364</v>
      </c>
      <c r="H4">
        <v>62</v>
      </c>
      <c r="I4" s="54">
        <f t="shared" si="0"/>
        <v>0.17032967032967034</v>
      </c>
      <c r="J4" s="37">
        <f t="shared" si="1"/>
        <v>185.82967032967034</v>
      </c>
      <c r="K4" s="37">
        <f t="shared" ref="K4:K22" si="2">I4*E4</f>
        <v>183.95604395604397</v>
      </c>
      <c r="L4" s="59">
        <f t="shared" ref="L4:L22" si="3">I4*F4</f>
        <v>185.48901098901101</v>
      </c>
      <c r="M4" s="75">
        <f t="shared" ref="M4:M23" si="4">(L4/J4)-1</f>
        <v>-1.8331805682859637E-3</v>
      </c>
      <c r="N4" s="75">
        <f t="shared" ref="N4:N23" si="5">(L4-J4)/($L$23-$J$23)</f>
        <v>3.1313989836951042E-3</v>
      </c>
    </row>
    <row r="5" spans="1:14" x14ac:dyDescent="0.3">
      <c r="A5" t="s">
        <v>127</v>
      </c>
      <c r="B5" s="38">
        <v>863</v>
      </c>
      <c r="C5" s="47" t="s">
        <v>168</v>
      </c>
      <c r="D5" s="5">
        <v>74</v>
      </c>
      <c r="E5" s="5">
        <v>98</v>
      </c>
      <c r="F5" s="5">
        <v>99</v>
      </c>
      <c r="G5" s="53">
        <v>73</v>
      </c>
      <c r="H5">
        <v>73</v>
      </c>
      <c r="I5" s="54">
        <f t="shared" si="0"/>
        <v>1</v>
      </c>
      <c r="J5" s="37">
        <f t="shared" si="1"/>
        <v>74</v>
      </c>
      <c r="K5" s="37">
        <f t="shared" si="2"/>
        <v>98</v>
      </c>
      <c r="L5" s="59">
        <f t="shared" si="3"/>
        <v>99</v>
      </c>
      <c r="M5" s="75">
        <f t="shared" si="4"/>
        <v>0.33783783783783794</v>
      </c>
      <c r="N5" s="75">
        <f t="shared" si="5"/>
        <v>-0.22980428025505195</v>
      </c>
    </row>
    <row r="6" spans="1:14" x14ac:dyDescent="0.3">
      <c r="A6" t="s">
        <v>129</v>
      </c>
      <c r="B6" s="38">
        <v>866</v>
      </c>
      <c r="C6" s="47" t="s">
        <v>167</v>
      </c>
      <c r="D6" s="5">
        <v>37</v>
      </c>
      <c r="E6" s="5">
        <v>31</v>
      </c>
      <c r="F6" s="5">
        <v>27</v>
      </c>
      <c r="G6" s="53">
        <v>77</v>
      </c>
      <c r="H6">
        <v>46</v>
      </c>
      <c r="I6" s="54">
        <f t="shared" si="0"/>
        <v>0.59740259740259738</v>
      </c>
      <c r="J6" s="37">
        <f t="shared" si="1"/>
        <v>22.103896103896105</v>
      </c>
      <c r="K6" s="37">
        <f t="shared" si="2"/>
        <v>18.519480519480517</v>
      </c>
      <c r="L6" s="59">
        <f t="shared" si="3"/>
        <v>16.129870129870127</v>
      </c>
      <c r="M6" s="75">
        <f t="shared" si="4"/>
        <v>-0.2702702702702704</v>
      </c>
      <c r="N6" s="75">
        <f t="shared" si="5"/>
        <v>5.4914269567441013E-2</v>
      </c>
    </row>
    <row r="7" spans="1:14" x14ac:dyDescent="0.3">
      <c r="A7" t="s">
        <v>130</v>
      </c>
      <c r="B7" s="38">
        <v>867</v>
      </c>
      <c r="C7" s="47" t="s">
        <v>168</v>
      </c>
      <c r="D7" s="5">
        <v>19</v>
      </c>
      <c r="E7" s="5">
        <v>19</v>
      </c>
      <c r="F7" s="5">
        <v>17</v>
      </c>
      <c r="G7" s="53">
        <v>32</v>
      </c>
      <c r="H7">
        <v>31</v>
      </c>
      <c r="I7" s="54">
        <f t="shared" si="0"/>
        <v>0.96875</v>
      </c>
      <c r="J7" s="37">
        <f t="shared" si="1"/>
        <v>18.40625</v>
      </c>
      <c r="K7" s="37">
        <f t="shared" si="2"/>
        <v>18.40625</v>
      </c>
      <c r="L7" s="59">
        <f t="shared" si="3"/>
        <v>16.46875</v>
      </c>
      <c r="M7" s="75">
        <f t="shared" si="4"/>
        <v>-0.10526315789473684</v>
      </c>
      <c r="N7" s="75">
        <f t="shared" si="5"/>
        <v>1.7809831719766526E-2</v>
      </c>
    </row>
    <row r="8" spans="1:14" x14ac:dyDescent="0.3">
      <c r="A8" t="s">
        <v>131</v>
      </c>
      <c r="B8" s="38">
        <v>869</v>
      </c>
      <c r="C8" s="47" t="s">
        <v>167</v>
      </c>
      <c r="D8" s="5">
        <v>55</v>
      </c>
      <c r="E8" s="5">
        <v>38</v>
      </c>
      <c r="F8" s="5">
        <v>38</v>
      </c>
      <c r="G8" s="53">
        <v>44</v>
      </c>
      <c r="H8">
        <v>44</v>
      </c>
      <c r="I8" s="54">
        <f t="shared" si="0"/>
        <v>1</v>
      </c>
      <c r="J8" s="37">
        <f t="shared" si="1"/>
        <v>55</v>
      </c>
      <c r="K8" s="37">
        <f t="shared" si="2"/>
        <v>38</v>
      </c>
      <c r="L8" s="59">
        <f t="shared" si="3"/>
        <v>38</v>
      </c>
      <c r="M8" s="75">
        <f t="shared" si="4"/>
        <v>-0.30909090909090908</v>
      </c>
      <c r="N8" s="75">
        <f t="shared" si="5"/>
        <v>0.15626691057343531</v>
      </c>
    </row>
    <row r="9" spans="1:14" x14ac:dyDescent="0.3">
      <c r="A9" t="s">
        <v>164</v>
      </c>
      <c r="B9" s="38">
        <v>872</v>
      </c>
      <c r="C9" s="47" t="s">
        <v>167</v>
      </c>
      <c r="D9" s="5">
        <v>105</v>
      </c>
      <c r="E9" s="5">
        <v>91</v>
      </c>
      <c r="F9" s="5">
        <v>95</v>
      </c>
      <c r="G9" s="53">
        <v>129</v>
      </c>
      <c r="H9">
        <v>55</v>
      </c>
      <c r="I9" s="54">
        <f t="shared" si="0"/>
        <v>0.4263565891472868</v>
      </c>
      <c r="J9" s="37">
        <f t="shared" si="1"/>
        <v>44.767441860465112</v>
      </c>
      <c r="K9" s="37">
        <f t="shared" si="2"/>
        <v>38.798449612403097</v>
      </c>
      <c r="L9" s="59">
        <f t="shared" si="3"/>
        <v>40.503875968992247</v>
      </c>
      <c r="M9" s="75">
        <f t="shared" si="4"/>
        <v>-9.5238095238095233E-2</v>
      </c>
      <c r="N9" s="75">
        <f t="shared" si="5"/>
        <v>3.9191427640396424E-2</v>
      </c>
    </row>
    <row r="10" spans="1:14" x14ac:dyDescent="0.3">
      <c r="A10" t="s">
        <v>133</v>
      </c>
      <c r="B10" s="38">
        <v>877</v>
      </c>
      <c r="C10" s="47" t="s">
        <v>167</v>
      </c>
      <c r="D10" s="74">
        <v>0</v>
      </c>
      <c r="E10" s="5">
        <v>5</v>
      </c>
      <c r="F10" s="5">
        <v>5</v>
      </c>
      <c r="G10" s="53">
        <v>42</v>
      </c>
      <c r="H10">
        <v>10</v>
      </c>
      <c r="I10" s="54">
        <f t="shared" si="0"/>
        <v>0.23809523809523808</v>
      </c>
      <c r="J10" s="37">
        <f t="shared" si="1"/>
        <v>0</v>
      </c>
      <c r="K10" s="37">
        <f t="shared" si="2"/>
        <v>1.1904761904761905</v>
      </c>
      <c r="L10" s="59">
        <f t="shared" si="3"/>
        <v>1.1904761904761905</v>
      </c>
      <c r="M10" s="75">
        <v>1.2</v>
      </c>
      <c r="N10" s="75">
        <f t="shared" si="5"/>
        <v>-1.0943060964526283E-2</v>
      </c>
    </row>
    <row r="11" spans="1:14" x14ac:dyDescent="0.3">
      <c r="A11" t="s">
        <v>135</v>
      </c>
      <c r="B11" s="38">
        <v>879</v>
      </c>
      <c r="C11" s="47" t="s">
        <v>167</v>
      </c>
      <c r="D11" s="5">
        <v>231</v>
      </c>
      <c r="E11" s="5">
        <v>233</v>
      </c>
      <c r="F11" s="5">
        <v>236</v>
      </c>
      <c r="G11" s="53">
        <v>215</v>
      </c>
      <c r="H11">
        <v>156</v>
      </c>
      <c r="I11" s="54">
        <f t="shared" si="0"/>
        <v>0.72558139534883725</v>
      </c>
      <c r="J11" s="37">
        <f t="shared" si="1"/>
        <v>167.60930232558141</v>
      </c>
      <c r="K11" s="37">
        <f t="shared" si="2"/>
        <v>169.06046511627909</v>
      </c>
      <c r="L11" s="59">
        <f t="shared" si="3"/>
        <v>171.2372093023256</v>
      </c>
      <c r="M11" s="75">
        <f t="shared" si="4"/>
        <v>2.1645021645021689E-2</v>
      </c>
      <c r="N11" s="75">
        <f t="shared" si="5"/>
        <v>-3.3348342064919156E-2</v>
      </c>
    </row>
    <row r="12" spans="1:14" x14ac:dyDescent="0.3">
      <c r="A12" t="s">
        <v>136</v>
      </c>
      <c r="B12" s="38">
        <v>880</v>
      </c>
      <c r="C12" s="47" t="s">
        <v>167</v>
      </c>
      <c r="D12" s="5">
        <v>85</v>
      </c>
      <c r="E12" s="5">
        <v>70</v>
      </c>
      <c r="F12" s="5">
        <v>65</v>
      </c>
      <c r="G12" s="53">
        <v>166</v>
      </c>
      <c r="H12">
        <v>21</v>
      </c>
      <c r="I12" s="54">
        <f t="shared" si="0"/>
        <v>0.12650602409638553</v>
      </c>
      <c r="J12" s="37">
        <f t="shared" si="1"/>
        <v>10.753012048192771</v>
      </c>
      <c r="K12" s="37">
        <f t="shared" si="2"/>
        <v>8.8554216867469879</v>
      </c>
      <c r="L12" s="59">
        <f t="shared" si="3"/>
        <v>8.2228915662650603</v>
      </c>
      <c r="M12" s="75">
        <f t="shared" si="4"/>
        <v>-0.23529411764705876</v>
      </c>
      <c r="N12" s="75">
        <f t="shared" si="5"/>
        <v>2.3257300652318506E-2</v>
      </c>
    </row>
    <row r="13" spans="1:14" x14ac:dyDescent="0.3">
      <c r="A13" t="s">
        <v>137</v>
      </c>
      <c r="B13" s="38">
        <v>883</v>
      </c>
      <c r="C13" s="47" t="s">
        <v>168</v>
      </c>
      <c r="D13" s="5">
        <v>177</v>
      </c>
      <c r="E13" s="5">
        <v>191</v>
      </c>
      <c r="F13" s="5">
        <v>199</v>
      </c>
      <c r="G13" s="53">
        <v>66</v>
      </c>
      <c r="H13">
        <v>62</v>
      </c>
      <c r="I13" s="54">
        <f t="shared" si="0"/>
        <v>0.93939393939393945</v>
      </c>
      <c r="J13" s="37">
        <f t="shared" si="1"/>
        <v>166.27272727272728</v>
      </c>
      <c r="K13" s="37">
        <f t="shared" si="2"/>
        <v>179.42424242424244</v>
      </c>
      <c r="L13" s="59">
        <f t="shared" si="3"/>
        <v>186.93939393939394</v>
      </c>
      <c r="M13" s="75">
        <f t="shared" si="4"/>
        <v>0.12429378531073443</v>
      </c>
      <c r="N13" s="75">
        <f t="shared" si="5"/>
        <v>-0.18997153834417618</v>
      </c>
    </row>
    <row r="14" spans="1:14" x14ac:dyDescent="0.3">
      <c r="A14" t="s">
        <v>140</v>
      </c>
      <c r="B14" s="38">
        <v>884</v>
      </c>
      <c r="C14" s="47" t="s">
        <v>167</v>
      </c>
      <c r="D14" s="5">
        <v>102</v>
      </c>
      <c r="E14" s="5">
        <v>38</v>
      </c>
      <c r="F14" s="5">
        <v>34</v>
      </c>
      <c r="G14" s="53">
        <v>88</v>
      </c>
      <c r="H14">
        <v>88</v>
      </c>
      <c r="I14" s="54">
        <f t="shared" si="0"/>
        <v>1</v>
      </c>
      <c r="J14" s="37">
        <f t="shared" si="1"/>
        <v>102</v>
      </c>
      <c r="K14" s="37">
        <f t="shared" si="2"/>
        <v>38</v>
      </c>
      <c r="L14" s="59">
        <f t="shared" si="3"/>
        <v>34</v>
      </c>
      <c r="M14" s="75">
        <f t="shared" si="4"/>
        <v>-0.66666666666666674</v>
      </c>
      <c r="N14" s="75">
        <f t="shared" si="5"/>
        <v>0.62506764229374123</v>
      </c>
    </row>
    <row r="15" spans="1:14" x14ac:dyDescent="0.3">
      <c r="A15" t="s">
        <v>144</v>
      </c>
      <c r="B15" s="38">
        <v>886</v>
      </c>
      <c r="C15" s="47" t="s">
        <v>168</v>
      </c>
      <c r="D15" s="5">
        <v>244</v>
      </c>
      <c r="E15" s="5">
        <v>190</v>
      </c>
      <c r="F15" s="5">
        <v>181</v>
      </c>
      <c r="G15" s="53">
        <v>121</v>
      </c>
      <c r="H15">
        <v>121</v>
      </c>
      <c r="I15" s="54">
        <f t="shared" si="0"/>
        <v>1</v>
      </c>
      <c r="J15" s="37">
        <f t="shared" si="1"/>
        <v>244</v>
      </c>
      <c r="K15" s="37">
        <f t="shared" si="2"/>
        <v>190</v>
      </c>
      <c r="L15" s="59">
        <f t="shared" si="3"/>
        <v>181</v>
      </c>
      <c r="M15" s="75">
        <f t="shared" si="4"/>
        <v>-0.25819672131147542</v>
      </c>
      <c r="N15" s="75">
        <f t="shared" si="5"/>
        <v>0.57910678624273093</v>
      </c>
    </row>
    <row r="16" spans="1:14" x14ac:dyDescent="0.3">
      <c r="A16" t="s">
        <v>44</v>
      </c>
      <c r="B16" s="38">
        <v>888</v>
      </c>
      <c r="C16" s="47" t="s">
        <v>167</v>
      </c>
      <c r="D16" s="5">
        <v>16</v>
      </c>
      <c r="E16" s="5">
        <v>25</v>
      </c>
      <c r="F16" s="5">
        <v>25</v>
      </c>
      <c r="G16" s="53">
        <v>91</v>
      </c>
      <c r="H16">
        <v>5</v>
      </c>
      <c r="I16" s="54">
        <f t="shared" si="0"/>
        <v>5.4945054945054944E-2</v>
      </c>
      <c r="J16" s="37">
        <f t="shared" si="1"/>
        <v>0.87912087912087911</v>
      </c>
      <c r="K16" s="37">
        <f t="shared" si="2"/>
        <v>1.3736263736263736</v>
      </c>
      <c r="L16" s="59">
        <f t="shared" si="3"/>
        <v>1.3736263736263736</v>
      </c>
      <c r="M16" s="75">
        <f t="shared" si="4"/>
        <v>0.5625</v>
      </c>
      <c r="N16" s="75">
        <f t="shared" si="5"/>
        <v>-4.5455791698801483E-3</v>
      </c>
    </row>
    <row r="17" spans="1:14" x14ac:dyDescent="0.3">
      <c r="A17" t="s">
        <v>139</v>
      </c>
      <c r="B17" s="38">
        <v>889</v>
      </c>
      <c r="C17" s="47" t="s">
        <v>167</v>
      </c>
      <c r="D17" s="5">
        <v>97</v>
      </c>
      <c r="E17" s="5">
        <v>95</v>
      </c>
      <c r="F17" s="5">
        <v>99</v>
      </c>
      <c r="G17" s="53">
        <v>88</v>
      </c>
      <c r="H17">
        <v>88</v>
      </c>
      <c r="I17" s="54">
        <f t="shared" si="0"/>
        <v>1</v>
      </c>
      <c r="J17" s="37">
        <f t="shared" si="1"/>
        <v>97</v>
      </c>
      <c r="K17" s="37">
        <f t="shared" si="2"/>
        <v>95</v>
      </c>
      <c r="L17" s="59">
        <f t="shared" si="3"/>
        <v>99</v>
      </c>
      <c r="M17" s="75">
        <f t="shared" si="4"/>
        <v>2.0618556701030855E-2</v>
      </c>
      <c r="N17" s="75">
        <f t="shared" si="5"/>
        <v>-1.8384342420404154E-2</v>
      </c>
    </row>
    <row r="18" spans="1:14" x14ac:dyDescent="0.3">
      <c r="A18" t="s">
        <v>126</v>
      </c>
      <c r="B18" s="38">
        <v>922</v>
      </c>
      <c r="C18" s="47" t="s">
        <v>168</v>
      </c>
      <c r="D18" s="5">
        <v>108</v>
      </c>
      <c r="E18" s="5">
        <v>114</v>
      </c>
      <c r="F18" s="5">
        <v>108</v>
      </c>
      <c r="G18" s="53">
        <v>62</v>
      </c>
      <c r="H18">
        <v>62</v>
      </c>
      <c r="I18" s="54">
        <f t="shared" si="0"/>
        <v>1</v>
      </c>
      <c r="J18" s="37">
        <f t="shared" si="1"/>
        <v>108</v>
      </c>
      <c r="K18" s="37">
        <f t="shared" si="2"/>
        <v>114</v>
      </c>
      <c r="L18" s="59">
        <f t="shared" si="3"/>
        <v>108</v>
      </c>
      <c r="M18" s="75">
        <f t="shared" si="4"/>
        <v>0</v>
      </c>
      <c r="N18" s="75">
        <f t="shared" si="5"/>
        <v>0</v>
      </c>
    </row>
    <row r="19" spans="1:14" x14ac:dyDescent="0.3">
      <c r="A19" t="s">
        <v>134</v>
      </c>
      <c r="B19" s="38">
        <v>936</v>
      </c>
      <c r="C19" s="47" t="s">
        <v>168</v>
      </c>
      <c r="D19" s="5">
        <v>13</v>
      </c>
      <c r="E19" s="74">
        <v>0</v>
      </c>
      <c r="F19" s="5">
        <v>9</v>
      </c>
      <c r="G19" s="53">
        <v>19</v>
      </c>
      <c r="H19">
        <v>19</v>
      </c>
      <c r="I19" s="54">
        <f t="shared" si="0"/>
        <v>1</v>
      </c>
      <c r="J19" s="37">
        <f t="shared" si="1"/>
        <v>13</v>
      </c>
      <c r="K19" s="37">
        <f t="shared" si="2"/>
        <v>0</v>
      </c>
      <c r="L19" s="59">
        <f t="shared" si="3"/>
        <v>9</v>
      </c>
      <c r="M19" s="75">
        <f t="shared" si="4"/>
        <v>-0.30769230769230771</v>
      </c>
      <c r="N19" s="75">
        <f t="shared" si="5"/>
        <v>3.6768684840808308E-2</v>
      </c>
    </row>
    <row r="20" spans="1:14" x14ac:dyDescent="0.3">
      <c r="A20" t="s">
        <v>141</v>
      </c>
      <c r="B20" s="38">
        <v>943</v>
      </c>
      <c r="C20" s="47" t="s">
        <v>168</v>
      </c>
      <c r="D20" s="5">
        <v>22</v>
      </c>
      <c r="E20" s="5">
        <v>37</v>
      </c>
      <c r="F20" s="5">
        <v>39</v>
      </c>
      <c r="G20" s="53">
        <v>32</v>
      </c>
      <c r="H20">
        <v>11</v>
      </c>
      <c r="I20" s="54">
        <f t="shared" si="0"/>
        <v>0.34375</v>
      </c>
      <c r="J20" s="37">
        <f t="shared" si="1"/>
        <v>7.5625</v>
      </c>
      <c r="K20" s="37">
        <f t="shared" si="2"/>
        <v>12.71875</v>
      </c>
      <c r="L20" s="59">
        <f t="shared" si="3"/>
        <v>13.40625</v>
      </c>
      <c r="M20" s="75">
        <f t="shared" si="4"/>
        <v>0.77272727272727271</v>
      </c>
      <c r="N20" s="75">
        <f t="shared" si="5"/>
        <v>-5.371675050961839E-2</v>
      </c>
    </row>
    <row r="21" spans="1:14" x14ac:dyDescent="0.3">
      <c r="A21" t="s">
        <v>142</v>
      </c>
      <c r="B21" s="38">
        <v>944</v>
      </c>
      <c r="C21" s="47" t="s">
        <v>168</v>
      </c>
      <c r="D21" s="5">
        <v>1130</v>
      </c>
      <c r="E21" s="5">
        <v>1300</v>
      </c>
      <c r="F21" s="5">
        <v>1234</v>
      </c>
      <c r="G21" s="53">
        <v>227</v>
      </c>
      <c r="H21">
        <v>1</v>
      </c>
      <c r="I21" s="54">
        <f t="shared" si="0"/>
        <v>4.4052863436123352E-3</v>
      </c>
      <c r="J21" s="37">
        <f t="shared" si="1"/>
        <v>4.9779735682819384</v>
      </c>
      <c r="K21" s="37">
        <f t="shared" si="2"/>
        <v>5.7268722466960353</v>
      </c>
      <c r="L21" s="59">
        <f t="shared" si="3"/>
        <v>5.4361233480176221</v>
      </c>
      <c r="M21" s="75">
        <f t="shared" si="4"/>
        <v>9.2035398230088772E-2</v>
      </c>
      <c r="N21" s="75">
        <f t="shared" si="5"/>
        <v>-4.2113912152467754E-3</v>
      </c>
    </row>
    <row r="22" spans="1:14" x14ac:dyDescent="0.3">
      <c r="A22" s="7" t="s">
        <v>128</v>
      </c>
      <c r="B22" s="42">
        <v>948</v>
      </c>
      <c r="C22" s="48" t="s">
        <v>168</v>
      </c>
      <c r="D22" s="5">
        <v>33</v>
      </c>
      <c r="E22" s="5">
        <v>32</v>
      </c>
      <c r="F22" s="5">
        <v>31</v>
      </c>
      <c r="G22" s="55">
        <v>42</v>
      </c>
      <c r="H22" s="7">
        <v>39</v>
      </c>
      <c r="I22" s="56">
        <f t="shared" si="0"/>
        <v>0.9285714285714286</v>
      </c>
      <c r="J22" s="45">
        <f t="shared" si="1"/>
        <v>30.642857142857142</v>
      </c>
      <c r="K22" s="37">
        <f t="shared" si="2"/>
        <v>29.714285714285715</v>
      </c>
      <c r="L22" s="59">
        <f t="shared" si="3"/>
        <v>28.785714285714288</v>
      </c>
      <c r="M22" s="75">
        <f t="shared" si="4"/>
        <v>-6.0606060606060552E-2</v>
      </c>
      <c r="N22" s="75">
        <f t="shared" si="5"/>
        <v>1.7071175104660972E-2</v>
      </c>
    </row>
    <row r="23" spans="1:14" ht="15" thickBot="1" x14ac:dyDescent="0.35">
      <c r="A23" s="62" t="s">
        <v>145</v>
      </c>
      <c r="B23" s="63"/>
      <c r="C23" s="64"/>
      <c r="D23" s="62"/>
      <c r="E23" s="62"/>
      <c r="F23" s="64"/>
      <c r="G23" s="66">
        <f>SUM(G3:G22)</f>
        <v>2044</v>
      </c>
      <c r="H23" s="62">
        <f>SUM(H3:H22)</f>
        <v>999</v>
      </c>
      <c r="I23" s="67">
        <f t="shared" si="0"/>
        <v>0.48874755381604695</v>
      </c>
      <c r="J23" s="69">
        <f>SUM(J3:J22)</f>
        <v>1354.0168727429138</v>
      </c>
      <c r="K23" s="69">
        <f>SUM(K3:K22)</f>
        <v>1242.7898183857351</v>
      </c>
      <c r="L23" s="70">
        <f>SUM(L3:L22)</f>
        <v>1245.228646639147</v>
      </c>
      <c r="M23" s="76">
        <f t="shared" si="4"/>
        <v>-8.034480832088009E-2</v>
      </c>
      <c r="N23" s="75">
        <f t="shared" si="5"/>
        <v>1</v>
      </c>
    </row>
    <row r="24" spans="1:14" ht="15" thickTop="1" x14ac:dyDescent="0.3"/>
    <row r="25" spans="1:14" x14ac:dyDescent="0.3">
      <c r="A25" s="33"/>
      <c r="C25" s="33"/>
    </row>
    <row r="26" spans="1:14" x14ac:dyDescent="0.3">
      <c r="C26" s="33"/>
    </row>
    <row r="27" spans="1:14" x14ac:dyDescent="0.3">
      <c r="C27" s="33"/>
    </row>
    <row r="28" spans="1:14" x14ac:dyDescent="0.3">
      <c r="C28" s="34"/>
    </row>
    <row r="30" spans="1:14" x14ac:dyDescent="0.3">
      <c r="B30"/>
    </row>
    <row r="31" spans="1:14" x14ac:dyDescent="0.3">
      <c r="B31"/>
    </row>
    <row r="32" spans="1:14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</sheetData>
  <mergeCells count="4">
    <mergeCell ref="A1:C1"/>
    <mergeCell ref="D1:F1"/>
    <mergeCell ref="G1:I1"/>
    <mergeCell ref="J1:L1"/>
  </mergeCells>
  <phoneticPr fontId="2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EBB4-52D8-4174-A711-6958A76AB6F4}">
  <dimension ref="A1:M51"/>
  <sheetViews>
    <sheetView workbookViewId="0">
      <selection activeCell="D57" sqref="D57"/>
    </sheetView>
  </sheetViews>
  <sheetFormatPr baseColWidth="10" defaultColWidth="11.44140625" defaultRowHeight="14.4" x14ac:dyDescent="0.3"/>
  <cols>
    <col min="1" max="1" width="29" customWidth="1"/>
    <col min="2" max="2" width="10.88671875" style="22" customWidth="1"/>
    <col min="3" max="4" width="23.33203125" customWidth="1"/>
    <col min="5" max="6" width="22.33203125" customWidth="1"/>
    <col min="9" max="9" width="11.44140625" style="8"/>
    <col min="13" max="13" width="31.33203125" customWidth="1"/>
  </cols>
  <sheetData>
    <row r="1" spans="1:13" x14ac:dyDescent="0.3">
      <c r="A1" s="113" t="s">
        <v>189</v>
      </c>
      <c r="B1" s="113"/>
      <c r="C1" s="114"/>
      <c r="D1" s="113" t="s">
        <v>197</v>
      </c>
      <c r="E1" s="113"/>
      <c r="F1" s="114"/>
      <c r="G1" s="115" t="s">
        <v>186</v>
      </c>
      <c r="H1" s="113"/>
      <c r="I1" s="114"/>
      <c r="J1" s="117"/>
      <c r="K1" s="117"/>
      <c r="L1" s="118"/>
      <c r="M1" s="2" t="s">
        <v>202</v>
      </c>
    </row>
    <row r="2" spans="1:13" x14ac:dyDescent="0.3">
      <c r="A2" s="4" t="s">
        <v>165</v>
      </c>
      <c r="B2" s="41" t="s">
        <v>169</v>
      </c>
      <c r="C2" s="46" t="s">
        <v>166</v>
      </c>
      <c r="D2" s="72">
        <v>2011</v>
      </c>
      <c r="E2" s="72">
        <v>2019</v>
      </c>
      <c r="F2" s="73">
        <v>2020</v>
      </c>
      <c r="G2" s="51" t="s">
        <v>170</v>
      </c>
      <c r="H2" s="4" t="s">
        <v>171</v>
      </c>
      <c r="I2" s="52" t="s">
        <v>172</v>
      </c>
      <c r="J2" s="72">
        <v>2011</v>
      </c>
      <c r="K2" s="72">
        <v>2019</v>
      </c>
      <c r="L2" s="73">
        <v>2020</v>
      </c>
      <c r="M2" s="51" t="s">
        <v>201</v>
      </c>
    </row>
    <row r="3" spans="1:13" x14ac:dyDescent="0.3">
      <c r="A3" t="s">
        <v>138</v>
      </c>
      <c r="B3" s="38">
        <v>770</v>
      </c>
      <c r="C3" s="47" t="s">
        <v>168</v>
      </c>
      <c r="D3" s="5">
        <v>76</v>
      </c>
      <c r="E3" s="5">
        <v>39</v>
      </c>
      <c r="F3" s="5">
        <v>40</v>
      </c>
      <c r="G3" s="53">
        <v>66</v>
      </c>
      <c r="H3">
        <v>5</v>
      </c>
      <c r="I3" s="54">
        <f t="shared" ref="I3:I23" si="0">H3/G3</f>
        <v>7.575757575757576E-2</v>
      </c>
      <c r="J3" s="37">
        <f t="shared" ref="J3:J22" si="1">I3*D3</f>
        <v>5.7575757575757578</v>
      </c>
      <c r="K3" s="37">
        <f t="shared" ref="K3:K22" si="2">I3*F3</f>
        <v>3.0303030303030303</v>
      </c>
      <c r="L3" s="59">
        <f t="shared" ref="L3:L22" si="3">I3*E3</f>
        <v>2.9545454545454546</v>
      </c>
      <c r="M3" s="75">
        <f>(L3-J3)/($L$23-$J$23)</f>
        <v>-1.413710512253448E-2</v>
      </c>
    </row>
    <row r="4" spans="1:13" x14ac:dyDescent="0.3">
      <c r="A4" t="s">
        <v>125</v>
      </c>
      <c r="B4" s="38">
        <v>861</v>
      </c>
      <c r="C4" s="47" t="s">
        <v>167</v>
      </c>
      <c r="D4" s="5">
        <v>2651</v>
      </c>
      <c r="E4" s="5">
        <v>2582</v>
      </c>
      <c r="F4" s="5">
        <v>2514</v>
      </c>
      <c r="G4" s="53">
        <v>364</v>
      </c>
      <c r="H4">
        <v>62</v>
      </c>
      <c r="I4" s="54">
        <f t="shared" si="0"/>
        <v>0.17032967032967034</v>
      </c>
      <c r="J4" s="37">
        <f t="shared" si="1"/>
        <v>451.54395604395609</v>
      </c>
      <c r="K4" s="37">
        <f t="shared" si="2"/>
        <v>428.20879120879124</v>
      </c>
      <c r="L4" s="59">
        <f t="shared" si="3"/>
        <v>439.79120879120882</v>
      </c>
      <c r="M4" s="75">
        <f t="shared" ref="M4:M23" si="4">(L4-J4)/($L$23-$J$23)</f>
        <v>-5.9275072128562083E-2</v>
      </c>
    </row>
    <row r="5" spans="1:13" x14ac:dyDescent="0.3">
      <c r="A5" t="s">
        <v>127</v>
      </c>
      <c r="B5" s="38">
        <v>863</v>
      </c>
      <c r="C5" s="47" t="s">
        <v>168</v>
      </c>
      <c r="D5" s="5">
        <v>67</v>
      </c>
      <c r="E5" s="5">
        <v>61</v>
      </c>
      <c r="F5" s="5">
        <v>62</v>
      </c>
      <c r="G5" s="53">
        <v>73</v>
      </c>
      <c r="H5">
        <v>73</v>
      </c>
      <c r="I5" s="54">
        <f t="shared" si="0"/>
        <v>1</v>
      </c>
      <c r="J5" s="37">
        <f t="shared" si="1"/>
        <v>67</v>
      </c>
      <c r="K5" s="37">
        <f t="shared" si="2"/>
        <v>62</v>
      </c>
      <c r="L5" s="59">
        <f t="shared" si="3"/>
        <v>61</v>
      </c>
      <c r="M5" s="75">
        <f t="shared" si="4"/>
        <v>-3.0261046640668397E-2</v>
      </c>
    </row>
    <row r="6" spans="1:13" x14ac:dyDescent="0.3">
      <c r="A6" t="s">
        <v>129</v>
      </c>
      <c r="B6" s="38">
        <v>866</v>
      </c>
      <c r="C6" s="47" t="s">
        <v>167</v>
      </c>
      <c r="D6" s="5">
        <v>111</v>
      </c>
      <c r="E6" s="5">
        <v>130</v>
      </c>
      <c r="F6" s="5">
        <v>128</v>
      </c>
      <c r="G6" s="53">
        <v>77</v>
      </c>
      <c r="H6">
        <v>46</v>
      </c>
      <c r="I6" s="54">
        <f t="shared" si="0"/>
        <v>0.59740259740259738</v>
      </c>
      <c r="J6" s="37">
        <f t="shared" si="1"/>
        <v>66.311688311688314</v>
      </c>
      <c r="K6" s="37">
        <f t="shared" si="2"/>
        <v>76.467532467532465</v>
      </c>
      <c r="L6" s="59">
        <f t="shared" si="3"/>
        <v>77.662337662337663</v>
      </c>
      <c r="M6" s="75">
        <f t="shared" si="4"/>
        <v>5.7247088233645403E-2</v>
      </c>
    </row>
    <row r="7" spans="1:13" x14ac:dyDescent="0.3">
      <c r="A7" t="s">
        <v>130</v>
      </c>
      <c r="B7" s="38">
        <v>867</v>
      </c>
      <c r="C7" s="47" t="s">
        <v>168</v>
      </c>
      <c r="D7" s="5">
        <v>52</v>
      </c>
      <c r="E7" s="5">
        <v>27</v>
      </c>
      <c r="F7" s="5">
        <v>29</v>
      </c>
      <c r="G7" s="53">
        <v>32</v>
      </c>
      <c r="H7">
        <v>31</v>
      </c>
      <c r="I7" s="54">
        <f t="shared" si="0"/>
        <v>0.96875</v>
      </c>
      <c r="J7" s="37">
        <f t="shared" si="1"/>
        <v>50.375</v>
      </c>
      <c r="K7" s="37">
        <f t="shared" si="2"/>
        <v>28.09375</v>
      </c>
      <c r="L7" s="59">
        <f t="shared" si="3"/>
        <v>26.15625</v>
      </c>
      <c r="M7" s="75">
        <f t="shared" si="4"/>
        <v>-0.12214745388811463</v>
      </c>
    </row>
    <row r="8" spans="1:13" x14ac:dyDescent="0.3">
      <c r="A8" t="s">
        <v>131</v>
      </c>
      <c r="B8" s="38">
        <v>869</v>
      </c>
      <c r="C8" s="47" t="s">
        <v>167</v>
      </c>
      <c r="D8" s="5">
        <v>53</v>
      </c>
      <c r="E8" s="5">
        <v>46</v>
      </c>
      <c r="F8" s="5">
        <v>55</v>
      </c>
      <c r="G8" s="53">
        <v>44</v>
      </c>
      <c r="H8">
        <v>44</v>
      </c>
      <c r="I8" s="54">
        <f t="shared" si="0"/>
        <v>1</v>
      </c>
      <c r="J8" s="37">
        <f t="shared" si="1"/>
        <v>53</v>
      </c>
      <c r="K8" s="37">
        <f t="shared" si="2"/>
        <v>55</v>
      </c>
      <c r="L8" s="59">
        <f t="shared" si="3"/>
        <v>46</v>
      </c>
      <c r="M8" s="75">
        <f t="shared" si="4"/>
        <v>-3.5304554414113135E-2</v>
      </c>
    </row>
    <row r="9" spans="1:13" x14ac:dyDescent="0.3">
      <c r="A9" t="s">
        <v>164</v>
      </c>
      <c r="B9" s="38">
        <v>872</v>
      </c>
      <c r="C9" s="47" t="s">
        <v>167</v>
      </c>
      <c r="D9" s="5">
        <v>129</v>
      </c>
      <c r="E9" s="5">
        <v>141</v>
      </c>
      <c r="F9" s="5">
        <v>123</v>
      </c>
      <c r="G9" s="53">
        <v>129</v>
      </c>
      <c r="H9">
        <v>55</v>
      </c>
      <c r="I9" s="54">
        <f t="shared" si="0"/>
        <v>0.4263565891472868</v>
      </c>
      <c r="J9" s="37">
        <f t="shared" si="1"/>
        <v>55</v>
      </c>
      <c r="K9" s="37">
        <f t="shared" si="2"/>
        <v>52.441860465116278</v>
      </c>
      <c r="L9" s="59">
        <f t="shared" si="3"/>
        <v>60.116279069767437</v>
      </c>
      <c r="M9" s="75">
        <f t="shared" si="4"/>
        <v>2.5803993259484653E-2</v>
      </c>
    </row>
    <row r="10" spans="1:13" x14ac:dyDescent="0.3">
      <c r="A10" t="s">
        <v>133</v>
      </c>
      <c r="B10" s="38">
        <v>877</v>
      </c>
      <c r="C10" s="47" t="s">
        <v>167</v>
      </c>
      <c r="D10" s="74">
        <v>0</v>
      </c>
      <c r="E10" s="5">
        <v>36</v>
      </c>
      <c r="F10" s="5">
        <v>34</v>
      </c>
      <c r="G10" s="53">
        <v>42</v>
      </c>
      <c r="H10">
        <v>10</v>
      </c>
      <c r="I10" s="54">
        <f t="shared" si="0"/>
        <v>0.23809523809523808</v>
      </c>
      <c r="J10" s="37">
        <f t="shared" si="1"/>
        <v>0</v>
      </c>
      <c r="K10" s="37">
        <f t="shared" si="2"/>
        <v>8.0952380952380949</v>
      </c>
      <c r="L10" s="59">
        <f t="shared" si="3"/>
        <v>8.5714285714285712</v>
      </c>
      <c r="M10" s="75">
        <f t="shared" si="4"/>
        <v>4.3230066629526283E-2</v>
      </c>
    </row>
    <row r="11" spans="1:13" x14ac:dyDescent="0.3">
      <c r="A11" t="s">
        <v>135</v>
      </c>
      <c r="B11" s="38">
        <v>879</v>
      </c>
      <c r="C11" s="47" t="s">
        <v>167</v>
      </c>
      <c r="D11" s="5">
        <v>800</v>
      </c>
      <c r="E11" s="5">
        <v>970</v>
      </c>
      <c r="F11" s="5">
        <v>965</v>
      </c>
      <c r="G11" s="53">
        <v>215</v>
      </c>
      <c r="H11">
        <v>156</v>
      </c>
      <c r="I11" s="54">
        <f t="shared" si="0"/>
        <v>0.72558139534883725</v>
      </c>
      <c r="J11" s="37">
        <f t="shared" si="1"/>
        <v>580.46511627906978</v>
      </c>
      <c r="K11" s="37">
        <f t="shared" si="2"/>
        <v>700.18604651162798</v>
      </c>
      <c r="L11" s="59">
        <f t="shared" si="3"/>
        <v>703.81395348837214</v>
      </c>
      <c r="M11" s="75">
        <f t="shared" si="4"/>
        <v>0.6221108193104854</v>
      </c>
    </row>
    <row r="12" spans="1:13" x14ac:dyDescent="0.3">
      <c r="A12" t="s">
        <v>136</v>
      </c>
      <c r="B12" s="38">
        <v>880</v>
      </c>
      <c r="C12" s="47" t="s">
        <v>167</v>
      </c>
      <c r="D12" s="5">
        <v>134</v>
      </c>
      <c r="E12" s="5">
        <v>134</v>
      </c>
      <c r="F12" s="5">
        <v>131</v>
      </c>
      <c r="G12" s="53">
        <v>166</v>
      </c>
      <c r="H12">
        <v>21</v>
      </c>
      <c r="I12" s="54">
        <f t="shared" si="0"/>
        <v>0.12650602409638553</v>
      </c>
      <c r="J12" s="37">
        <f t="shared" si="1"/>
        <v>16.951807228915662</v>
      </c>
      <c r="K12" s="37">
        <f t="shared" si="2"/>
        <v>16.572289156626503</v>
      </c>
      <c r="L12" s="59">
        <f t="shared" si="3"/>
        <v>16.951807228915662</v>
      </c>
      <c r="M12" s="75">
        <f t="shared" si="4"/>
        <v>0</v>
      </c>
    </row>
    <row r="13" spans="1:13" x14ac:dyDescent="0.3">
      <c r="A13" t="s">
        <v>137</v>
      </c>
      <c r="B13" s="38">
        <v>883</v>
      </c>
      <c r="C13" s="47" t="s">
        <v>168</v>
      </c>
      <c r="D13" s="5">
        <v>216</v>
      </c>
      <c r="E13" s="5">
        <v>230</v>
      </c>
      <c r="F13" s="5">
        <v>217</v>
      </c>
      <c r="G13" s="53">
        <v>66</v>
      </c>
      <c r="H13">
        <v>62</v>
      </c>
      <c r="I13" s="54">
        <f t="shared" si="0"/>
        <v>0.93939393939393945</v>
      </c>
      <c r="J13" s="37">
        <f t="shared" si="1"/>
        <v>202.90909090909093</v>
      </c>
      <c r="K13" s="37">
        <f t="shared" si="2"/>
        <v>203.84848484848487</v>
      </c>
      <c r="L13" s="59">
        <f t="shared" si="3"/>
        <v>216.06060606060606</v>
      </c>
      <c r="M13" s="75">
        <f t="shared" si="4"/>
        <v>6.6329768899242733E-2</v>
      </c>
    </row>
    <row r="14" spans="1:13" x14ac:dyDescent="0.3">
      <c r="A14" t="s">
        <v>140</v>
      </c>
      <c r="B14" s="38">
        <v>884</v>
      </c>
      <c r="C14" s="47" t="s">
        <v>167</v>
      </c>
      <c r="D14" s="5">
        <v>310</v>
      </c>
      <c r="E14" s="5">
        <v>296</v>
      </c>
      <c r="F14" s="5">
        <v>288</v>
      </c>
      <c r="G14" s="53">
        <v>88</v>
      </c>
      <c r="H14">
        <v>88</v>
      </c>
      <c r="I14" s="54">
        <f t="shared" si="0"/>
        <v>1</v>
      </c>
      <c r="J14" s="37">
        <f t="shared" si="1"/>
        <v>310</v>
      </c>
      <c r="K14" s="37">
        <f t="shared" si="2"/>
        <v>288</v>
      </c>
      <c r="L14" s="59">
        <f t="shared" si="3"/>
        <v>296</v>
      </c>
      <c r="M14" s="75">
        <f t="shared" si="4"/>
        <v>-7.0609108828226269E-2</v>
      </c>
    </row>
    <row r="15" spans="1:13" x14ac:dyDescent="0.3">
      <c r="A15" t="s">
        <v>144</v>
      </c>
      <c r="B15" s="38">
        <v>886</v>
      </c>
      <c r="C15" s="47" t="s">
        <v>168</v>
      </c>
      <c r="D15" s="5">
        <v>381</v>
      </c>
      <c r="E15" s="5">
        <v>481</v>
      </c>
      <c r="F15" s="5">
        <v>481</v>
      </c>
      <c r="G15" s="53">
        <v>121</v>
      </c>
      <c r="H15">
        <v>121</v>
      </c>
      <c r="I15" s="54">
        <f t="shared" si="0"/>
        <v>1</v>
      </c>
      <c r="J15" s="37">
        <f t="shared" si="1"/>
        <v>381</v>
      </c>
      <c r="K15" s="37">
        <f t="shared" si="2"/>
        <v>481</v>
      </c>
      <c r="L15" s="59">
        <f t="shared" si="3"/>
        <v>481</v>
      </c>
      <c r="M15" s="75">
        <f t="shared" si="4"/>
        <v>0.50435077734447331</v>
      </c>
    </row>
    <row r="16" spans="1:13" x14ac:dyDescent="0.3">
      <c r="A16" t="s">
        <v>44</v>
      </c>
      <c r="B16" s="38">
        <v>888</v>
      </c>
      <c r="C16" s="47" t="s">
        <v>167</v>
      </c>
      <c r="D16" s="5">
        <v>343</v>
      </c>
      <c r="E16" s="5">
        <v>376</v>
      </c>
      <c r="F16" s="5">
        <v>367</v>
      </c>
      <c r="G16" s="53">
        <v>91</v>
      </c>
      <c r="H16">
        <v>5</v>
      </c>
      <c r="I16" s="54">
        <f t="shared" si="0"/>
        <v>5.4945054945054944E-2</v>
      </c>
      <c r="J16" s="37">
        <f t="shared" si="1"/>
        <v>18.846153846153847</v>
      </c>
      <c r="K16" s="37">
        <f t="shared" si="2"/>
        <v>20.164835164835164</v>
      </c>
      <c r="L16" s="59">
        <f t="shared" si="3"/>
        <v>20.659340659340661</v>
      </c>
      <c r="M16" s="75">
        <f t="shared" si="4"/>
        <v>9.1448217870151779E-3</v>
      </c>
    </row>
    <row r="17" spans="1:13" x14ac:dyDescent="0.3">
      <c r="A17" t="s">
        <v>139</v>
      </c>
      <c r="B17" s="38">
        <v>889</v>
      </c>
      <c r="C17" s="47" t="s">
        <v>167</v>
      </c>
      <c r="D17" s="5">
        <v>128</v>
      </c>
      <c r="E17" s="5">
        <v>133</v>
      </c>
      <c r="F17" s="5">
        <v>133</v>
      </c>
      <c r="G17" s="53">
        <v>88</v>
      </c>
      <c r="H17">
        <v>88</v>
      </c>
      <c r="I17" s="54">
        <f t="shared" si="0"/>
        <v>1</v>
      </c>
      <c r="J17" s="37">
        <f t="shared" si="1"/>
        <v>128</v>
      </c>
      <c r="K17" s="37">
        <f t="shared" si="2"/>
        <v>133</v>
      </c>
      <c r="L17" s="59">
        <f t="shared" si="3"/>
        <v>133</v>
      </c>
      <c r="M17" s="75">
        <f t="shared" si="4"/>
        <v>2.5217538867223666E-2</v>
      </c>
    </row>
    <row r="18" spans="1:13" x14ac:dyDescent="0.3">
      <c r="A18" t="s">
        <v>126</v>
      </c>
      <c r="B18" s="38">
        <v>922</v>
      </c>
      <c r="C18" s="47" t="s">
        <v>168</v>
      </c>
      <c r="D18" s="5">
        <v>102</v>
      </c>
      <c r="E18" s="5">
        <v>86</v>
      </c>
      <c r="F18" s="5">
        <v>82</v>
      </c>
      <c r="G18" s="53">
        <v>62</v>
      </c>
      <c r="H18">
        <v>62</v>
      </c>
      <c r="I18" s="54">
        <f t="shared" si="0"/>
        <v>1</v>
      </c>
      <c r="J18" s="37">
        <f t="shared" si="1"/>
        <v>102</v>
      </c>
      <c r="K18" s="37">
        <f t="shared" si="2"/>
        <v>82</v>
      </c>
      <c r="L18" s="59">
        <f t="shared" si="3"/>
        <v>86</v>
      </c>
      <c r="M18" s="75">
        <f t="shared" si="4"/>
        <v>-8.0696124375115724E-2</v>
      </c>
    </row>
    <row r="19" spans="1:13" x14ac:dyDescent="0.3">
      <c r="A19" t="s">
        <v>134</v>
      </c>
      <c r="B19" s="38">
        <v>936</v>
      </c>
      <c r="C19" s="47" t="s">
        <v>168</v>
      </c>
      <c r="D19" s="5">
        <v>15</v>
      </c>
      <c r="E19" s="74">
        <v>0</v>
      </c>
      <c r="F19" s="5">
        <v>12</v>
      </c>
      <c r="G19" s="53">
        <v>19</v>
      </c>
      <c r="H19">
        <v>19</v>
      </c>
      <c r="I19" s="54">
        <f t="shared" si="0"/>
        <v>1</v>
      </c>
      <c r="J19" s="37">
        <f t="shared" si="1"/>
        <v>15</v>
      </c>
      <c r="K19" s="37">
        <f t="shared" si="2"/>
        <v>12</v>
      </c>
      <c r="L19" s="59">
        <f t="shared" si="3"/>
        <v>0</v>
      </c>
      <c r="M19" s="75">
        <f t="shared" si="4"/>
        <v>-7.5652616601670997E-2</v>
      </c>
    </row>
    <row r="20" spans="1:13" x14ac:dyDescent="0.3">
      <c r="A20" t="s">
        <v>141</v>
      </c>
      <c r="B20" s="38">
        <v>943</v>
      </c>
      <c r="C20" s="47" t="s">
        <v>168</v>
      </c>
      <c r="D20" s="5">
        <v>23</v>
      </c>
      <c r="E20" s="5">
        <v>53</v>
      </c>
      <c r="F20" s="5">
        <v>55</v>
      </c>
      <c r="G20" s="53">
        <v>32</v>
      </c>
      <c r="H20">
        <v>11</v>
      </c>
      <c r="I20" s="54">
        <f t="shared" si="0"/>
        <v>0.34375</v>
      </c>
      <c r="J20" s="37">
        <f t="shared" si="1"/>
        <v>7.90625</v>
      </c>
      <c r="K20" s="37">
        <f t="shared" si="2"/>
        <v>18.90625</v>
      </c>
      <c r="L20" s="59">
        <f t="shared" si="3"/>
        <v>18.21875</v>
      </c>
      <c r="M20" s="75">
        <f t="shared" si="4"/>
        <v>5.201117391364881E-2</v>
      </c>
    </row>
    <row r="21" spans="1:13" x14ac:dyDescent="0.3">
      <c r="A21" t="s">
        <v>142</v>
      </c>
      <c r="B21" s="38">
        <v>944</v>
      </c>
      <c r="C21" s="47" t="s">
        <v>168</v>
      </c>
      <c r="D21" s="5">
        <v>1272</v>
      </c>
      <c r="E21" s="5">
        <v>1408</v>
      </c>
      <c r="F21" s="5">
        <v>1420</v>
      </c>
      <c r="G21" s="53">
        <v>227</v>
      </c>
      <c r="H21">
        <v>1</v>
      </c>
      <c r="I21" s="54">
        <f t="shared" si="0"/>
        <v>4.4052863436123352E-3</v>
      </c>
      <c r="J21" s="37">
        <f t="shared" si="1"/>
        <v>5.6035242290748908</v>
      </c>
      <c r="K21" s="37">
        <f t="shared" si="2"/>
        <v>6.2555066079295161</v>
      </c>
      <c r="L21" s="59">
        <f t="shared" si="3"/>
        <v>6.2026431718061676</v>
      </c>
      <c r="M21" s="75">
        <f t="shared" si="4"/>
        <v>3.0216610448831845E-3</v>
      </c>
    </row>
    <row r="22" spans="1:13" x14ac:dyDescent="0.3">
      <c r="A22" s="7" t="s">
        <v>128</v>
      </c>
      <c r="B22" s="42">
        <v>948</v>
      </c>
      <c r="C22" s="48" t="s">
        <v>168</v>
      </c>
      <c r="D22" s="5">
        <v>39</v>
      </c>
      <c r="E22" s="5">
        <v>56</v>
      </c>
      <c r="F22" s="5">
        <v>50</v>
      </c>
      <c r="G22" s="55">
        <v>42</v>
      </c>
      <c r="H22" s="7">
        <v>39</v>
      </c>
      <c r="I22" s="56">
        <f t="shared" si="0"/>
        <v>0.9285714285714286</v>
      </c>
      <c r="J22" s="45">
        <f t="shared" si="1"/>
        <v>36.214285714285715</v>
      </c>
      <c r="K22" s="45">
        <f t="shared" si="2"/>
        <v>46.428571428571431</v>
      </c>
      <c r="L22" s="61">
        <f t="shared" si="3"/>
        <v>52</v>
      </c>
      <c r="M22" s="61">
        <f t="shared" si="4"/>
        <v>7.961537270937756E-2</v>
      </c>
    </row>
    <row r="23" spans="1:13" ht="15" thickBot="1" x14ac:dyDescent="0.35">
      <c r="A23" s="62" t="s">
        <v>145</v>
      </c>
      <c r="B23" s="63"/>
      <c r="C23" s="64"/>
      <c r="D23" s="62"/>
      <c r="E23" s="62"/>
      <c r="F23" s="64"/>
      <c r="G23" s="66">
        <f>SUM(G3:G22)</f>
        <v>2044</v>
      </c>
      <c r="H23" s="62">
        <f>SUM(H3:H22)</f>
        <v>999</v>
      </c>
      <c r="I23" s="67">
        <f t="shared" si="0"/>
        <v>0.48874755381604695</v>
      </c>
      <c r="J23" s="69">
        <f>SUM(J3:J22)</f>
        <v>2553.8844483198113</v>
      </c>
      <c r="K23" s="69">
        <f>SUM(K3:K22)</f>
        <v>2721.6994589850565</v>
      </c>
      <c r="L23" s="70">
        <f>SUM(L3:L22)</f>
        <v>2752.1591501583289</v>
      </c>
      <c r="M23" s="70">
        <f t="shared" si="4"/>
        <v>1</v>
      </c>
    </row>
    <row r="24" spans="1:13" ht="15" thickTop="1" x14ac:dyDescent="0.3"/>
    <row r="25" spans="1:13" x14ac:dyDescent="0.3">
      <c r="A25" s="33"/>
      <c r="C25" s="33"/>
    </row>
    <row r="26" spans="1:13" x14ac:dyDescent="0.3">
      <c r="C26" s="33"/>
    </row>
    <row r="27" spans="1:13" x14ac:dyDescent="0.3">
      <c r="C27" s="33"/>
    </row>
    <row r="28" spans="1:13" x14ac:dyDescent="0.3">
      <c r="C28" s="34"/>
    </row>
    <row r="30" spans="1:13" x14ac:dyDescent="0.3">
      <c r="B30"/>
    </row>
    <row r="31" spans="1:13" x14ac:dyDescent="0.3">
      <c r="B31"/>
    </row>
    <row r="32" spans="1:13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</sheetData>
  <autoFilter ref="A2:L22" xr:uid="{BE618804-9161-4837-93D2-9E1F72094112}">
    <sortState xmlns:xlrd2="http://schemas.microsoft.com/office/spreadsheetml/2017/richdata2" ref="A3:L23">
      <sortCondition ref="B2:B22"/>
    </sortState>
  </autoFilter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70A8-7A71-431A-A4BB-A76BB786053B}">
  <dimension ref="A1:K24"/>
  <sheetViews>
    <sheetView workbookViewId="0">
      <selection activeCell="K4" sqref="K4"/>
    </sheetView>
  </sheetViews>
  <sheetFormatPr baseColWidth="10" defaultRowHeight="14.4" x14ac:dyDescent="0.3"/>
  <sheetData>
    <row r="1" spans="1:11" x14ac:dyDescent="0.3">
      <c r="F1" s="113" t="s">
        <v>240</v>
      </c>
      <c r="G1" s="114"/>
      <c r="H1" s="115" t="s">
        <v>241</v>
      </c>
      <c r="I1" s="114"/>
      <c r="J1" s="53" t="s">
        <v>273</v>
      </c>
      <c r="K1" s="47"/>
    </row>
    <row r="2" spans="1:11" x14ac:dyDescent="0.3">
      <c r="A2" s="46" t="s">
        <v>115</v>
      </c>
      <c r="B2" s="4"/>
      <c r="C2" s="51" t="s">
        <v>170</v>
      </c>
      <c r="D2" s="4" t="s">
        <v>171</v>
      </c>
      <c r="E2" s="52" t="s">
        <v>172</v>
      </c>
      <c r="F2" s="51">
        <v>2011</v>
      </c>
      <c r="G2" s="46">
        <v>2020</v>
      </c>
      <c r="H2" s="51">
        <v>2011</v>
      </c>
      <c r="I2" s="46">
        <v>2020</v>
      </c>
      <c r="J2" s="55">
        <v>2011</v>
      </c>
      <c r="K2" s="48">
        <v>2020</v>
      </c>
    </row>
    <row r="3" spans="1:11" x14ac:dyDescent="0.3">
      <c r="A3" t="s">
        <v>138</v>
      </c>
      <c r="B3" s="38">
        <v>770</v>
      </c>
      <c r="C3" s="53">
        <v>66</v>
      </c>
      <c r="D3">
        <v>5</v>
      </c>
      <c r="E3" s="54">
        <f t="shared" ref="E3:E23" si="0">D3/C3</f>
        <v>7.575757575757576E-2</v>
      </c>
      <c r="F3" s="5">
        <v>20</v>
      </c>
      <c r="G3" s="83">
        <v>35</v>
      </c>
      <c r="H3" s="100">
        <v>126</v>
      </c>
      <c r="I3" s="83">
        <v>85</v>
      </c>
      <c r="J3" s="53"/>
      <c r="K3" s="47"/>
    </row>
    <row r="4" spans="1:11" x14ac:dyDescent="0.3">
      <c r="A4" t="s">
        <v>125</v>
      </c>
      <c r="B4" s="38">
        <v>861</v>
      </c>
      <c r="C4" s="53">
        <v>364</v>
      </c>
      <c r="D4">
        <v>62</v>
      </c>
      <c r="E4" s="54">
        <f t="shared" si="0"/>
        <v>0.17032967032967034</v>
      </c>
      <c r="F4" s="5">
        <v>1238</v>
      </c>
      <c r="G4" s="83">
        <v>1233</v>
      </c>
      <c r="H4" s="100">
        <v>3647</v>
      </c>
      <c r="I4" s="83">
        <v>3528</v>
      </c>
      <c r="J4" s="53"/>
      <c r="K4" s="47"/>
    </row>
    <row r="5" spans="1:11" x14ac:dyDescent="0.3">
      <c r="A5" t="s">
        <v>127</v>
      </c>
      <c r="B5" s="38">
        <v>863</v>
      </c>
      <c r="C5" s="53">
        <v>73</v>
      </c>
      <c r="D5">
        <v>73</v>
      </c>
      <c r="E5" s="54">
        <f t="shared" si="0"/>
        <v>1</v>
      </c>
      <c r="F5" s="5">
        <v>85</v>
      </c>
      <c r="G5" s="83">
        <v>112</v>
      </c>
      <c r="H5" s="100">
        <v>97</v>
      </c>
      <c r="I5" s="83">
        <v>102</v>
      </c>
      <c r="J5" s="53"/>
      <c r="K5" s="47"/>
    </row>
    <row r="6" spans="1:11" x14ac:dyDescent="0.3">
      <c r="A6" t="s">
        <v>129</v>
      </c>
      <c r="B6" s="38">
        <v>866</v>
      </c>
      <c r="C6" s="53">
        <v>77</v>
      </c>
      <c r="D6">
        <v>46</v>
      </c>
      <c r="E6" s="54">
        <f t="shared" si="0"/>
        <v>0.59740259740259738</v>
      </c>
      <c r="F6" s="5">
        <v>42</v>
      </c>
      <c r="G6" s="83">
        <v>33</v>
      </c>
      <c r="H6" s="100">
        <v>163</v>
      </c>
      <c r="I6" s="83">
        <v>190</v>
      </c>
      <c r="J6" s="53"/>
      <c r="K6" s="47"/>
    </row>
    <row r="7" spans="1:11" x14ac:dyDescent="0.3">
      <c r="A7" t="s">
        <v>130</v>
      </c>
      <c r="B7" s="38">
        <v>867</v>
      </c>
      <c r="C7" s="53">
        <v>32</v>
      </c>
      <c r="D7">
        <v>31</v>
      </c>
      <c r="E7" s="54">
        <f t="shared" si="0"/>
        <v>0.96875</v>
      </c>
      <c r="F7" s="5">
        <v>25</v>
      </c>
      <c r="G7" s="83">
        <v>21</v>
      </c>
      <c r="H7" s="100">
        <v>80</v>
      </c>
      <c r="I7" s="83">
        <v>51</v>
      </c>
      <c r="J7" s="53"/>
      <c r="K7" s="47"/>
    </row>
    <row r="8" spans="1:11" x14ac:dyDescent="0.3">
      <c r="A8" t="s">
        <v>131</v>
      </c>
      <c r="B8" s="38">
        <v>869</v>
      </c>
      <c r="C8" s="53">
        <v>44</v>
      </c>
      <c r="D8">
        <v>44</v>
      </c>
      <c r="E8" s="54">
        <f t="shared" si="0"/>
        <v>1</v>
      </c>
      <c r="F8" s="5">
        <v>62</v>
      </c>
      <c r="G8" s="83">
        <v>43</v>
      </c>
      <c r="H8" s="100">
        <v>85</v>
      </c>
      <c r="I8" s="83">
        <v>93</v>
      </c>
      <c r="J8" s="53"/>
      <c r="K8" s="47"/>
    </row>
    <row r="9" spans="1:11" x14ac:dyDescent="0.3">
      <c r="A9" t="s">
        <v>164</v>
      </c>
      <c r="B9" s="38">
        <v>872</v>
      </c>
      <c r="C9" s="53">
        <v>129</v>
      </c>
      <c r="D9">
        <v>55</v>
      </c>
      <c r="E9" s="54">
        <f t="shared" si="0"/>
        <v>0.4263565891472868</v>
      </c>
      <c r="F9" s="5">
        <v>128</v>
      </c>
      <c r="G9" s="83">
        <v>122</v>
      </c>
      <c r="H9" s="100">
        <v>233</v>
      </c>
      <c r="I9" s="83">
        <v>205</v>
      </c>
      <c r="J9" s="53"/>
      <c r="K9" s="47"/>
    </row>
    <row r="10" spans="1:11" x14ac:dyDescent="0.3">
      <c r="A10" t="s">
        <v>133</v>
      </c>
      <c r="B10" s="38">
        <v>877</v>
      </c>
      <c r="C10" s="53">
        <v>42</v>
      </c>
      <c r="D10">
        <v>10</v>
      </c>
      <c r="E10" s="54">
        <f t="shared" si="0"/>
        <v>0.23809523809523808</v>
      </c>
      <c r="F10" s="74" t="s">
        <v>196</v>
      </c>
      <c r="G10" s="83">
        <v>7</v>
      </c>
      <c r="H10" s="101" t="s">
        <v>196</v>
      </c>
      <c r="I10" s="83">
        <v>55</v>
      </c>
      <c r="J10" s="53"/>
      <c r="K10" s="47"/>
    </row>
    <row r="11" spans="1:11" x14ac:dyDescent="0.3">
      <c r="A11" t="s">
        <v>135</v>
      </c>
      <c r="B11" s="38">
        <v>879</v>
      </c>
      <c r="C11" s="53">
        <v>215</v>
      </c>
      <c r="D11">
        <v>156</v>
      </c>
      <c r="E11" s="54">
        <f t="shared" si="0"/>
        <v>0.72558139534883725</v>
      </c>
      <c r="F11" s="5">
        <v>278</v>
      </c>
      <c r="G11" s="83">
        <v>301</v>
      </c>
      <c r="H11" s="100">
        <v>1188</v>
      </c>
      <c r="I11" s="83">
        <v>1422</v>
      </c>
      <c r="J11" s="53"/>
      <c r="K11" s="47"/>
    </row>
    <row r="12" spans="1:11" x14ac:dyDescent="0.3">
      <c r="A12" t="s">
        <v>136</v>
      </c>
      <c r="B12" s="38">
        <v>880</v>
      </c>
      <c r="C12" s="53">
        <v>166</v>
      </c>
      <c r="D12">
        <v>21</v>
      </c>
      <c r="E12" s="54">
        <f t="shared" si="0"/>
        <v>0.12650602409638553</v>
      </c>
      <c r="F12" s="5">
        <v>101</v>
      </c>
      <c r="G12" s="83">
        <v>77</v>
      </c>
      <c r="H12" s="100">
        <v>209</v>
      </c>
      <c r="I12" s="83">
        <v>211</v>
      </c>
      <c r="J12" s="53"/>
      <c r="K12" s="47"/>
    </row>
    <row r="13" spans="1:11" x14ac:dyDescent="0.3">
      <c r="A13" t="s">
        <v>137</v>
      </c>
      <c r="B13" s="38">
        <v>883</v>
      </c>
      <c r="C13" s="53">
        <v>66</v>
      </c>
      <c r="D13">
        <v>62</v>
      </c>
      <c r="E13" s="54">
        <f t="shared" si="0"/>
        <v>0.93939393939393945</v>
      </c>
      <c r="F13" s="5">
        <v>208</v>
      </c>
      <c r="G13" s="83">
        <v>232</v>
      </c>
      <c r="H13" s="100">
        <v>325</v>
      </c>
      <c r="I13" s="83">
        <v>366</v>
      </c>
      <c r="J13" s="53"/>
      <c r="K13" s="47"/>
    </row>
    <row r="14" spans="1:11" x14ac:dyDescent="0.3">
      <c r="A14" t="s">
        <v>140</v>
      </c>
      <c r="B14" s="38">
        <v>884</v>
      </c>
      <c r="C14" s="53">
        <v>88</v>
      </c>
      <c r="D14">
        <v>88</v>
      </c>
      <c r="E14" s="54">
        <f t="shared" si="0"/>
        <v>1</v>
      </c>
      <c r="F14" s="5">
        <v>116</v>
      </c>
      <c r="G14" s="83">
        <v>46</v>
      </c>
      <c r="H14" s="100">
        <v>414</v>
      </c>
      <c r="I14" s="83">
        <v>411</v>
      </c>
      <c r="J14" s="53"/>
      <c r="K14" s="47"/>
    </row>
    <row r="15" spans="1:11" x14ac:dyDescent="0.3">
      <c r="A15" t="s">
        <v>144</v>
      </c>
      <c r="B15" s="38">
        <v>886</v>
      </c>
      <c r="C15" s="53">
        <v>121</v>
      </c>
      <c r="D15">
        <v>121</v>
      </c>
      <c r="E15" s="54">
        <f t="shared" si="0"/>
        <v>1</v>
      </c>
      <c r="F15" s="5">
        <v>278</v>
      </c>
      <c r="G15" s="83">
        <v>213</v>
      </c>
      <c r="H15" s="100">
        <v>598</v>
      </c>
      <c r="I15" s="83">
        <v>738</v>
      </c>
      <c r="J15" s="53"/>
      <c r="K15" s="47"/>
    </row>
    <row r="16" spans="1:11" x14ac:dyDescent="0.3">
      <c r="A16" t="s">
        <v>44</v>
      </c>
      <c r="B16" s="38">
        <v>888</v>
      </c>
      <c r="C16" s="53">
        <v>91</v>
      </c>
      <c r="D16">
        <v>5</v>
      </c>
      <c r="E16" s="54">
        <f t="shared" si="0"/>
        <v>5.4945054945054944E-2</v>
      </c>
      <c r="F16" s="5">
        <v>21</v>
      </c>
      <c r="G16" s="83">
        <v>32</v>
      </c>
      <c r="H16" s="100">
        <v>447</v>
      </c>
      <c r="I16" s="83">
        <v>457</v>
      </c>
      <c r="J16" s="53"/>
      <c r="K16" s="47"/>
    </row>
    <row r="17" spans="1:11" x14ac:dyDescent="0.3">
      <c r="A17" t="s">
        <v>139</v>
      </c>
      <c r="B17" s="38">
        <v>889</v>
      </c>
      <c r="C17" s="53">
        <v>88</v>
      </c>
      <c r="D17">
        <v>88</v>
      </c>
      <c r="E17" s="54">
        <f t="shared" si="0"/>
        <v>1</v>
      </c>
      <c r="F17" s="5">
        <v>110</v>
      </c>
      <c r="G17" s="83">
        <v>114</v>
      </c>
      <c r="H17" s="100">
        <v>199</v>
      </c>
      <c r="I17" s="83">
        <v>215</v>
      </c>
      <c r="J17" s="53"/>
      <c r="K17" s="47"/>
    </row>
    <row r="18" spans="1:11" x14ac:dyDescent="0.3">
      <c r="A18" t="s">
        <v>126</v>
      </c>
      <c r="B18" s="38">
        <v>922</v>
      </c>
      <c r="C18" s="53">
        <v>62</v>
      </c>
      <c r="D18">
        <v>62</v>
      </c>
      <c r="E18" s="54">
        <f t="shared" si="0"/>
        <v>1</v>
      </c>
      <c r="F18" s="5">
        <v>134</v>
      </c>
      <c r="G18" s="83">
        <v>138</v>
      </c>
      <c r="H18" s="100">
        <v>172</v>
      </c>
      <c r="I18" s="83">
        <v>134</v>
      </c>
      <c r="J18" s="53"/>
      <c r="K18" s="47"/>
    </row>
    <row r="19" spans="1:11" x14ac:dyDescent="0.3">
      <c r="A19" t="s">
        <v>134</v>
      </c>
      <c r="B19" s="38">
        <v>936</v>
      </c>
      <c r="C19" s="53">
        <v>19</v>
      </c>
      <c r="D19">
        <v>19</v>
      </c>
      <c r="E19" s="54">
        <f t="shared" si="0"/>
        <v>1</v>
      </c>
      <c r="F19" s="5">
        <v>15</v>
      </c>
      <c r="G19" s="83">
        <v>12</v>
      </c>
      <c r="H19" s="100">
        <v>28</v>
      </c>
      <c r="I19" s="83">
        <v>26</v>
      </c>
      <c r="J19" s="53"/>
      <c r="K19" s="47"/>
    </row>
    <row r="20" spans="1:11" x14ac:dyDescent="0.3">
      <c r="A20" t="s">
        <v>141</v>
      </c>
      <c r="B20" s="38">
        <v>943</v>
      </c>
      <c r="C20" s="53">
        <v>32</v>
      </c>
      <c r="D20">
        <v>11</v>
      </c>
      <c r="E20" s="54">
        <f t="shared" si="0"/>
        <v>0.34375</v>
      </c>
      <c r="F20" s="5">
        <v>29</v>
      </c>
      <c r="G20" s="83">
        <v>52</v>
      </c>
      <c r="H20" s="100">
        <v>37</v>
      </c>
      <c r="I20" s="83">
        <v>86</v>
      </c>
      <c r="J20" s="53"/>
      <c r="K20" s="47"/>
    </row>
    <row r="21" spans="1:11" x14ac:dyDescent="0.3">
      <c r="A21" t="s">
        <v>142</v>
      </c>
      <c r="B21" s="38">
        <v>944</v>
      </c>
      <c r="C21" s="53">
        <v>227</v>
      </c>
      <c r="D21">
        <v>1</v>
      </c>
      <c r="E21" s="54">
        <f t="shared" si="0"/>
        <v>4.4052863436123352E-3</v>
      </c>
      <c r="F21" s="5">
        <v>1259</v>
      </c>
      <c r="G21" s="83">
        <v>1367</v>
      </c>
      <c r="H21" s="100">
        <v>1746</v>
      </c>
      <c r="I21" s="83">
        <v>1987</v>
      </c>
      <c r="J21" s="53"/>
      <c r="K21" s="47"/>
    </row>
    <row r="22" spans="1:11" x14ac:dyDescent="0.3">
      <c r="A22" s="7" t="s">
        <v>128</v>
      </c>
      <c r="B22" s="42">
        <v>948</v>
      </c>
      <c r="C22" s="55">
        <v>42</v>
      </c>
      <c r="D22" s="7">
        <v>39</v>
      </c>
      <c r="E22" s="56">
        <f t="shared" si="0"/>
        <v>0.9285714285714286</v>
      </c>
      <c r="F22" s="56">
        <v>39</v>
      </c>
      <c r="G22" s="56">
        <v>43</v>
      </c>
      <c r="H22" s="102">
        <v>66</v>
      </c>
      <c r="I22" s="56">
        <v>76</v>
      </c>
      <c r="J22" s="55"/>
      <c r="K22" s="48"/>
    </row>
    <row r="23" spans="1:11" ht="15" thickBot="1" x14ac:dyDescent="0.35">
      <c r="A23" s="62" t="s">
        <v>145</v>
      </c>
      <c r="B23" s="62"/>
      <c r="C23" s="66">
        <f>SUM(C3:C22)</f>
        <v>2044</v>
      </c>
      <c r="D23" s="62">
        <f>SUM(D3:D22)</f>
        <v>999</v>
      </c>
      <c r="E23" s="67">
        <f t="shared" si="0"/>
        <v>0.48874755381604695</v>
      </c>
      <c r="F23" s="67">
        <f>SUM(F3:F22)</f>
        <v>4188</v>
      </c>
      <c r="G23" s="67">
        <f t="shared" ref="G23:I23" si="1">SUM(G3:G22)</f>
        <v>4233</v>
      </c>
      <c r="H23" s="103">
        <f t="shared" si="1"/>
        <v>9860</v>
      </c>
      <c r="I23" s="67">
        <f t="shared" si="1"/>
        <v>10438</v>
      </c>
      <c r="J23" s="104">
        <f>F23+H23</f>
        <v>14048</v>
      </c>
      <c r="K23" s="104">
        <f>G23+I23</f>
        <v>14671</v>
      </c>
    </row>
    <row r="24" spans="1:11" ht="15" thickTop="1" x14ac:dyDescent="0.3"/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F954-2DF4-4EF4-9CB2-F900E48C3EB1}">
  <dimension ref="A1:G16"/>
  <sheetViews>
    <sheetView workbookViewId="0">
      <selection activeCell="F16" sqref="F16"/>
    </sheetView>
  </sheetViews>
  <sheetFormatPr baseColWidth="10" defaultRowHeight="14.4" x14ac:dyDescent="0.3"/>
  <cols>
    <col min="1" max="1" width="12.5546875" customWidth="1"/>
    <col min="4" max="4" width="12.6640625" customWidth="1"/>
    <col min="5" max="5" width="16.44140625" customWidth="1"/>
    <col min="6" max="6" width="20.44140625" customWidth="1"/>
  </cols>
  <sheetData>
    <row r="1" spans="1:7" x14ac:dyDescent="0.3">
      <c r="A1" s="4" t="s">
        <v>234</v>
      </c>
      <c r="B1" s="4" t="s">
        <v>239</v>
      </c>
      <c r="C1" s="4" t="s">
        <v>235</v>
      </c>
      <c r="D1" s="4" t="s">
        <v>242</v>
      </c>
      <c r="E1" s="4" t="s">
        <v>236</v>
      </c>
      <c r="F1" s="4" t="s">
        <v>238</v>
      </c>
      <c r="G1" s="4" t="s">
        <v>198</v>
      </c>
    </row>
    <row r="2" spans="1:7" x14ac:dyDescent="0.3">
      <c r="A2" s="5">
        <v>2011</v>
      </c>
      <c r="B2" s="8">
        <f>'Anzahl Beschäftigte'!F23</f>
        <v>4188</v>
      </c>
      <c r="C2">
        <f>dw_einwohnende!M23</f>
        <v>19774.185186660703</v>
      </c>
      <c r="D2" t="s">
        <v>237</v>
      </c>
      <c r="E2" t="s">
        <v>237</v>
      </c>
      <c r="F2" t="s">
        <v>237</v>
      </c>
      <c r="G2">
        <f>ind_beschäftigte_2s!$J$23</f>
        <v>1354.0168727429138</v>
      </c>
    </row>
    <row r="3" spans="1:7" x14ac:dyDescent="0.3">
      <c r="A3" s="5">
        <v>2019</v>
      </c>
      <c r="B3">
        <f>$A$16*A3+$B$16</f>
        <v>4228</v>
      </c>
      <c r="C3" s="28">
        <f>dw_extrapol_ew!B62</f>
        <v>20952.51039810534</v>
      </c>
      <c r="D3">
        <f>(B3-B2)/B2</f>
        <v>9.5510983763132766E-3</v>
      </c>
      <c r="E3">
        <f>(C3-C2)/C2</f>
        <v>5.958906525460847E-2</v>
      </c>
      <c r="F3">
        <f t="shared" ref="F3:F11" si="0">AVERAGE(D3:E3)</f>
        <v>3.4570081815460875E-2</v>
      </c>
      <c r="G3">
        <f>ind_beschäftigte_2s!$K$23</f>
        <v>1242.7898183857351</v>
      </c>
    </row>
    <row r="4" spans="1:7" x14ac:dyDescent="0.3">
      <c r="A4" s="5">
        <v>2020</v>
      </c>
      <c r="B4" s="8">
        <f>'Anzahl Beschäftigte'!G23</f>
        <v>4233</v>
      </c>
      <c r="C4" s="28" t="s">
        <v>237</v>
      </c>
      <c r="D4" t="s">
        <v>237</v>
      </c>
      <c r="E4" t="s">
        <v>237</v>
      </c>
      <c r="F4" t="s">
        <v>237</v>
      </c>
      <c r="G4">
        <f>3.3739*A4-5569.2</f>
        <v>1246.0780000000004</v>
      </c>
    </row>
    <row r="5" spans="1:7" x14ac:dyDescent="0.3">
      <c r="A5" s="5">
        <v>2030</v>
      </c>
      <c r="B5">
        <f>$A$16*A5+$B$16</f>
        <v>4283</v>
      </c>
      <c r="C5" s="28">
        <f>dw_extrapol_ew!F62</f>
        <v>21931.35653512954</v>
      </c>
      <c r="D5">
        <f>(B5-B3)/B3</f>
        <v>1.3008514664143803E-2</v>
      </c>
      <c r="E5">
        <f>(C5-C3)/C3</f>
        <v>4.6717367915622837E-2</v>
      </c>
      <c r="F5">
        <f t="shared" si="0"/>
        <v>2.9862941289883319E-2</v>
      </c>
      <c r="G5">
        <f>G3+G3*F5</f>
        <v>1279.9031777678531</v>
      </c>
    </row>
    <row r="6" spans="1:7" x14ac:dyDescent="0.3">
      <c r="A6" s="5">
        <v>2040</v>
      </c>
      <c r="B6">
        <f t="shared" ref="B6:B11" si="1">$A$16*A6+$B$16</f>
        <v>4333</v>
      </c>
      <c r="C6" s="28">
        <f>dw_extrapol_ew!G62</f>
        <v>22356.735014390637</v>
      </c>
      <c r="D6">
        <f t="shared" ref="D6:D11" si="2">(B6-B5)/B5</f>
        <v>1.1674060238150829E-2</v>
      </c>
      <c r="E6">
        <f t="shared" ref="E6:E11" si="3">(C6-C5)/C5</f>
        <v>1.9395903695228683E-2</v>
      </c>
      <c r="F6">
        <f t="shared" si="0"/>
        <v>1.5534981966689756E-2</v>
      </c>
      <c r="G6">
        <f>G5+G5*F6</f>
        <v>1299.7864505535856</v>
      </c>
    </row>
    <row r="7" spans="1:7" x14ac:dyDescent="0.3">
      <c r="A7" s="5">
        <v>2050</v>
      </c>
      <c r="B7">
        <f t="shared" si="1"/>
        <v>4383</v>
      </c>
      <c r="C7" s="28">
        <f>dw_extrapol_ew!H62</f>
        <v>22477.20049084293</v>
      </c>
      <c r="D7">
        <f t="shared" si="2"/>
        <v>1.1539349180706208E-2</v>
      </c>
      <c r="E7">
        <f t="shared" si="3"/>
        <v>5.3883304684137203E-3</v>
      </c>
      <c r="F7">
        <f t="shared" si="0"/>
        <v>8.4638398245599645E-3</v>
      </c>
      <c r="G7">
        <f t="shared" ref="G7:G11" si="4">G6+G6*F7</f>
        <v>1310.7876348772045</v>
      </c>
    </row>
    <row r="8" spans="1:7" x14ac:dyDescent="0.3">
      <c r="A8" s="5">
        <v>2060</v>
      </c>
      <c r="B8">
        <f t="shared" si="1"/>
        <v>4433</v>
      </c>
      <c r="C8">
        <f>dw_extrapol_ew!I62</f>
        <v>22800.520000000004</v>
      </c>
      <c r="D8">
        <f t="shared" si="2"/>
        <v>1.1407711613050422E-2</v>
      </c>
      <c r="E8">
        <f t="shared" si="3"/>
        <v>1.4384331771600851E-2</v>
      </c>
      <c r="F8">
        <f t="shared" si="0"/>
        <v>1.2896021692325637E-2</v>
      </c>
      <c r="G8">
        <f t="shared" si="4"/>
        <v>1327.6915806506131</v>
      </c>
    </row>
    <row r="9" spans="1:7" x14ac:dyDescent="0.3">
      <c r="A9" s="5">
        <v>2070</v>
      </c>
      <c r="B9">
        <f t="shared" si="1"/>
        <v>4483</v>
      </c>
      <c r="C9">
        <f>dw_extrapol_ew!J62</f>
        <v>23073.440000000002</v>
      </c>
      <c r="D9">
        <f t="shared" si="2"/>
        <v>1.1279043537108053E-2</v>
      </c>
      <c r="E9">
        <f t="shared" si="3"/>
        <v>1.1969902440821446E-2</v>
      </c>
      <c r="F9">
        <f t="shared" si="0"/>
        <v>1.1624472988964751E-2</v>
      </c>
      <c r="G9">
        <f t="shared" si="4"/>
        <v>1343.125295567562</v>
      </c>
    </row>
    <row r="10" spans="1:7" x14ac:dyDescent="0.3">
      <c r="A10" s="5">
        <v>2080</v>
      </c>
      <c r="B10">
        <f t="shared" si="1"/>
        <v>4533</v>
      </c>
      <c r="C10">
        <f>dw_extrapol_ew!K62</f>
        <v>23346.36</v>
      </c>
      <c r="D10">
        <f t="shared" si="2"/>
        <v>1.115324559446799E-2</v>
      </c>
      <c r="E10">
        <f t="shared" si="3"/>
        <v>1.1828318620890435E-2</v>
      </c>
      <c r="F10">
        <f t="shared" si="0"/>
        <v>1.1490782107679213E-2</v>
      </c>
      <c r="G10">
        <f t="shared" si="4"/>
        <v>1358.5588556822411</v>
      </c>
    </row>
    <row r="11" spans="1:7" x14ac:dyDescent="0.3">
      <c r="A11" s="5">
        <v>2090</v>
      </c>
      <c r="B11">
        <f t="shared" si="1"/>
        <v>4583</v>
      </c>
      <c r="C11">
        <f>dw_extrapol_ew!L62</f>
        <v>23619.280000000006</v>
      </c>
      <c r="D11">
        <f t="shared" si="2"/>
        <v>1.1030222810500772E-2</v>
      </c>
      <c r="E11">
        <f t="shared" si="3"/>
        <v>1.1690045043424566E-2</v>
      </c>
      <c r="F11">
        <f t="shared" si="0"/>
        <v>1.1360133926962668E-2</v>
      </c>
      <c r="G11">
        <f t="shared" si="4"/>
        <v>1373.9922662304525</v>
      </c>
    </row>
    <row r="15" spans="1:7" x14ac:dyDescent="0.3">
      <c r="A15" t="s">
        <v>180</v>
      </c>
      <c r="B15" t="s">
        <v>181</v>
      </c>
    </row>
    <row r="16" spans="1:7" x14ac:dyDescent="0.3">
      <c r="A16">
        <v>5</v>
      </c>
      <c r="B16">
        <v>-5867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8A00-8B40-4F64-9BCD-6BDEE5898521}">
  <dimension ref="A1:I16"/>
  <sheetViews>
    <sheetView workbookViewId="0">
      <selection activeCell="H9" sqref="H9"/>
    </sheetView>
  </sheetViews>
  <sheetFormatPr baseColWidth="10" defaultRowHeight="14.4" x14ac:dyDescent="0.3"/>
  <cols>
    <col min="1" max="1" width="12.5546875" customWidth="1"/>
    <col min="4" max="4" width="12.6640625" customWidth="1"/>
    <col min="5" max="5" width="16.44140625" customWidth="1"/>
    <col min="6" max="6" width="20.44140625" customWidth="1"/>
  </cols>
  <sheetData>
    <row r="1" spans="1:9" x14ac:dyDescent="0.3">
      <c r="A1" s="4" t="s">
        <v>234</v>
      </c>
      <c r="B1" s="4" t="s">
        <v>239</v>
      </c>
      <c r="C1" s="4" t="s">
        <v>235</v>
      </c>
      <c r="D1" s="4" t="s">
        <v>242</v>
      </c>
      <c r="E1" s="4" t="s">
        <v>236</v>
      </c>
      <c r="F1" s="4" t="s">
        <v>238</v>
      </c>
      <c r="G1" s="4" t="s">
        <v>198</v>
      </c>
      <c r="I1" s="2" t="s">
        <v>243</v>
      </c>
    </row>
    <row r="2" spans="1:9" x14ac:dyDescent="0.3">
      <c r="A2" s="5">
        <v>2011</v>
      </c>
      <c r="B2" s="87">
        <f>'Anzahl Beschäftigte'!H23</f>
        <v>9860</v>
      </c>
      <c r="C2" s="89">
        <f>dw_einwohnende!M23</f>
        <v>19774.185186660703</v>
      </c>
      <c r="D2" t="s">
        <v>237</v>
      </c>
      <c r="E2" t="s">
        <v>237</v>
      </c>
      <c r="F2" t="s">
        <v>237</v>
      </c>
      <c r="G2" s="89">
        <f>ind_beschäftigte_3s!J23</f>
        <v>2553.8844483198113</v>
      </c>
      <c r="I2" s="85" t="s">
        <v>192</v>
      </c>
    </row>
    <row r="3" spans="1:9" x14ac:dyDescent="0.3">
      <c r="A3" s="5">
        <v>2019</v>
      </c>
      <c r="B3" s="88">
        <f>$A$16*A3+$B$16</f>
        <v>10373.217999999993</v>
      </c>
      <c r="C3" s="90">
        <f>dw_extrapol_ew!B62</f>
        <v>20952.51039810534</v>
      </c>
      <c r="D3">
        <f>(B3-B2)/B2</f>
        <v>5.2050507099390818E-2</v>
      </c>
      <c r="E3">
        <f>(C3-C2)/C2</f>
        <v>5.958906525460847E-2</v>
      </c>
      <c r="F3">
        <f t="shared" ref="F3:F11" si="0">AVERAGE(D3:E3)</f>
        <v>5.5819786176999647E-2</v>
      </c>
      <c r="G3" s="89">
        <f>ind_beschäftigte_3s!K23</f>
        <v>2721.6994589850565</v>
      </c>
      <c r="I3" s="84" t="s">
        <v>244</v>
      </c>
    </row>
    <row r="4" spans="1:9" x14ac:dyDescent="0.3">
      <c r="A4" s="5">
        <v>2020</v>
      </c>
      <c r="B4" s="87">
        <f>'Anzahl Beschäftigte'!I23</f>
        <v>10438</v>
      </c>
      <c r="C4" s="28" t="s">
        <v>237</v>
      </c>
      <c r="D4" t="s">
        <v>237</v>
      </c>
      <c r="E4" t="s">
        <v>237</v>
      </c>
      <c r="F4" t="s">
        <v>237</v>
      </c>
      <c r="G4" s="89">
        <f>ind_beschäftigte_3s!L23</f>
        <v>2752.1591501583289</v>
      </c>
      <c r="I4" s="86" t="s">
        <v>194</v>
      </c>
    </row>
    <row r="5" spans="1:9" x14ac:dyDescent="0.3">
      <c r="A5" s="5">
        <v>2030</v>
      </c>
      <c r="B5" s="86">
        <f>$A$16*A5+$B$16</f>
        <v>11079.659999999989</v>
      </c>
      <c r="C5" s="92">
        <f>dw_extrapol_ew!F62</f>
        <v>21931.35653512954</v>
      </c>
      <c r="D5">
        <f>(B5-B3)/B3</f>
        <v>6.8102492399176026E-2</v>
      </c>
      <c r="E5">
        <f>(C5-C3)/C3</f>
        <v>4.6717367915622837E-2</v>
      </c>
      <c r="F5">
        <f t="shared" si="0"/>
        <v>5.7409930157399432E-2</v>
      </c>
      <c r="G5" s="86">
        <f>G3+G3*F5</f>
        <v>2877.9520348348206</v>
      </c>
      <c r="I5" s="91" t="s">
        <v>245</v>
      </c>
    </row>
    <row r="6" spans="1:9" x14ac:dyDescent="0.3">
      <c r="A6" s="5">
        <v>2040</v>
      </c>
      <c r="B6" s="86">
        <f t="shared" ref="B6:B11" si="1">$A$16*A6+$B$16</f>
        <v>11721.87999999999</v>
      </c>
      <c r="C6" s="92">
        <f>dw_extrapol_ew!G62</f>
        <v>22356.735014390637</v>
      </c>
      <c r="D6">
        <f t="shared" ref="D6:E11" si="2">(B6-B5)/B5</f>
        <v>5.7963872537605106E-2</v>
      </c>
      <c r="E6">
        <f t="shared" si="2"/>
        <v>1.9395903695228683E-2</v>
      </c>
      <c r="F6">
        <f t="shared" si="0"/>
        <v>3.8679888116416893E-2</v>
      </c>
      <c r="G6" s="86">
        <f>G5+G5*F6</f>
        <v>2989.2708975466458</v>
      </c>
    </row>
    <row r="7" spans="1:9" x14ac:dyDescent="0.3">
      <c r="A7" s="5">
        <v>2050</v>
      </c>
      <c r="B7" s="86">
        <f t="shared" si="1"/>
        <v>12364.099999999977</v>
      </c>
      <c r="C7" s="92">
        <f>dw_extrapol_ew!H62</f>
        <v>22477.20049084293</v>
      </c>
      <c r="D7">
        <f t="shared" si="2"/>
        <v>5.4788139786449544E-2</v>
      </c>
      <c r="E7">
        <f t="shared" si="2"/>
        <v>5.3883304684137203E-3</v>
      </c>
      <c r="F7">
        <f t="shared" si="0"/>
        <v>3.0088235127431633E-2</v>
      </c>
      <c r="G7" s="86">
        <f t="shared" ref="G7:G11" si="3">G6+G6*F7</f>
        <v>3079.212783171618</v>
      </c>
    </row>
    <row r="8" spans="1:9" x14ac:dyDescent="0.3">
      <c r="A8" s="5">
        <v>2060</v>
      </c>
      <c r="B8" s="86">
        <f t="shared" si="1"/>
        <v>13006.319999999978</v>
      </c>
      <c r="C8" s="86">
        <f>dw_extrapol_ew!I62</f>
        <v>22800.520000000004</v>
      </c>
      <c r="D8">
        <f t="shared" si="2"/>
        <v>5.1942316868999958E-2</v>
      </c>
      <c r="E8">
        <f t="shared" si="2"/>
        <v>1.4384331771600851E-2</v>
      </c>
      <c r="F8">
        <f t="shared" si="0"/>
        <v>3.3163324320300405E-2</v>
      </c>
      <c r="G8" s="86">
        <f t="shared" si="3"/>
        <v>3181.329715351153</v>
      </c>
    </row>
    <row r="9" spans="1:9" x14ac:dyDescent="0.3">
      <c r="A9" s="5">
        <v>2070</v>
      </c>
      <c r="B9" s="86">
        <f t="shared" si="1"/>
        <v>13648.539999999979</v>
      </c>
      <c r="C9" s="86">
        <f>dw_extrapol_ew!J62</f>
        <v>23073.440000000002</v>
      </c>
      <c r="D9">
        <f t="shared" si="2"/>
        <v>4.9377533383770524E-2</v>
      </c>
      <c r="E9">
        <f t="shared" si="2"/>
        <v>1.1969902440821446E-2</v>
      </c>
      <c r="F9">
        <f t="shared" si="0"/>
        <v>3.0673717912295985E-2</v>
      </c>
      <c r="G9" s="86">
        <f t="shared" si="3"/>
        <v>3278.9129256258393</v>
      </c>
    </row>
    <row r="10" spans="1:9" x14ac:dyDescent="0.3">
      <c r="A10" s="5">
        <v>2080</v>
      </c>
      <c r="B10" s="86">
        <f t="shared" si="1"/>
        <v>14290.75999999998</v>
      </c>
      <c r="C10" s="86">
        <f>dw_extrapol_ew!K62</f>
        <v>23346.36</v>
      </c>
      <c r="D10">
        <f t="shared" si="2"/>
        <v>4.7054117143665343E-2</v>
      </c>
      <c r="E10">
        <f t="shared" si="2"/>
        <v>1.1828318620890435E-2</v>
      </c>
      <c r="F10">
        <f t="shared" si="0"/>
        <v>2.9441217882277888E-2</v>
      </c>
      <c r="G10" s="86">
        <f t="shared" si="3"/>
        <v>3375.4481154862069</v>
      </c>
    </row>
    <row r="11" spans="1:9" x14ac:dyDescent="0.3">
      <c r="A11" s="5">
        <v>2090</v>
      </c>
      <c r="B11" s="86">
        <f t="shared" si="1"/>
        <v>14932.979999999981</v>
      </c>
      <c r="C11" s="86">
        <f>dw_extrapol_ew!L62</f>
        <v>23619.280000000006</v>
      </c>
      <c r="D11">
        <f t="shared" si="2"/>
        <v>4.493952735893697E-2</v>
      </c>
      <c r="E11">
        <f t="shared" si="2"/>
        <v>1.1690045043424566E-2</v>
      </c>
      <c r="F11">
        <f t="shared" si="0"/>
        <v>2.8314786201180768E-2</v>
      </c>
      <c r="G11" s="86">
        <f t="shared" si="3"/>
        <v>3471.0232072093772</v>
      </c>
    </row>
    <row r="15" spans="1:9" x14ac:dyDescent="0.3">
      <c r="A15" t="s">
        <v>180</v>
      </c>
      <c r="B15" t="s">
        <v>181</v>
      </c>
    </row>
    <row r="16" spans="1:9" x14ac:dyDescent="0.3">
      <c r="A16">
        <v>64.221999999999994</v>
      </c>
      <c r="B16">
        <v>-119291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2B71-FA62-456C-AE90-390938DC55F2}">
  <dimension ref="A1:H5"/>
  <sheetViews>
    <sheetView workbookViewId="0">
      <selection activeCell="H5" sqref="H5"/>
    </sheetView>
  </sheetViews>
  <sheetFormatPr baseColWidth="10" defaultRowHeight="15.6" x14ac:dyDescent="0.3"/>
  <cols>
    <col min="1" max="1" width="11.5546875" style="96"/>
    <col min="2" max="2" width="11.5546875" style="94"/>
    <col min="3" max="3" width="11.5546875" style="95"/>
    <col min="4" max="4" width="11.5546875" style="94"/>
    <col min="5" max="5" width="11.5546875" style="95"/>
    <col min="6" max="6" width="11.5546875" style="94"/>
    <col min="7" max="7" width="11.5546875" style="95"/>
    <col min="8" max="16384" width="11.5546875" style="94"/>
  </cols>
  <sheetData>
    <row r="1" spans="1:8" x14ac:dyDescent="0.3">
      <c r="B1" s="94" t="s">
        <v>260</v>
      </c>
      <c r="C1" s="95" t="s">
        <v>259</v>
      </c>
      <c r="D1" s="94" t="s">
        <v>260</v>
      </c>
      <c r="E1" s="95" t="s">
        <v>259</v>
      </c>
      <c r="F1" s="94" t="s">
        <v>260</v>
      </c>
      <c r="G1" s="95" t="s">
        <v>259</v>
      </c>
      <c r="H1" s="94" t="s">
        <v>145</v>
      </c>
    </row>
    <row r="2" spans="1:8" x14ac:dyDescent="0.3">
      <c r="A2" s="99"/>
      <c r="B2" s="119" t="s">
        <v>258</v>
      </c>
      <c r="C2" s="120"/>
      <c r="D2" s="121" t="s">
        <v>231</v>
      </c>
      <c r="E2" s="120"/>
      <c r="F2" s="121" t="s">
        <v>257</v>
      </c>
      <c r="G2" s="120"/>
      <c r="H2" s="108" t="s">
        <v>231</v>
      </c>
    </row>
    <row r="3" spans="1:8" x14ac:dyDescent="0.3">
      <c r="A3" s="96">
        <v>1991</v>
      </c>
      <c r="B3" s="94">
        <v>144325.28311399987</v>
      </c>
      <c r="C3" s="95">
        <v>266349.99115000031</v>
      </c>
      <c r="D3" s="94">
        <f>B3*F$5</f>
        <v>1638.0046478274123</v>
      </c>
      <c r="E3" s="98">
        <f>C3*G$5</f>
        <v>2097.7053221002898</v>
      </c>
      <c r="H3" s="94">
        <f>D3+E3</f>
        <v>3735.7099699277023</v>
      </c>
    </row>
    <row r="4" spans="1:8" x14ac:dyDescent="0.3">
      <c r="A4" s="96">
        <v>2001</v>
      </c>
      <c r="B4" s="94">
        <v>123202.62000000011</v>
      </c>
      <c r="C4" s="95">
        <v>272168.65999999997</v>
      </c>
      <c r="D4" s="94">
        <f>B4*F$5</f>
        <v>1398.2752005073949</v>
      </c>
      <c r="E4" s="95">
        <f>C4*G$5</f>
        <v>2143.5316897359075</v>
      </c>
      <c r="H4" s="94">
        <f>D4+E4</f>
        <v>3541.8068902433024</v>
      </c>
    </row>
    <row r="5" spans="1:8" x14ac:dyDescent="0.3">
      <c r="A5" s="97">
        <v>2011</v>
      </c>
      <c r="B5" s="94">
        <v>119303</v>
      </c>
      <c r="C5" s="95">
        <v>324272</v>
      </c>
      <c r="D5" s="94">
        <v>1354.0168727429138</v>
      </c>
      <c r="E5" s="95">
        <v>2553.8844483198113</v>
      </c>
      <c r="F5" s="94">
        <f>D5/B5</f>
        <v>1.1349395008867454E-2</v>
      </c>
      <c r="G5" s="95">
        <f>E5/C5</f>
        <v>7.8757476696101145E-3</v>
      </c>
      <c r="H5" s="94">
        <f>D5+E5</f>
        <v>3907.9013210627254</v>
      </c>
    </row>
  </sheetData>
  <mergeCells count="3">
    <mergeCell ref="B2:C2"/>
    <mergeCell ref="D2:E2"/>
    <mergeCell ref="F2:G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A910-2BA2-4FC1-8897-765DD2260C8F}">
  <dimension ref="A1:L21"/>
  <sheetViews>
    <sheetView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baseColWidth="10" defaultRowHeight="14.4" x14ac:dyDescent="0.3"/>
  <cols>
    <col min="1" max="1" width="14.88671875" customWidth="1"/>
    <col min="2" max="2" width="20.77734375" customWidth="1"/>
    <col min="3" max="3" width="20.77734375" style="5" customWidth="1"/>
    <col min="4" max="6" width="20.77734375" customWidth="1"/>
    <col min="7" max="7" width="16" customWidth="1"/>
    <col min="8" max="9" width="20.77734375" style="8" customWidth="1"/>
    <col min="11" max="11" width="36.109375" customWidth="1"/>
    <col min="12" max="12" width="11.5546875" style="8"/>
  </cols>
  <sheetData>
    <row r="1" spans="1:12" x14ac:dyDescent="0.3">
      <c r="A1" s="4" t="s">
        <v>234</v>
      </c>
      <c r="B1" s="4" t="s">
        <v>264</v>
      </c>
      <c r="C1" s="106" t="s">
        <v>265</v>
      </c>
      <c r="D1" s="4" t="s">
        <v>266</v>
      </c>
      <c r="E1" s="4" t="s">
        <v>267</v>
      </c>
      <c r="F1" s="4" t="s">
        <v>274</v>
      </c>
      <c r="G1" s="2" t="s">
        <v>289</v>
      </c>
      <c r="H1" s="24" t="s">
        <v>281</v>
      </c>
      <c r="I1" s="24" t="s">
        <v>282</v>
      </c>
    </row>
    <row r="2" spans="1:12" x14ac:dyDescent="0.3">
      <c r="A2" s="82">
        <v>1990</v>
      </c>
      <c r="C2" s="5">
        <f>dw_water_need!B2</f>
        <v>17147.164222063737</v>
      </c>
      <c r="F2" s="112">
        <f>H2+I2</f>
        <v>3735.7099699277023</v>
      </c>
      <c r="G2" s="8">
        <f>H2/(H2+I2)</f>
        <v>0.43847211400597913</v>
      </c>
      <c r="H2" s="112">
        <f>ind_alte_Zahlen_AP!D3</f>
        <v>1638.0046478274123</v>
      </c>
      <c r="I2" s="112">
        <f>ind_alte_Zahlen_AP!E3</f>
        <v>2097.7053221002898</v>
      </c>
      <c r="K2" t="s">
        <v>270</v>
      </c>
      <c r="L2" s="8">
        <f>ind_beschäftigte_2s!J23</f>
        <v>1354.0168727429138</v>
      </c>
    </row>
    <row r="3" spans="1:12" x14ac:dyDescent="0.3">
      <c r="A3" s="82">
        <v>2000</v>
      </c>
      <c r="B3" s="8"/>
      <c r="C3" s="5">
        <f>(C2+C4)/2</f>
        <v>18460.67470436222</v>
      </c>
      <c r="F3" s="112">
        <f t="shared" ref="F3:F5" si="0">H3+I3</f>
        <v>3541.8068902433024</v>
      </c>
      <c r="G3" s="8">
        <f t="shared" ref="G3:G5" si="1">H3/(H3+I3)</f>
        <v>0.39479148464001695</v>
      </c>
      <c r="H3" s="112">
        <f>ind_alte_Zahlen_AP!D4</f>
        <v>1398.2752005073949</v>
      </c>
      <c r="I3" s="112">
        <f>ind_alte_Zahlen_AP!E4</f>
        <v>2143.5316897359075</v>
      </c>
      <c r="K3" t="s">
        <v>271</v>
      </c>
      <c r="L3" s="8">
        <f>ind_beschäftigte_3s!J23</f>
        <v>2553.8844483198113</v>
      </c>
    </row>
    <row r="4" spans="1:12" x14ac:dyDescent="0.3">
      <c r="A4" s="82">
        <v>2010</v>
      </c>
      <c r="B4" s="8">
        <f>'Anzahl Beschäftigte'!J23</f>
        <v>14048</v>
      </c>
      <c r="C4" s="5">
        <f>dw_water_need!B3</f>
        <v>19774.185186660703</v>
      </c>
      <c r="D4" s="105">
        <v>613195</v>
      </c>
      <c r="F4" s="110">
        <f t="shared" si="0"/>
        <v>3907.9013210627254</v>
      </c>
      <c r="G4" s="8">
        <f t="shared" si="1"/>
        <v>0.3464818483120497</v>
      </c>
      <c r="H4" s="110">
        <f>ind_beschäftigte_2s!J23</f>
        <v>1354.0168727429138</v>
      </c>
      <c r="I4" s="110">
        <f>ind_beschäftigte_3s!J23</f>
        <v>2553.8844483198113</v>
      </c>
      <c r="K4" t="s">
        <v>272</v>
      </c>
      <c r="L4" s="8">
        <f>ROUND(L2/(L3+L2),2)</f>
        <v>0.35</v>
      </c>
    </row>
    <row r="5" spans="1:12" x14ac:dyDescent="0.3">
      <c r="A5" s="82">
        <v>2020</v>
      </c>
      <c r="B5" s="8">
        <f>'Anzahl Beschäftigte'!K23</f>
        <v>14671</v>
      </c>
      <c r="C5" s="5">
        <v>20952.510398105336</v>
      </c>
      <c r="D5" s="84">
        <v>643027</v>
      </c>
      <c r="E5" s="107">
        <v>1039474</v>
      </c>
      <c r="F5" s="110">
        <f t="shared" si="0"/>
        <v>3997.3877967974759</v>
      </c>
      <c r="G5" s="8">
        <f t="shared" si="1"/>
        <v>0.31151059390253982</v>
      </c>
      <c r="H5" s="110">
        <f>ind_beschäftigte_2s!L23</f>
        <v>1245.228646639147</v>
      </c>
      <c r="I5" s="110">
        <f>ind_beschäftigte_3s!L23</f>
        <v>2752.1591501583289</v>
      </c>
    </row>
    <row r="6" spans="1:12" x14ac:dyDescent="0.3">
      <c r="A6" s="82">
        <v>2030</v>
      </c>
      <c r="C6" s="5">
        <f>dw_water_need!B4</f>
        <v>21931.35653512954</v>
      </c>
      <c r="E6" s="107">
        <v>1107954</v>
      </c>
      <c r="F6">
        <f>(F5+F7)/2</f>
        <v>3999.1806733325129</v>
      </c>
      <c r="G6" s="8">
        <f>0.27</f>
        <v>0.27</v>
      </c>
      <c r="H6" s="8">
        <f>F6*G6</f>
        <v>1079.7787817997785</v>
      </c>
      <c r="I6" s="8">
        <f>F6-H6</f>
        <v>2919.4018915327342</v>
      </c>
      <c r="K6" t="s">
        <v>268</v>
      </c>
      <c r="L6" s="8">
        <f>ind_beschäftigte_2s!L23</f>
        <v>1245.228646639147</v>
      </c>
    </row>
    <row r="7" spans="1:12" x14ac:dyDescent="0.3">
      <c r="A7" s="82">
        <v>2040</v>
      </c>
      <c r="C7" s="5">
        <f>(C6+C8)/2</f>
        <v>22204.278512986235</v>
      </c>
      <c r="E7" s="107">
        <v>1140918</v>
      </c>
      <c r="F7">
        <f>F5+(F5*L19*L18)</f>
        <v>4000.9735498675495</v>
      </c>
      <c r="G7">
        <v>0.25</v>
      </c>
      <c r="H7" s="8">
        <f t="shared" ref="H7:H12" si="2">F7*G7</f>
        <v>1000.2433874668874</v>
      </c>
      <c r="I7" s="8">
        <f t="shared" ref="I7:I11" si="3">F7-H7</f>
        <v>3000.7301624006623</v>
      </c>
      <c r="K7" t="s">
        <v>269</v>
      </c>
      <c r="L7" s="8">
        <f>ind_beschäftigte_3s!L23</f>
        <v>2752.1591501583289</v>
      </c>
    </row>
    <row r="8" spans="1:12" x14ac:dyDescent="0.3">
      <c r="A8" s="82">
        <v>2050</v>
      </c>
      <c r="C8" s="5">
        <f>dw_water_need!B5</f>
        <v>22477.20049084293</v>
      </c>
      <c r="F8">
        <f>0.1793*A8+3635</f>
        <v>4002.5650000000001</v>
      </c>
      <c r="G8">
        <v>0.25</v>
      </c>
      <c r="H8" s="8">
        <f t="shared" si="2"/>
        <v>1000.64125</v>
      </c>
      <c r="I8" s="8">
        <f t="shared" si="3"/>
        <v>3001.9237499999999</v>
      </c>
      <c r="K8" t="s">
        <v>261</v>
      </c>
      <c r="L8" s="8">
        <f>ROUND(L6/(L7+L6),2)</f>
        <v>0.31</v>
      </c>
    </row>
    <row r="9" spans="1:12" x14ac:dyDescent="0.3">
      <c r="A9" s="82">
        <v>2060</v>
      </c>
      <c r="C9" s="5">
        <f>(C8+C10)/2</f>
        <v>22775.320245421466</v>
      </c>
      <c r="F9">
        <f t="shared" ref="F9:F12" si="4">0.1793*A9+3635</f>
        <v>4004.3580000000002</v>
      </c>
      <c r="G9">
        <v>0.25</v>
      </c>
      <c r="H9" s="8">
        <f t="shared" si="2"/>
        <v>1001.0895</v>
      </c>
      <c r="I9" s="8">
        <f t="shared" si="3"/>
        <v>3003.2685000000001</v>
      </c>
    </row>
    <row r="10" spans="1:12" x14ac:dyDescent="0.3">
      <c r="A10" s="82">
        <v>2070</v>
      </c>
      <c r="C10" s="5">
        <f>dw_water_need!B6</f>
        <v>23073.440000000002</v>
      </c>
      <c r="F10">
        <f t="shared" si="4"/>
        <v>4006.1509999999998</v>
      </c>
      <c r="G10">
        <v>0.25</v>
      </c>
      <c r="H10" s="8">
        <f t="shared" si="2"/>
        <v>1001.53775</v>
      </c>
      <c r="I10" s="8">
        <f t="shared" si="3"/>
        <v>3004.6132499999999</v>
      </c>
      <c r="K10" t="s">
        <v>277</v>
      </c>
      <c r="L10" s="8">
        <f>B5-B4</f>
        <v>623</v>
      </c>
    </row>
    <row r="11" spans="1:12" x14ac:dyDescent="0.3">
      <c r="A11" s="82">
        <v>2080</v>
      </c>
      <c r="C11" s="5">
        <f>(C10+C12)/2</f>
        <v>23346.360000000004</v>
      </c>
      <c r="F11">
        <f t="shared" si="4"/>
        <v>4007.944</v>
      </c>
      <c r="G11">
        <v>0.25</v>
      </c>
      <c r="H11" s="8">
        <f t="shared" si="2"/>
        <v>1001.986</v>
      </c>
      <c r="I11" s="8">
        <f t="shared" si="3"/>
        <v>3005.9580000000001</v>
      </c>
      <c r="K11" t="s">
        <v>278</v>
      </c>
      <c r="L11" s="8">
        <f>D5-D4</f>
        <v>29832</v>
      </c>
    </row>
    <row r="12" spans="1:12" x14ac:dyDescent="0.3">
      <c r="A12" s="82">
        <v>2090</v>
      </c>
      <c r="C12" s="5">
        <f>dw_water_need!B7</f>
        <v>23619.280000000006</v>
      </c>
      <c r="F12">
        <f t="shared" si="4"/>
        <v>4009.7370000000001</v>
      </c>
      <c r="G12">
        <v>0.25</v>
      </c>
      <c r="H12" s="8">
        <f t="shared" si="2"/>
        <v>1002.43425</v>
      </c>
      <c r="I12" s="8">
        <f>F12-H12</f>
        <v>3007.3027499999998</v>
      </c>
      <c r="K12" t="s">
        <v>262</v>
      </c>
      <c r="L12" s="8">
        <f>L10/L11</f>
        <v>2.0883614910163582E-2</v>
      </c>
    </row>
    <row r="14" spans="1:12" x14ac:dyDescent="0.3">
      <c r="K14" t="s">
        <v>279</v>
      </c>
      <c r="L14" s="8">
        <f>C7-C5</f>
        <v>1251.7681148808988</v>
      </c>
    </row>
    <row r="15" spans="1:12" x14ac:dyDescent="0.3">
      <c r="A15" t="s">
        <v>275</v>
      </c>
      <c r="K15" t="s">
        <v>280</v>
      </c>
      <c r="L15" s="8">
        <f>E7-E5</f>
        <v>101444</v>
      </c>
    </row>
    <row r="16" spans="1:12" x14ac:dyDescent="0.3">
      <c r="A16" s="105" t="s">
        <v>276</v>
      </c>
      <c r="K16" t="s">
        <v>263</v>
      </c>
      <c r="L16" s="8">
        <f>L14/L15</f>
        <v>1.233949878633432E-2</v>
      </c>
    </row>
    <row r="17" spans="1:12" x14ac:dyDescent="0.3">
      <c r="A17" s="107" t="s">
        <v>283</v>
      </c>
    </row>
    <row r="18" spans="1:12" x14ac:dyDescent="0.3">
      <c r="A18" s="109" t="s">
        <v>284</v>
      </c>
      <c r="K18" t="s">
        <v>286</v>
      </c>
      <c r="L18" s="8">
        <f>(L12+L16)/2</f>
        <v>1.661155684824895E-2</v>
      </c>
    </row>
    <row r="19" spans="1:12" x14ac:dyDescent="0.3">
      <c r="A19" s="111" t="s">
        <v>285</v>
      </c>
      <c r="K19" t="s">
        <v>288</v>
      </c>
      <c r="L19" s="8">
        <v>5.3999999999999999E-2</v>
      </c>
    </row>
    <row r="21" spans="1:12" x14ac:dyDescent="0.3">
      <c r="A21" t="s">
        <v>287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AC29-5C2B-4B92-953A-6276CF6013BA}">
  <sheetPr>
    <tabColor theme="0"/>
  </sheetPr>
  <dimension ref="A1:H28"/>
  <sheetViews>
    <sheetView tabSelected="1" workbookViewId="0">
      <selection activeCell="D22" sqref="D22"/>
    </sheetView>
  </sheetViews>
  <sheetFormatPr baseColWidth="10" defaultRowHeight="14.4" x14ac:dyDescent="0.3"/>
  <cols>
    <col min="2" max="2" width="14.6640625" customWidth="1"/>
    <col min="3" max="3" width="13.33203125" customWidth="1"/>
    <col min="4" max="4" width="16.77734375" customWidth="1"/>
    <col min="5" max="5" width="17.88671875" customWidth="1"/>
    <col min="6" max="6" width="23.6640625" customWidth="1"/>
    <col min="7" max="7" width="24.5546875" customWidth="1"/>
  </cols>
  <sheetData>
    <row r="1" spans="1:8" x14ac:dyDescent="0.3">
      <c r="A1" s="93" t="s">
        <v>182</v>
      </c>
      <c r="B1" s="93" t="s">
        <v>247</v>
      </c>
      <c r="C1" s="93" t="s">
        <v>246</v>
      </c>
      <c r="D1" s="93" t="s">
        <v>248</v>
      </c>
      <c r="E1" s="93" t="s">
        <v>249</v>
      </c>
      <c r="F1" s="93" t="s">
        <v>250</v>
      </c>
      <c r="G1" s="93" t="s">
        <v>251</v>
      </c>
    </row>
    <row r="2" spans="1:8" x14ac:dyDescent="0.3">
      <c r="A2">
        <v>1990</v>
      </c>
      <c r="B2" s="9">
        <f>ind_alte_Zahlen_AP!D3</f>
        <v>1638.0046478274123</v>
      </c>
      <c r="C2" s="9">
        <f>ind_alte_Zahlen_AP!E3</f>
        <v>2097.7053221002898</v>
      </c>
      <c r="D2">
        <v>148</v>
      </c>
      <c r="E2">
        <v>85</v>
      </c>
      <c r="F2">
        <f>(D2*1000)/(116000000*12)*B2</f>
        <v>0.1741556665793513</v>
      </c>
      <c r="G2">
        <f>(E2*1000)/(116000000*12)*C2</f>
        <v>0.1280926382029631</v>
      </c>
      <c r="H2">
        <f>F2+G2</f>
        <v>0.3022483047823144</v>
      </c>
    </row>
    <row r="3" spans="1:8" x14ac:dyDescent="0.3">
      <c r="A3">
        <v>2000</v>
      </c>
      <c r="B3" s="9">
        <f>ind_alte_Zahlen_AP!D4</f>
        <v>1398.2752005073949</v>
      </c>
      <c r="C3" s="9">
        <f>ind_alte_Zahlen_AP!E4</f>
        <v>2143.5316897359075</v>
      </c>
      <c r="D3">
        <v>148</v>
      </c>
      <c r="E3">
        <v>85</v>
      </c>
      <c r="F3">
        <f t="shared" ref="F3:F13" si="0">(D3*1000)/(116000000*12)*B3</f>
        <v>0.14866719085854485</v>
      </c>
      <c r="G3">
        <f t="shared" ref="G3:G13" si="1">(E3*1000)/(116000000*12)*C3</f>
        <v>0.13089094369795412</v>
      </c>
      <c r="H3">
        <f t="shared" ref="H3:H13" si="2">F3+G3</f>
        <v>0.27955813455649897</v>
      </c>
    </row>
    <row r="4" spans="1:8" x14ac:dyDescent="0.3">
      <c r="A4">
        <v>2010</v>
      </c>
      <c r="B4" s="9">
        <f>ALT_ind_extrapol_2s!G2</f>
        <v>1354.0168727429138</v>
      </c>
      <c r="C4" s="9">
        <f>ALT_ind_extrapol_3s!G2</f>
        <v>2553.8844483198113</v>
      </c>
      <c r="D4">
        <v>148</v>
      </c>
      <c r="E4">
        <v>85</v>
      </c>
      <c r="F4">
        <f t="shared" si="0"/>
        <v>0.14396156405599944</v>
      </c>
      <c r="G4">
        <f t="shared" si="1"/>
        <v>0.15594840381263214</v>
      </c>
      <c r="H4">
        <f t="shared" si="2"/>
        <v>0.29990996786863156</v>
      </c>
    </row>
    <row r="5" spans="1:8" x14ac:dyDescent="0.3">
      <c r="A5">
        <v>2020</v>
      </c>
      <c r="B5" s="9">
        <f>ALT_ind_extrapol_2s!G4</f>
        <v>1246.0780000000004</v>
      </c>
      <c r="C5" s="9">
        <f>ALT_ind_extrapol_3s!G4</f>
        <v>2752.1591501583289</v>
      </c>
      <c r="D5">
        <v>148</v>
      </c>
      <c r="E5">
        <v>85</v>
      </c>
      <c r="F5">
        <f t="shared" si="0"/>
        <v>0.13248530459770119</v>
      </c>
      <c r="G5">
        <f t="shared" si="1"/>
        <v>0.16805569523236921</v>
      </c>
      <c r="H5">
        <f t="shared" si="2"/>
        <v>0.30054099983007043</v>
      </c>
    </row>
    <row r="6" spans="1:8" x14ac:dyDescent="0.3">
      <c r="A6">
        <v>2030</v>
      </c>
      <c r="B6" s="9">
        <f>ALT_ind_extrapol_2s!G5</f>
        <v>1279.9031777678531</v>
      </c>
      <c r="C6" s="9">
        <f>ALT_ind_extrapol_3s!G5</f>
        <v>2877.9520348348206</v>
      </c>
      <c r="D6">
        <v>148</v>
      </c>
      <c r="E6">
        <v>85</v>
      </c>
      <c r="F6">
        <f t="shared" si="0"/>
        <v>0.13608165970520275</v>
      </c>
      <c r="G6">
        <f t="shared" si="1"/>
        <v>0.17573701362137911</v>
      </c>
      <c r="H6">
        <f t="shared" si="2"/>
        <v>0.31181867332658186</v>
      </c>
    </row>
    <row r="7" spans="1:8" x14ac:dyDescent="0.3">
      <c r="A7">
        <v>2040</v>
      </c>
      <c r="B7" s="9">
        <f>ALT_ind_extrapol_2s!G6</f>
        <v>1299.7864505535856</v>
      </c>
      <c r="C7" s="9">
        <f>ALT_ind_extrapol_3s!G6</f>
        <v>2989.2708975466458</v>
      </c>
      <c r="D7">
        <v>148</v>
      </c>
      <c r="E7">
        <v>85</v>
      </c>
      <c r="F7">
        <f t="shared" si="0"/>
        <v>0.13819568583472031</v>
      </c>
      <c r="G7">
        <f t="shared" si="1"/>
        <v>0.1825345016461673</v>
      </c>
      <c r="H7">
        <f t="shared" si="2"/>
        <v>0.32073018748088761</v>
      </c>
    </row>
    <row r="8" spans="1:8" x14ac:dyDescent="0.3">
      <c r="A8">
        <v>2050</v>
      </c>
      <c r="B8" s="9">
        <f>ALT_ind_extrapol_2s!G7</f>
        <v>1310.7876348772045</v>
      </c>
      <c r="C8" s="9">
        <f>ALT_ind_extrapol_3s!G7</f>
        <v>3079.212783171618</v>
      </c>
      <c r="D8">
        <v>148</v>
      </c>
      <c r="E8">
        <v>85</v>
      </c>
      <c r="F8">
        <f t="shared" si="0"/>
        <v>0.13936535198407057</v>
      </c>
      <c r="G8">
        <f t="shared" si="1"/>
        <v>0.18802664265056573</v>
      </c>
      <c r="H8">
        <f t="shared" si="2"/>
        <v>0.32739199463463631</v>
      </c>
    </row>
    <row r="9" spans="1:8" x14ac:dyDescent="0.3">
      <c r="A9">
        <v>2060</v>
      </c>
      <c r="B9" s="9">
        <f>ALT_ind_extrapol_2s!G8</f>
        <v>1327.6915806506131</v>
      </c>
      <c r="C9" s="9">
        <f>ALT_ind_extrapol_3s!G8</f>
        <v>3181.329715351153</v>
      </c>
      <c r="D9">
        <v>148</v>
      </c>
      <c r="E9">
        <v>85</v>
      </c>
      <c r="F9">
        <f t="shared" si="0"/>
        <v>0.14116261058641574</v>
      </c>
      <c r="G9">
        <f t="shared" si="1"/>
        <v>0.19426223118164368</v>
      </c>
      <c r="H9">
        <f t="shared" si="2"/>
        <v>0.33542484176805942</v>
      </c>
    </row>
    <row r="10" spans="1:8" x14ac:dyDescent="0.3">
      <c r="A10">
        <v>2070</v>
      </c>
      <c r="B10" s="9">
        <f>ALT_ind_extrapol_2s!G9</f>
        <v>1343.125295567562</v>
      </c>
      <c r="C10" s="9">
        <f>ALT_ind_extrapol_3s!G9</f>
        <v>3278.9129256258393</v>
      </c>
      <c r="D10">
        <v>148</v>
      </c>
      <c r="E10">
        <v>85</v>
      </c>
      <c r="F10">
        <f t="shared" si="0"/>
        <v>0.14280355154022928</v>
      </c>
      <c r="G10">
        <f t="shared" si="1"/>
        <v>0.20022097606192266</v>
      </c>
      <c r="H10">
        <f t="shared" si="2"/>
        <v>0.34302452760215196</v>
      </c>
    </row>
    <row r="11" spans="1:8" x14ac:dyDescent="0.3">
      <c r="A11">
        <v>2080</v>
      </c>
      <c r="B11" s="9">
        <f>ALT_ind_extrapol_2s!G10</f>
        <v>1358.5588556822411</v>
      </c>
      <c r="C11" s="9">
        <f>ALT_ind_extrapol_3s!G10</f>
        <v>3375.4481154862069</v>
      </c>
      <c r="D11">
        <v>148</v>
      </c>
      <c r="E11">
        <v>85</v>
      </c>
      <c r="F11">
        <f t="shared" si="0"/>
        <v>0.14444447603518079</v>
      </c>
      <c r="G11">
        <f t="shared" si="1"/>
        <v>0.20611572544276405</v>
      </c>
      <c r="H11">
        <f t="shared" si="2"/>
        <v>0.35056020147794487</v>
      </c>
    </row>
    <row r="12" spans="1:8" x14ac:dyDescent="0.3">
      <c r="A12">
        <v>2090</v>
      </c>
      <c r="B12" s="9">
        <f>ALT_ind_extrapol_2s!G11</f>
        <v>1373.9922662304525</v>
      </c>
      <c r="C12" s="9">
        <f>ALT_ind_extrapol_3s!G11</f>
        <v>3471.0232072093772</v>
      </c>
      <c r="D12">
        <v>148</v>
      </c>
      <c r="E12">
        <v>85</v>
      </c>
      <c r="F12">
        <f t="shared" si="0"/>
        <v>0.1460853846279504</v>
      </c>
      <c r="G12">
        <f t="shared" si="1"/>
        <v>0.21195184814137719</v>
      </c>
      <c r="H12">
        <f t="shared" si="2"/>
        <v>0.35803723276932758</v>
      </c>
    </row>
    <row r="13" spans="1:8" x14ac:dyDescent="0.3">
      <c r="A13">
        <v>2100</v>
      </c>
      <c r="D13">
        <v>148</v>
      </c>
      <c r="E13">
        <v>85</v>
      </c>
      <c r="F13">
        <f t="shared" si="0"/>
        <v>0</v>
      </c>
      <c r="G13">
        <f t="shared" si="1"/>
        <v>0</v>
      </c>
      <c r="H13">
        <f t="shared" si="2"/>
        <v>0</v>
      </c>
    </row>
    <row r="16" spans="1:8" x14ac:dyDescent="0.3">
      <c r="B16" t="s">
        <v>291</v>
      </c>
    </row>
    <row r="17" spans="2:4" x14ac:dyDescent="0.3">
      <c r="B17" t="s">
        <v>292</v>
      </c>
      <c r="C17" s="9">
        <f>AVERAGE(B2:B4)</f>
        <v>1463.4322403592403</v>
      </c>
      <c r="D17" s="9">
        <f>AVERAGE(C2:C4)</f>
        <v>2265.0404867186699</v>
      </c>
    </row>
    <row r="18" spans="2:4" x14ac:dyDescent="0.3">
      <c r="B18" t="s">
        <v>293</v>
      </c>
      <c r="C18" s="9">
        <f>AVERAGE(B6:B8)</f>
        <v>1296.8257543995478</v>
      </c>
      <c r="D18" s="9">
        <f>AVERAGE(C6:C8)</f>
        <v>2982.1452385176949</v>
      </c>
    </row>
    <row r="19" spans="2:4" x14ac:dyDescent="0.3">
      <c r="B19" t="s">
        <v>294</v>
      </c>
      <c r="C19" s="9">
        <f>AVERAGE(B8:B9)</f>
        <v>1319.2396077639087</v>
      </c>
      <c r="D19" s="9">
        <f>AVERAGE(C8:C9)</f>
        <v>3130.2712492613855</v>
      </c>
    </row>
    <row r="28" spans="2:4" x14ac:dyDescent="0.3">
      <c r="B28">
        <f>B7/B5-1</f>
        <v>4.3101997269500814E-2</v>
      </c>
      <c r="C28">
        <f>C7/C5-1</f>
        <v>8.6154809533698584E-2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CF7B-7F6F-48F5-8B07-49CE1359C3E4}">
  <sheetPr>
    <tabColor theme="0"/>
  </sheetPr>
  <dimension ref="A1:H13"/>
  <sheetViews>
    <sheetView workbookViewId="0">
      <selection activeCell="H22" sqref="H22"/>
    </sheetView>
  </sheetViews>
  <sheetFormatPr baseColWidth="10" defaultRowHeight="14.4" x14ac:dyDescent="0.3"/>
  <cols>
    <col min="2" max="2" width="14.6640625" customWidth="1"/>
    <col min="3" max="3" width="13.33203125" customWidth="1"/>
    <col min="4" max="4" width="16.77734375" customWidth="1"/>
    <col min="5" max="5" width="17.88671875" customWidth="1"/>
    <col min="6" max="6" width="23.6640625" customWidth="1"/>
    <col min="7" max="7" width="24.5546875" customWidth="1"/>
  </cols>
  <sheetData>
    <row r="1" spans="1:8" x14ac:dyDescent="0.3">
      <c r="A1" s="93" t="s">
        <v>182</v>
      </c>
      <c r="B1" s="93" t="s">
        <v>247</v>
      </c>
      <c r="C1" s="93" t="s">
        <v>246</v>
      </c>
      <c r="D1" s="93" t="s">
        <v>248</v>
      </c>
      <c r="E1" s="93" t="s">
        <v>249</v>
      </c>
      <c r="F1" s="93" t="s">
        <v>250</v>
      </c>
      <c r="G1" s="93" t="s">
        <v>251</v>
      </c>
      <c r="H1" s="26" t="s">
        <v>290</v>
      </c>
    </row>
    <row r="2" spans="1:8" x14ac:dyDescent="0.3">
      <c r="A2">
        <v>1990</v>
      </c>
      <c r="B2" s="9" cm="1">
        <f t="array" ref="B2:B12">ind_meth_vrtic!H2:H12</f>
        <v>1638.0046478274123</v>
      </c>
      <c r="C2" s="9" cm="1">
        <f t="array" ref="C2:C12">ind_meth_vrtic!I2:I12</f>
        <v>2097.7053221002898</v>
      </c>
      <c r="D2">
        <v>148</v>
      </c>
      <c r="E2">
        <v>85</v>
      </c>
      <c r="F2">
        <f>(D2*1000)/(116000000*12)*B2</f>
        <v>0.1741556665793513</v>
      </c>
      <c r="G2">
        <f>(E2*1000)/(116000000*12)*C2</f>
        <v>0.1280926382029631</v>
      </c>
      <c r="H2">
        <f>F2+G2</f>
        <v>0.3022483047823144</v>
      </c>
    </row>
    <row r="3" spans="1:8" x14ac:dyDescent="0.3">
      <c r="A3">
        <v>2000</v>
      </c>
      <c r="B3" s="9">
        <v>1398.2752005073949</v>
      </c>
      <c r="C3" s="9">
        <v>2143.5316897359075</v>
      </c>
      <c r="D3">
        <v>148</v>
      </c>
      <c r="E3">
        <v>85</v>
      </c>
      <c r="F3">
        <f t="shared" ref="F3:G13" si="0">(D3*1000)/(116000000*12)*B3</f>
        <v>0.14866719085854485</v>
      </c>
      <c r="G3">
        <f t="shared" si="0"/>
        <v>0.13089094369795412</v>
      </c>
      <c r="H3">
        <f t="shared" ref="H3:H13" si="1">F3+G3</f>
        <v>0.27955813455649897</v>
      </c>
    </row>
    <row r="4" spans="1:8" x14ac:dyDescent="0.3">
      <c r="A4">
        <v>2010</v>
      </c>
      <c r="B4" s="9">
        <v>1354.0168727429138</v>
      </c>
      <c r="C4" s="9">
        <v>2553.8844483198113</v>
      </c>
      <c r="D4">
        <v>148</v>
      </c>
      <c r="E4">
        <v>85</v>
      </c>
      <c r="F4">
        <f t="shared" si="0"/>
        <v>0.14396156405599944</v>
      </c>
      <c r="G4">
        <f t="shared" si="0"/>
        <v>0.15594840381263214</v>
      </c>
      <c r="H4">
        <f t="shared" si="1"/>
        <v>0.29990996786863156</v>
      </c>
    </row>
    <row r="5" spans="1:8" x14ac:dyDescent="0.3">
      <c r="A5">
        <v>2020</v>
      </c>
      <c r="B5" s="9">
        <v>1245.228646639147</v>
      </c>
      <c r="C5" s="9">
        <v>2752.1591501583289</v>
      </c>
      <c r="D5">
        <v>148</v>
      </c>
      <c r="E5">
        <v>85</v>
      </c>
      <c r="F5">
        <f t="shared" si="0"/>
        <v>0.13239499978634608</v>
      </c>
      <c r="G5">
        <f t="shared" si="0"/>
        <v>0.16805569523236921</v>
      </c>
      <c r="H5">
        <f t="shared" si="1"/>
        <v>0.3004506950187153</v>
      </c>
    </row>
    <row r="6" spans="1:8" x14ac:dyDescent="0.3">
      <c r="A6">
        <v>2030</v>
      </c>
      <c r="B6" s="9">
        <v>1079.7787817997785</v>
      </c>
      <c r="C6" s="9">
        <v>2919.4018915327342</v>
      </c>
      <c r="D6">
        <v>148</v>
      </c>
      <c r="E6">
        <v>85</v>
      </c>
      <c r="F6">
        <f t="shared" si="0"/>
        <v>0.11480406588101093</v>
      </c>
      <c r="G6">
        <f t="shared" si="0"/>
        <v>0.17826807527319138</v>
      </c>
      <c r="H6">
        <f t="shared" si="1"/>
        <v>0.29307214115420233</v>
      </c>
    </row>
    <row r="7" spans="1:8" x14ac:dyDescent="0.3">
      <c r="A7">
        <v>2040</v>
      </c>
      <c r="B7" s="9">
        <v>1000.2433874668874</v>
      </c>
      <c r="C7" s="9">
        <v>3000.7301624006623</v>
      </c>
      <c r="D7">
        <v>148</v>
      </c>
      <c r="E7">
        <v>85</v>
      </c>
      <c r="F7">
        <f t="shared" si="0"/>
        <v>0.10634771648354836</v>
      </c>
      <c r="G7">
        <f t="shared" si="0"/>
        <v>0.18323424123854617</v>
      </c>
      <c r="H7">
        <f t="shared" si="1"/>
        <v>0.28958195772209455</v>
      </c>
    </row>
    <row r="8" spans="1:8" x14ac:dyDescent="0.3">
      <c r="A8">
        <v>2050</v>
      </c>
      <c r="B8" s="9">
        <v>1000.64125</v>
      </c>
      <c r="C8" s="9">
        <v>3001.9237499999999</v>
      </c>
      <c r="D8">
        <v>148</v>
      </c>
      <c r="E8">
        <v>85</v>
      </c>
      <c r="F8">
        <f t="shared" si="0"/>
        <v>0.10639001795977011</v>
      </c>
      <c r="G8">
        <f t="shared" si="0"/>
        <v>0.18330712553879308</v>
      </c>
      <c r="H8">
        <f t="shared" si="1"/>
        <v>0.28969714349856318</v>
      </c>
    </row>
    <row r="9" spans="1:8" x14ac:dyDescent="0.3">
      <c r="A9">
        <v>2060</v>
      </c>
      <c r="B9" s="9">
        <v>1001.0895</v>
      </c>
      <c r="C9" s="9">
        <v>3003.2685000000001</v>
      </c>
      <c r="D9">
        <v>148</v>
      </c>
      <c r="E9">
        <v>85</v>
      </c>
      <c r="F9">
        <f t="shared" si="0"/>
        <v>0.10643767672413793</v>
      </c>
      <c r="G9">
        <f t="shared" si="0"/>
        <v>0.18338924030172413</v>
      </c>
      <c r="H9">
        <f t="shared" si="1"/>
        <v>0.28982691702586205</v>
      </c>
    </row>
    <row r="10" spans="1:8" x14ac:dyDescent="0.3">
      <c r="A10">
        <v>2070</v>
      </c>
      <c r="B10" s="9">
        <v>1001.53775</v>
      </c>
      <c r="C10" s="9">
        <v>3004.6132499999999</v>
      </c>
      <c r="D10">
        <v>148</v>
      </c>
      <c r="E10">
        <v>85</v>
      </c>
      <c r="F10">
        <f t="shared" si="0"/>
        <v>0.10648533548850574</v>
      </c>
      <c r="G10">
        <f t="shared" si="0"/>
        <v>0.18347135506465514</v>
      </c>
      <c r="H10">
        <f t="shared" si="1"/>
        <v>0.28995669055316087</v>
      </c>
    </row>
    <row r="11" spans="1:8" x14ac:dyDescent="0.3">
      <c r="A11">
        <v>2080</v>
      </c>
      <c r="B11" s="9">
        <v>1001.986</v>
      </c>
      <c r="C11" s="9">
        <v>3005.9580000000001</v>
      </c>
      <c r="D11">
        <v>148</v>
      </c>
      <c r="E11">
        <v>85</v>
      </c>
      <c r="F11">
        <f t="shared" si="0"/>
        <v>0.10653299425287356</v>
      </c>
      <c r="G11">
        <f t="shared" si="0"/>
        <v>0.18355346982758619</v>
      </c>
      <c r="H11">
        <f t="shared" si="1"/>
        <v>0.29008646408045974</v>
      </c>
    </row>
    <row r="12" spans="1:8" x14ac:dyDescent="0.3">
      <c r="A12">
        <v>2090</v>
      </c>
      <c r="B12" s="9">
        <v>1002.43425</v>
      </c>
      <c r="C12" s="9">
        <v>3007.3027499999998</v>
      </c>
      <c r="D12">
        <v>148</v>
      </c>
      <c r="E12">
        <v>85</v>
      </c>
      <c r="F12">
        <f t="shared" si="0"/>
        <v>0.10658065301724137</v>
      </c>
      <c r="G12">
        <f t="shared" si="0"/>
        <v>0.18363558459051721</v>
      </c>
      <c r="H12">
        <f t="shared" si="1"/>
        <v>0.29021623760775861</v>
      </c>
    </row>
    <row r="13" spans="1:8" x14ac:dyDescent="0.3">
      <c r="A13">
        <v>2100</v>
      </c>
      <c r="D13">
        <v>148</v>
      </c>
      <c r="E13">
        <v>85</v>
      </c>
      <c r="F13">
        <f t="shared" si="0"/>
        <v>0</v>
      </c>
      <c r="G13">
        <f t="shared" si="0"/>
        <v>0</v>
      </c>
      <c r="H13">
        <f t="shared" si="1"/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AD2A-5773-483B-8D08-01E256FE6D5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Overview</vt:lpstr>
      <vt:lpstr>irrigation</vt:lpstr>
      <vt:lpstr>bfs_percentage_area</vt:lpstr>
      <vt:lpstr>percentage_area_summary</vt:lpstr>
      <vt:lpstr>dw_einwohnende</vt:lpstr>
      <vt:lpstr>dw_extrapol_ew</vt:lpstr>
      <vt:lpstr>dw_water_need</vt:lpstr>
      <vt:lpstr>ind_beschäftigte_2s</vt:lpstr>
      <vt:lpstr>ind_beschäftigte_3s</vt:lpstr>
      <vt:lpstr>Anzahl Beschäftigte</vt:lpstr>
      <vt:lpstr>ALT_ind_extrapol_2s</vt:lpstr>
      <vt:lpstr>ALT_ind_extrapol_3s</vt:lpstr>
      <vt:lpstr>ind_alte_Zahlen_AP</vt:lpstr>
      <vt:lpstr>ind_meth_vrtic</vt:lpstr>
      <vt:lpstr>ALT_ind_results</vt:lpstr>
      <vt:lpstr>IND_resutlts_Vrtic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Bürki, Simon Mario (STUDENTS)</cp:lastModifiedBy>
  <cp:revision/>
  <dcterms:created xsi:type="dcterms:W3CDTF">2015-06-05T18:19:34Z</dcterms:created>
  <dcterms:modified xsi:type="dcterms:W3CDTF">2024-09-26T14:26:48Z</dcterms:modified>
  <cp:category/>
  <cp:contentStatus/>
</cp:coreProperties>
</file>