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206472\Favorites\Sessions\"/>
    </mc:Choice>
  </mc:AlternateContent>
  <bookViews>
    <workbookView xWindow="0" yWindow="0" windowWidth="23040" windowHeight="9060" activeTab="1"/>
  </bookViews>
  <sheets>
    <sheet name="Delivery" sheetId="2" r:id="rId1"/>
    <sheet name="Options" sheetId="5" r:id="rId2"/>
    <sheet name="Stats" sheetId="4" r:id="rId3"/>
    <sheet name="Learning" sheetId="1" r:id="rId4"/>
    <sheet name="Funds" sheetId="3" r:id="rId5"/>
  </sheets>
  <definedNames>
    <definedName name="_xlnm._FilterDatabase" localSheetId="1" hidden="1">Options!$A$2:$W$11</definedName>
    <definedName name="_xlnm._FilterDatabase" localSheetId="2" hidden="1">Stats!$A$1:$D$19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3" l="1"/>
  <c r="J58" i="3"/>
  <c r="J59" i="3"/>
  <c r="J61" i="3"/>
  <c r="J19" i="3"/>
  <c r="J17" i="3"/>
  <c r="J14" i="3"/>
  <c r="E71" i="3"/>
  <c r="F26" i="2"/>
  <c r="K26" i="2"/>
  <c r="K6" i="2"/>
  <c r="K7" i="2"/>
  <c r="K8" i="2"/>
  <c r="K22" i="2"/>
  <c r="S6" i="5"/>
  <c r="Q6" i="5"/>
  <c r="J16" i="3"/>
  <c r="S11" i="5"/>
  <c r="Q11" i="5"/>
  <c r="P6" i="4" l="1"/>
  <c r="O6" i="4"/>
  <c r="P5" i="4"/>
  <c r="O5" i="4"/>
  <c r="P4" i="4"/>
  <c r="O4" i="4"/>
  <c r="E72" i="3"/>
  <c r="S7" i="5"/>
  <c r="S9" i="5"/>
  <c r="S10" i="5"/>
  <c r="S8" i="5"/>
  <c r="Q8" i="5"/>
  <c r="H11" i="5" l="1"/>
  <c r="K11" i="5"/>
  <c r="M11" i="5" s="1"/>
  <c r="N11" i="5" s="1"/>
  <c r="V11" i="5"/>
  <c r="H10" i="5"/>
  <c r="K10" i="5"/>
  <c r="M10" i="5" s="1"/>
  <c r="N10" i="5" s="1"/>
  <c r="Q10" i="5"/>
  <c r="V10" i="5"/>
  <c r="W11" i="5" l="1"/>
  <c r="W10" i="5"/>
  <c r="M29" i="3"/>
  <c r="Q9" i="5"/>
  <c r="H9" i="5" l="1"/>
  <c r="K9" i="5"/>
  <c r="M9" i="5" s="1"/>
  <c r="N9" i="5" s="1"/>
  <c r="V9" i="5"/>
  <c r="H8" i="5"/>
  <c r="M8" i="5" s="1"/>
  <c r="N8" i="5" s="1"/>
  <c r="K8" i="5"/>
  <c r="V8" i="5"/>
  <c r="W8" i="5" l="1"/>
  <c r="W9" i="5"/>
  <c r="Q7" i="5"/>
  <c r="E70" i="3" l="1"/>
  <c r="V7" i="5" l="1"/>
  <c r="H7" i="5"/>
  <c r="K7" i="5"/>
  <c r="M7" i="5" s="1"/>
  <c r="N7" i="5" s="1"/>
  <c r="W7" i="5" l="1"/>
  <c r="D29" i="5"/>
  <c r="D31" i="5"/>
  <c r="D33" i="5" l="1"/>
  <c r="V5" i="5"/>
  <c r="V6" i="5"/>
  <c r="V4" i="5"/>
  <c r="H6" i="5" l="1"/>
  <c r="W6" i="5" s="1"/>
  <c r="K6" i="5"/>
  <c r="S3" i="5"/>
  <c r="K4" i="5"/>
  <c r="M4" i="5" s="1"/>
  <c r="N4" i="5" s="1"/>
  <c r="K5" i="5"/>
  <c r="K3" i="5"/>
  <c r="O3" i="5"/>
  <c r="M22" i="2"/>
  <c r="Q3" i="5"/>
  <c r="Q24" i="5" s="1"/>
  <c r="I40" i="3"/>
  <c r="M3" i="3"/>
  <c r="J3" i="3"/>
  <c r="H5" i="5"/>
  <c r="W5" i="5" s="1"/>
  <c r="H4" i="5"/>
  <c r="W4" i="5" s="1"/>
  <c r="H3" i="5"/>
  <c r="M28" i="3"/>
  <c r="M27" i="3"/>
  <c r="M26" i="3"/>
  <c r="C34" i="5"/>
  <c r="C33" i="5"/>
  <c r="D36" i="5" s="1"/>
  <c r="D37" i="5" s="1"/>
  <c r="M5" i="5" l="1"/>
  <c r="M6" i="5"/>
  <c r="N6" i="5" s="1"/>
  <c r="H24" i="5"/>
  <c r="C36" i="5"/>
  <c r="C37" i="5" s="1"/>
  <c r="M31" i="3"/>
  <c r="M24" i="5" l="1"/>
  <c r="H42" i="2"/>
  <c r="H41" i="2"/>
  <c r="H44" i="2" l="1"/>
  <c r="H45" i="2" s="1"/>
  <c r="E22" i="2"/>
  <c r="F22" i="2"/>
  <c r="G22" i="2" s="1"/>
  <c r="E21" i="2"/>
  <c r="F21" i="2"/>
  <c r="H21" i="2" s="1"/>
  <c r="F16" i="2"/>
  <c r="H16" i="2" s="1"/>
  <c r="E16" i="2"/>
  <c r="H22" i="2" l="1"/>
  <c r="G21" i="2"/>
  <c r="G16" i="2"/>
  <c r="E27" i="3" l="1"/>
  <c r="E20" i="2"/>
  <c r="F20" i="2"/>
  <c r="H20" i="2" s="1"/>
  <c r="E19" i="2"/>
  <c r="F19" i="2"/>
  <c r="E18" i="2"/>
  <c r="F18" i="2"/>
  <c r="H18" i="2" s="1"/>
  <c r="E73" i="3"/>
  <c r="E69" i="3"/>
  <c r="E68" i="3"/>
  <c r="E67" i="3"/>
  <c r="E28" i="3"/>
  <c r="E29" i="3"/>
  <c r="E30" i="3"/>
  <c r="E26" i="3"/>
  <c r="K43" i="2"/>
  <c r="G19" i="2" l="1"/>
  <c r="E74" i="3"/>
  <c r="E31" i="3"/>
  <c r="G20" i="2"/>
  <c r="H19" i="2"/>
  <c r="G18" i="2"/>
  <c r="J57" i="3" l="1"/>
  <c r="M58" i="3" s="1"/>
  <c r="J60" i="3"/>
  <c r="J15" i="3"/>
  <c r="M16" i="3" s="1"/>
  <c r="J18" i="3"/>
  <c r="F17" i="2"/>
  <c r="E17" i="2"/>
  <c r="G17" i="2" l="1"/>
  <c r="H17" i="2"/>
  <c r="F15" i="2"/>
  <c r="E15" i="2"/>
  <c r="G15" i="2" l="1"/>
  <c r="F14" i="2" l="1"/>
  <c r="E14" i="2"/>
  <c r="G14" i="2" l="1"/>
  <c r="H14" i="2"/>
  <c r="D32" i="2"/>
  <c r="F13" i="2"/>
  <c r="E13" i="2"/>
  <c r="D6" i="4"/>
  <c r="D16" i="4"/>
  <c r="D17" i="4"/>
  <c r="G13" i="2" l="1"/>
  <c r="H13" i="2"/>
  <c r="E12" i="2"/>
  <c r="F12" i="2"/>
  <c r="H18" i="1"/>
  <c r="E39" i="2"/>
  <c r="B39" i="2"/>
  <c r="G12" i="2" l="1"/>
  <c r="H12" i="2"/>
  <c r="D12" i="4" l="1"/>
  <c r="D11" i="4"/>
  <c r="D4" i="4"/>
  <c r="D5" i="4"/>
  <c r="D14" i="4"/>
  <c r="D21" i="4"/>
  <c r="D18" i="4"/>
  <c r="D8" i="4"/>
  <c r="D20" i="4"/>
  <c r="D19" i="4"/>
  <c r="D3" i="4"/>
  <c r="D7" i="4"/>
  <c r="D2" i="4"/>
  <c r="D10" i="4"/>
  <c r="D15" i="4"/>
  <c r="D9" i="4"/>
  <c r="D13" i="4"/>
  <c r="M7" i="2"/>
  <c r="M8" i="2"/>
  <c r="M6" i="2"/>
  <c r="G23" i="2" l="1"/>
  <c r="G24" i="2"/>
  <c r="G25" i="2"/>
  <c r="F11" i="2"/>
  <c r="E7" i="2"/>
  <c r="E6" i="2"/>
  <c r="F6" i="2" s="1"/>
  <c r="F10" i="2"/>
  <c r="H10" i="2" s="1"/>
  <c r="E11" i="2"/>
  <c r="E10" i="2"/>
  <c r="G11" i="2" l="1"/>
  <c r="G10" i="2"/>
  <c r="F7" i="2"/>
  <c r="H11" i="2"/>
  <c r="E8" i="2"/>
  <c r="G8" i="2" s="1"/>
  <c r="E9" i="2"/>
  <c r="G9" i="2" s="1"/>
  <c r="I8" i="2" l="1"/>
  <c r="H8" i="2"/>
  <c r="I9" i="2"/>
  <c r="H9" i="2"/>
  <c r="H3" i="2"/>
  <c r="H4" i="2"/>
  <c r="E5" i="2"/>
  <c r="F5" i="2" s="1"/>
  <c r="G5" i="2" s="1"/>
  <c r="H7" i="2" l="1"/>
  <c r="I7" i="2"/>
  <c r="I6" i="2"/>
  <c r="H6" i="2"/>
  <c r="H5" i="2"/>
  <c r="I5" i="2"/>
  <c r="E4" i="2"/>
  <c r="G4" i="2" s="1"/>
  <c r="E3" i="2"/>
  <c r="G3" i="2" s="1"/>
  <c r="I4" i="2" l="1"/>
  <c r="G26" i="2"/>
  <c r="E26" i="2"/>
  <c r="I3" i="2"/>
  <c r="I26" i="2" l="1"/>
</calcChain>
</file>

<file path=xl/comments1.xml><?xml version="1.0" encoding="utf-8"?>
<comments xmlns="http://schemas.openxmlformats.org/spreadsheetml/2006/main">
  <authors>
    <author>Ishant Sahu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Ishant Sahu:</t>
        </r>
        <r>
          <rPr>
            <sz val="9"/>
            <color indexed="81"/>
            <rFont val="Tahoma"/>
            <family val="2"/>
          </rPr>
          <t xml:space="preserve">
Next buy rate - 60, Stop Loss - 150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Ishant Sahu:</t>
        </r>
        <r>
          <rPr>
            <sz val="9"/>
            <color indexed="81"/>
            <rFont val="Tahoma"/>
            <family val="2"/>
          </rPr>
          <t xml:space="preserve">
Next buy rate - 45
Stop Loss - 500</t>
        </r>
      </text>
    </comment>
  </commentList>
</comments>
</file>

<file path=xl/sharedStrings.xml><?xml version="1.0" encoding="utf-8"?>
<sst xmlns="http://schemas.openxmlformats.org/spreadsheetml/2006/main" count="355" uniqueCount="210">
  <si>
    <t>Risk-Reward ratio</t>
  </si>
  <si>
    <t>Diversifying</t>
  </si>
  <si>
    <t>should be low</t>
  </si>
  <si>
    <t>Psychology</t>
  </si>
  <si>
    <t>Just be consistent</t>
  </si>
  <si>
    <t>Set Goals</t>
  </si>
  <si>
    <t>Don’t get greedy</t>
  </si>
  <si>
    <t>9:15 - 3:30</t>
  </si>
  <si>
    <t>Market Time</t>
  </si>
  <si>
    <t>MIS</t>
  </si>
  <si>
    <t>CNC</t>
  </si>
  <si>
    <t>Cash and Carry</t>
  </si>
  <si>
    <t>Margin intraday squareoff</t>
  </si>
  <si>
    <t>Limit</t>
  </si>
  <si>
    <t>Get order only when the price entered gets available</t>
  </si>
  <si>
    <t>(1 is to 5)</t>
  </si>
  <si>
    <t>Market</t>
  </si>
  <si>
    <t>Market price</t>
  </si>
  <si>
    <t>Positions</t>
  </si>
  <si>
    <t>SL</t>
  </si>
  <si>
    <t>SL-M</t>
  </si>
  <si>
    <r>
      <t xml:space="preserve">Stop loss method immediately sold </t>
    </r>
    <r>
      <rPr>
        <i/>
        <sz val="9"/>
        <color rgb="FFFF0000"/>
        <rFont val="Calibri"/>
        <family val="2"/>
        <scheme val="minor"/>
      </rPr>
      <t>I guess</t>
    </r>
  </si>
  <si>
    <t>Sell if your target is reached but immediately after reaching the target market crashes then lower price will be assigned to you hence larger range is better</t>
  </si>
  <si>
    <t>Target</t>
  </si>
  <si>
    <t>reach the target and get sold</t>
  </si>
  <si>
    <t>Advanced</t>
  </si>
  <si>
    <t>Cover order</t>
  </si>
  <si>
    <t>Bracket order</t>
  </si>
  <si>
    <t xml:space="preserve">After Market order </t>
  </si>
  <si>
    <t>Entry stoploss</t>
  </si>
  <si>
    <t>Entry stoploss target</t>
  </si>
  <si>
    <t>up by this much money and down by this much money -- trailing will increase the stop loss by that many rupees if market goes up</t>
  </si>
  <si>
    <t>GTT</t>
  </si>
  <si>
    <t>Good till trigger</t>
  </si>
  <si>
    <t>under the buying charm</t>
  </si>
  <si>
    <t>for long term investors , kind of stop watch triggered</t>
  </si>
  <si>
    <t>Date</t>
  </si>
  <si>
    <t>Rate</t>
  </si>
  <si>
    <t>Quantity</t>
  </si>
  <si>
    <t>Total Corpus</t>
  </si>
  <si>
    <t>Stock</t>
  </si>
  <si>
    <t>Expectation</t>
  </si>
  <si>
    <t>Earning Ratio</t>
  </si>
  <si>
    <t>Selling Date</t>
  </si>
  <si>
    <t>PNB</t>
  </si>
  <si>
    <t>SBIN</t>
  </si>
  <si>
    <t>Aim</t>
  </si>
  <si>
    <t>Display Replacement</t>
  </si>
  <si>
    <t>High Rent Compensation</t>
  </si>
  <si>
    <t>Profit</t>
  </si>
  <si>
    <t>Investor</t>
  </si>
  <si>
    <t>Expected Rate</t>
  </si>
  <si>
    <t>Actual Rate Sold</t>
  </si>
  <si>
    <t>Self</t>
  </si>
  <si>
    <t>Bestowed</t>
  </si>
  <si>
    <t>FSC</t>
  </si>
  <si>
    <t>FRETAIL</t>
  </si>
  <si>
    <t>TATACOFFEE</t>
  </si>
  <si>
    <t>GLENMARK</t>
  </si>
  <si>
    <t>SUNPHARMA</t>
  </si>
  <si>
    <t>INDUSINBNK</t>
  </si>
  <si>
    <t>CARERATING</t>
  </si>
  <si>
    <t>Loss recovery of FRETAIL</t>
  </si>
  <si>
    <t>Interest repay + profit</t>
  </si>
  <si>
    <t>Himani</t>
  </si>
  <si>
    <t>Arunabh</t>
  </si>
  <si>
    <t>Ishant</t>
  </si>
  <si>
    <t>Fund</t>
  </si>
  <si>
    <t>Realised Profit</t>
  </si>
  <si>
    <t>Duration</t>
  </si>
  <si>
    <t>ACC</t>
  </si>
  <si>
    <t>Down Price</t>
  </si>
  <si>
    <t>High Price</t>
  </si>
  <si>
    <t>Down by %</t>
  </si>
  <si>
    <t>CARE</t>
  </si>
  <si>
    <t>Ashoka</t>
  </si>
  <si>
    <t>LT</t>
  </si>
  <si>
    <t>CADILAHC</t>
  </si>
  <si>
    <t>ITC</t>
  </si>
  <si>
    <t>HDFCBAnk</t>
  </si>
  <si>
    <t>IDEA</t>
  </si>
  <si>
    <t>TATASTEEL</t>
  </si>
  <si>
    <t>RELIANCE</t>
  </si>
  <si>
    <t>TCS</t>
  </si>
  <si>
    <t>TECHM</t>
  </si>
  <si>
    <t>LICHFSC</t>
  </si>
  <si>
    <t>Scrip</t>
  </si>
  <si>
    <t>Calculate Total Price</t>
  </si>
  <si>
    <t>Price per share</t>
  </si>
  <si>
    <t>Num of shares</t>
  </si>
  <si>
    <t>TP</t>
  </si>
  <si>
    <t>Calculate Num of shares</t>
  </si>
  <si>
    <t>Amount at hand</t>
  </si>
  <si>
    <t>Important things to watch out for</t>
  </si>
  <si>
    <t>Financial Discipline</t>
  </si>
  <si>
    <t>Rules:</t>
  </si>
  <si>
    <t>ASHOKA</t>
  </si>
  <si>
    <t>Total</t>
  </si>
  <si>
    <t>Loan Repay</t>
  </si>
  <si>
    <t>TATAMOTORS</t>
  </si>
  <si>
    <t>FEDERALBNK</t>
  </si>
  <si>
    <t>HeroCoorp</t>
  </si>
  <si>
    <t>HDFC</t>
  </si>
  <si>
    <t>Qty</t>
  </si>
  <si>
    <t>Reinvested</t>
  </si>
  <si>
    <t>Profit reinvested to be returned after 3months</t>
  </si>
  <si>
    <t>Refunded</t>
  </si>
  <si>
    <t>Whatever is being decided as profit is the maximum final selling price, No alterations entertained in any circumstances</t>
  </si>
  <si>
    <t>Home loan compensation</t>
  </si>
  <si>
    <t>At Himani's</t>
  </si>
  <si>
    <t>Gold deposits</t>
  </si>
  <si>
    <t>Holdings</t>
  </si>
  <si>
    <t>Jitesh</t>
  </si>
  <si>
    <t>JSWSteel</t>
  </si>
  <si>
    <t>PPS</t>
  </si>
  <si>
    <t>T Corpus</t>
  </si>
  <si>
    <t>ICICI</t>
  </si>
  <si>
    <t>RALLIS</t>
  </si>
  <si>
    <t>MOTHERSUMI</t>
  </si>
  <si>
    <t>ICICBANK</t>
  </si>
  <si>
    <t>INFRATEL</t>
  </si>
  <si>
    <t>APOLLO</t>
  </si>
  <si>
    <t>premium</t>
  </si>
  <si>
    <t>Call</t>
  </si>
  <si>
    <t>Meaning</t>
  </si>
  <si>
    <t>Call price</t>
  </si>
  <si>
    <t>Current price</t>
  </si>
  <si>
    <t>1 month</t>
  </si>
  <si>
    <t>TimeFrame</t>
  </si>
  <si>
    <t>After 1 month I will buy the shares at a price of 1500, irrespective of the price</t>
  </si>
  <si>
    <t>If the price at the time of selling is more than 1500, say 1600 then 100 rupees profit per share</t>
  </si>
  <si>
    <t>Loss</t>
  </si>
  <si>
    <t>If the price at the time of selling is less than 1500, then no obligation to buy; just the premium will be lost</t>
  </si>
  <si>
    <t>Options Trading</t>
  </si>
  <si>
    <t>Lot Size</t>
  </si>
  <si>
    <t>Premium/Share</t>
  </si>
  <si>
    <t>Current Value</t>
  </si>
  <si>
    <t>Equalizer Price</t>
  </si>
  <si>
    <t>Total Premium</t>
  </si>
  <si>
    <t>Future Share price</t>
  </si>
  <si>
    <t>Profit Booking</t>
  </si>
  <si>
    <t>Profit %</t>
  </si>
  <si>
    <t>After selling shares at MPP, if time to return is still yet more than 45 days, may invest principal amount in banking sector</t>
  </si>
  <si>
    <t>Invested Delivery Portfolio</t>
  </si>
  <si>
    <t>Options Freakishness</t>
  </si>
  <si>
    <t>Month</t>
  </si>
  <si>
    <t>May</t>
  </si>
  <si>
    <t>Premium</t>
  </si>
  <si>
    <t>Equalizer</t>
  </si>
  <si>
    <t>Options</t>
  </si>
  <si>
    <t>Delivery</t>
  </si>
  <si>
    <t>MARUTI</t>
  </si>
  <si>
    <t>IBULHSGFIN</t>
  </si>
  <si>
    <t>6000 /May</t>
  </si>
  <si>
    <t>Value/Month</t>
  </si>
  <si>
    <t>1763/May</t>
  </si>
  <si>
    <t>100/May</t>
  </si>
  <si>
    <t>Total Deposited</t>
  </si>
  <si>
    <t>Total Invested</t>
  </si>
  <si>
    <t>Overall</t>
  </si>
  <si>
    <t>Option: In case of profit, minimum 100% if reached, wait for next day's return, if negative cut the investment by -25%, if positive continue to live for another day</t>
  </si>
  <si>
    <t>Strike Price</t>
  </si>
  <si>
    <t>Share price</t>
  </si>
  <si>
    <t>Max Profit Hedge</t>
  </si>
  <si>
    <t>Selling Premium</t>
  </si>
  <si>
    <t>Type</t>
  </si>
  <si>
    <t>Put</t>
  </si>
  <si>
    <t>In the Money</t>
  </si>
  <si>
    <t>Expected price</t>
  </si>
  <si>
    <t>Profit investor</t>
  </si>
  <si>
    <t>Chachaji return</t>
  </si>
  <si>
    <t>In the Money (%)</t>
  </si>
  <si>
    <t>Lots</t>
  </si>
  <si>
    <t>X</t>
  </si>
  <si>
    <t>Prem Pred(MPH)</t>
  </si>
  <si>
    <t>Abs Prof Pred(MPH)</t>
  </si>
  <si>
    <t>Whimsical</t>
  </si>
  <si>
    <t>Option: If investment less than 10K then book profit according to the whims of the market, if not than predecide - stoploss</t>
  </si>
  <si>
    <t>Option: In case of loss, wait till penultimate week's last working day to finally execute the order</t>
  </si>
  <si>
    <t>-</t>
  </si>
  <si>
    <t>Emotional</t>
  </si>
  <si>
    <t>Loss recovery</t>
  </si>
  <si>
    <t>NIFTY</t>
  </si>
  <si>
    <t>Straddle</t>
  </si>
  <si>
    <t>9100/May</t>
  </si>
  <si>
    <t>Data gathering for setting stop loss</t>
  </si>
  <si>
    <t>Nifty</t>
  </si>
  <si>
    <t>Open</t>
  </si>
  <si>
    <t>High</t>
  </si>
  <si>
    <t>Low</t>
  </si>
  <si>
    <t>Buy</t>
  </si>
  <si>
    <t>Up(%)</t>
  </si>
  <si>
    <t>Down(%)</t>
  </si>
  <si>
    <t>INDIGO</t>
  </si>
  <si>
    <t>Strategised</t>
  </si>
  <si>
    <t>Total Earned</t>
  </si>
  <si>
    <t>P&amp;L realised</t>
  </si>
  <si>
    <t>Comment</t>
  </si>
  <si>
    <t>Reliance 1763</t>
  </si>
  <si>
    <t>Maruti 6K</t>
  </si>
  <si>
    <t>Loss recovery of FSC, Reinvested profit</t>
  </si>
  <si>
    <t>Revolving Chair, Reinvested in Options</t>
  </si>
  <si>
    <t>Overall Deposited</t>
  </si>
  <si>
    <t>JSWSTEEL</t>
  </si>
  <si>
    <t>Overall Invested</t>
  </si>
  <si>
    <t>Net Investment</t>
  </si>
  <si>
    <t>Net</t>
  </si>
  <si>
    <t>Total Refunded</t>
  </si>
  <si>
    <t>Recovered</t>
  </si>
  <si>
    <t>Total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</si>
</sst>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;@"/>
    <numFmt numFmtId="165" formatCode="_ [$₹-4009]\ * #,##0_ ;_ [$₹-4009]\ * \-#,##0_ ;_ [$₹-4009]\ * &quot;-&quot;??_ ;_ @_ "/>
    <numFmt numFmtId="166" formatCode="_ [$₹-4009]\ * #,##0.00_ ;_ [$₹-4009]\ * \-#,##0.00_ ;_ [$₹-4009]\ * &quot;-&quot;??_ ;_ @_ "/>
  </numFmts>
  <fonts count="26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9" tint="0.399975585192419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20"/>
      <color theme="1"/>
      <name val="Bahnschrift SemiLight SemiConde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2" borderId="0" applyNumberFormat="0" applyBorder="0" applyAlignment="0" applyProtection="0"/>
  </cellStyleXfs>
  <cellXfs count="194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5" fillId="3" borderId="0" xfId="0" applyFont="1" applyFill="1"/>
    <xf numFmtId="164" fontId="0" fillId="3" borderId="0" xfId="0" applyNumberFormat="1" applyFill="1"/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8" xfId="0" applyNumberForma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166" fontId="13" fillId="2" borderId="1" xfId="0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13" fillId="3" borderId="1" xfId="0" applyNumberFormat="1" applyFont="1" applyFill="1" applyBorder="1" applyAlignment="1">
      <alignment horizontal="center"/>
    </xf>
    <xf numFmtId="0" fontId="7" fillId="7" borderId="1" xfId="4" applyBorder="1" applyAlignment="1">
      <alignment horizontal="center"/>
    </xf>
    <xf numFmtId="166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14" fillId="3" borderId="2" xfId="0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165" fontId="15" fillId="2" borderId="1" xfId="0" applyNumberFormat="1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15" fontId="14" fillId="3" borderId="1" xfId="0" applyNumberFormat="1" applyFont="1" applyFill="1" applyBorder="1" applyAlignment="1">
      <alignment horizontal="center"/>
    </xf>
    <xf numFmtId="0" fontId="14" fillId="7" borderId="1" xfId="4" applyFont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5" fontId="0" fillId="0" borderId="0" xfId="0" applyNumberFormat="1"/>
    <xf numFmtId="3" fontId="0" fillId="3" borderId="1" xfId="0" applyNumberForma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14" fillId="3" borderId="1" xfId="0" applyNumberFormat="1" applyFont="1" applyFill="1" applyBorder="1" applyAlignment="1">
      <alignment horizontal="center"/>
    </xf>
    <xf numFmtId="9" fontId="0" fillId="0" borderId="0" xfId="0" applyNumberFormat="1"/>
    <xf numFmtId="0" fontId="7" fillId="6" borderId="10" xfId="3" applyBorder="1"/>
    <xf numFmtId="0" fontId="0" fillId="0" borderId="11" xfId="0" applyBorder="1"/>
    <xf numFmtId="9" fontId="0" fillId="0" borderId="11" xfId="0" applyNumberFormat="1" applyBorder="1"/>
    <xf numFmtId="0" fontId="0" fillId="3" borderId="11" xfId="0" applyFill="1" applyBorder="1"/>
    <xf numFmtId="3" fontId="0" fillId="3" borderId="11" xfId="0" applyNumberFormat="1" applyFill="1" applyBorder="1"/>
    <xf numFmtId="0" fontId="2" fillId="3" borderId="11" xfId="0" applyFont="1" applyFill="1" applyBorder="1"/>
    <xf numFmtId="3" fontId="2" fillId="3" borderId="11" xfId="0" applyNumberFormat="1" applyFont="1" applyFill="1" applyBorder="1"/>
    <xf numFmtId="0" fontId="13" fillId="0" borderId="0" xfId="0" applyFont="1"/>
    <xf numFmtId="0" fontId="9" fillId="5" borderId="11" xfId="2" applyBorder="1"/>
    <xf numFmtId="9" fontId="9" fillId="5" borderId="11" xfId="2" applyNumberFormat="1" applyBorder="1"/>
    <xf numFmtId="0" fontId="0" fillId="3" borderId="11" xfId="0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9" fontId="0" fillId="3" borderId="0" xfId="0" applyNumberFormat="1" applyFill="1"/>
    <xf numFmtId="166" fontId="0" fillId="3" borderId="0" xfId="0" applyNumberFormat="1" applyFill="1"/>
    <xf numFmtId="4" fontId="0" fillId="3" borderId="0" xfId="0" applyNumberFormat="1" applyFill="1"/>
    <xf numFmtId="43" fontId="0" fillId="3" borderId="0" xfId="5" applyFont="1" applyFill="1" applyAlignment="1">
      <alignment horizontal="center"/>
    </xf>
    <xf numFmtId="0" fontId="2" fillId="0" borderId="1" xfId="0" applyFont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17" fillId="0" borderId="1" xfId="0" applyFont="1" applyBorder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164" fontId="16" fillId="3" borderId="0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3" borderId="21" xfId="0" applyFill="1" applyBorder="1"/>
    <xf numFmtId="3" fontId="0" fillId="3" borderId="21" xfId="0" applyNumberFormat="1" applyFill="1" applyBorder="1"/>
    <xf numFmtId="164" fontId="0" fillId="3" borderId="21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9" fontId="2" fillId="3" borderId="23" xfId="0" applyNumberFormat="1" applyFont="1" applyFill="1" applyBorder="1" applyAlignment="1">
      <alignment horizontal="center"/>
    </xf>
    <xf numFmtId="0" fontId="0" fillId="10" borderId="0" xfId="0" applyFill="1"/>
    <xf numFmtId="0" fontId="16" fillId="10" borderId="1" xfId="0" applyFont="1" applyFill="1" applyBorder="1" applyAlignment="1">
      <alignment horizontal="center"/>
    </xf>
    <xf numFmtId="164" fontId="16" fillId="10" borderId="1" xfId="0" applyNumberFormat="1" applyFont="1" applyFill="1" applyBorder="1" applyAlignment="1">
      <alignment horizontal="left"/>
    </xf>
    <xf numFmtId="165" fontId="6" fillId="10" borderId="1" xfId="0" applyNumberFormat="1" applyFont="1" applyFill="1" applyBorder="1" applyAlignment="1">
      <alignment horizontal="center"/>
    </xf>
    <xf numFmtId="166" fontId="16" fillId="10" borderId="1" xfId="0" applyNumberFormat="1" applyFont="1" applyFill="1" applyBorder="1" applyAlignment="1">
      <alignment horizontal="center"/>
    </xf>
    <xf numFmtId="3" fontId="1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0" fontId="18" fillId="10" borderId="0" xfId="0" applyFont="1" applyFill="1"/>
    <xf numFmtId="0" fontId="0" fillId="0" borderId="25" xfId="0" applyBorder="1"/>
    <xf numFmtId="17" fontId="0" fillId="0" borderId="24" xfId="0" applyNumberFormat="1" applyBorder="1"/>
    <xf numFmtId="166" fontId="6" fillId="10" borderId="1" xfId="0" applyNumberFormat="1" applyFont="1" applyFill="1" applyBorder="1" applyAlignment="1">
      <alignment horizontal="center"/>
    </xf>
    <xf numFmtId="0" fontId="13" fillId="0" borderId="0" xfId="0" applyFont="1" applyAlignment="1"/>
    <xf numFmtId="0" fontId="0" fillId="0" borderId="26" xfId="0" applyBorder="1"/>
    <xf numFmtId="0" fontId="0" fillId="0" borderId="27" xfId="0" applyBorder="1"/>
    <xf numFmtId="9" fontId="6" fillId="10" borderId="1" xfId="6" applyFont="1" applyFill="1" applyBorder="1" applyAlignment="1">
      <alignment horizontal="center"/>
    </xf>
    <xf numFmtId="164" fontId="16" fillId="10" borderId="1" xfId="0" applyNumberFormat="1" applyFont="1" applyFill="1" applyBorder="1" applyAlignment="1">
      <alignment horizontal="center"/>
    </xf>
    <xf numFmtId="166" fontId="6" fillId="11" borderId="1" xfId="0" applyNumberFormat="1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164" fontId="19" fillId="10" borderId="1" xfId="0" applyNumberFormat="1" applyFont="1" applyFill="1" applyBorder="1" applyAlignment="1">
      <alignment horizontal="center"/>
    </xf>
    <xf numFmtId="166" fontId="20" fillId="10" borderId="1" xfId="0" applyNumberFormat="1" applyFont="1" applyFill="1" applyBorder="1" applyAlignment="1">
      <alignment horizontal="center"/>
    </xf>
    <xf numFmtId="165" fontId="20" fillId="10" borderId="1" xfId="0" applyNumberFormat="1" applyFont="1" applyFill="1" applyBorder="1" applyAlignment="1">
      <alignment horizontal="center"/>
    </xf>
    <xf numFmtId="9" fontId="20" fillId="10" borderId="1" xfId="6" applyFont="1" applyFill="1" applyBorder="1" applyAlignment="1">
      <alignment horizontal="center"/>
    </xf>
    <xf numFmtId="166" fontId="19" fillId="10" borderId="1" xfId="0" applyNumberFormat="1" applyFont="1" applyFill="1" applyBorder="1" applyAlignment="1">
      <alignment horizontal="center"/>
    </xf>
    <xf numFmtId="3" fontId="19" fillId="10" borderId="1" xfId="0" applyNumberFormat="1" applyFont="1" applyFill="1" applyBorder="1" applyAlignment="1">
      <alignment horizontal="center"/>
    </xf>
    <xf numFmtId="0" fontId="0" fillId="0" borderId="24" xfId="0" applyBorder="1"/>
    <xf numFmtId="0" fontId="7" fillId="12" borderId="1" xfId="7" applyBorder="1" applyAlignment="1">
      <alignment horizontal="center"/>
    </xf>
    <xf numFmtId="166" fontId="7" fillId="12" borderId="1" xfId="7" applyNumberFormat="1" applyBorder="1" applyAlignment="1">
      <alignment horizontal="center"/>
    </xf>
    <xf numFmtId="0" fontId="0" fillId="12" borderId="1" xfId="7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9" fontId="2" fillId="3" borderId="31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166" fontId="21" fillId="11" borderId="1" xfId="0" applyNumberFormat="1" applyFont="1" applyFill="1" applyBorder="1" applyAlignment="1">
      <alignment horizontal="center"/>
    </xf>
    <xf numFmtId="166" fontId="22" fillId="12" borderId="1" xfId="7" applyNumberFormat="1" applyFont="1" applyBorder="1" applyAlignment="1">
      <alignment horizontal="center"/>
    </xf>
    <xf numFmtId="10" fontId="0" fillId="0" borderId="0" xfId="0" applyNumberFormat="1"/>
    <xf numFmtId="0" fontId="8" fillId="8" borderId="1" xfId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4" borderId="11" xfId="1" applyBorder="1" applyAlignment="1">
      <alignment horizontal="center"/>
    </xf>
    <xf numFmtId="0" fontId="2" fillId="0" borderId="0" xfId="0" applyFont="1" applyBorder="1"/>
    <xf numFmtId="0" fontId="17" fillId="0" borderId="0" xfId="0" applyFont="1" applyBorder="1"/>
    <xf numFmtId="0" fontId="10" fillId="10" borderId="1" xfId="0" applyFont="1" applyFill="1" applyBorder="1" applyAlignment="1">
      <alignment horizontal="center"/>
    </xf>
    <xf numFmtId="164" fontId="10" fillId="10" borderId="1" xfId="0" applyNumberFormat="1" applyFont="1" applyFill="1" applyBorder="1" applyAlignment="1">
      <alignment horizontal="center"/>
    </xf>
    <xf numFmtId="166" fontId="13" fillId="10" borderId="1" xfId="0" applyNumberFormat="1" applyFont="1" applyFill="1" applyBorder="1" applyAlignment="1">
      <alignment horizontal="center"/>
    </xf>
    <xf numFmtId="165" fontId="13" fillId="10" borderId="1" xfId="0" applyNumberFormat="1" applyFont="1" applyFill="1" applyBorder="1" applyAlignment="1">
      <alignment horizontal="center"/>
    </xf>
    <xf numFmtId="166" fontId="13" fillId="11" borderId="1" xfId="0" applyNumberFormat="1" applyFont="1" applyFill="1" applyBorder="1" applyAlignment="1">
      <alignment horizontal="center"/>
    </xf>
    <xf numFmtId="9" fontId="13" fillId="10" borderId="1" xfId="6" applyFont="1" applyFill="1" applyBorder="1" applyAlignment="1">
      <alignment horizontal="center"/>
    </xf>
    <xf numFmtId="166" fontId="10" fillId="10" borderId="1" xfId="0" applyNumberFormat="1" applyFont="1" applyFill="1" applyBorder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0" fontId="23" fillId="0" borderId="1" xfId="0" applyFont="1" applyBorder="1"/>
    <xf numFmtId="0" fontId="24" fillId="0" borderId="1" xfId="0" applyFont="1" applyBorder="1"/>
    <xf numFmtId="0" fontId="0" fillId="13" borderId="1" xfId="0" applyFill="1" applyBorder="1"/>
    <xf numFmtId="0" fontId="0" fillId="13" borderId="1" xfId="0" applyNumberFormat="1" applyFill="1" applyBorder="1"/>
    <xf numFmtId="0" fontId="0" fillId="13" borderId="0" xfId="0" applyFill="1"/>
    <xf numFmtId="0" fontId="0" fillId="0" borderId="32" xfId="0" applyBorder="1"/>
    <xf numFmtId="0" fontId="0" fillId="0" borderId="8" xfId="0" applyBorder="1" applyAlignment="1">
      <alignment horizontal="center"/>
    </xf>
    <xf numFmtId="15" fontId="0" fillId="0" borderId="1" xfId="0" applyNumberFormat="1" applyBorder="1"/>
    <xf numFmtId="15" fontId="0" fillId="0" borderId="13" xfId="0" applyNumberFormat="1" applyBorder="1"/>
    <xf numFmtId="15" fontId="0" fillId="0" borderId="16" xfId="0" applyNumberFormat="1" applyBorder="1"/>
    <xf numFmtId="2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15" fillId="3" borderId="1" xfId="0" applyNumberFormat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3" fillId="0" borderId="0" xfId="0" applyFont="1" applyBorder="1"/>
    <xf numFmtId="0" fontId="24" fillId="0" borderId="0" xfId="0" applyFont="1" applyBorder="1"/>
    <xf numFmtId="0" fontId="2" fillId="0" borderId="5" xfId="0" applyFont="1" applyBorder="1"/>
    <xf numFmtId="0" fontId="0" fillId="13" borderId="33" xfId="0" applyFill="1" applyBorder="1" applyAlignment="1">
      <alignment horizontal="center"/>
    </xf>
    <xf numFmtId="0" fontId="0" fillId="13" borderId="34" xfId="0" applyFill="1" applyBorder="1" applyAlignment="1">
      <alignment horizontal="center"/>
    </xf>
    <xf numFmtId="0" fontId="0" fillId="13" borderId="3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6" xfId="0" applyBorder="1"/>
    <xf numFmtId="0" fontId="2" fillId="0" borderId="4" xfId="0" applyFont="1" applyBorder="1"/>
    <xf numFmtId="0" fontId="25" fillId="0" borderId="0" xfId="0" applyFont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7" xfId="0" applyBorder="1"/>
    <xf numFmtId="0" fontId="0" fillId="0" borderId="38" xfId="0" applyBorder="1"/>
    <xf numFmtId="15" fontId="0" fillId="0" borderId="12" xfId="0" applyNumberFormat="1" applyBorder="1"/>
    <xf numFmtId="15" fontId="0" fillId="0" borderId="15" xfId="0" applyNumberFormat="1" applyBorder="1"/>
    <xf numFmtId="0" fontId="25" fillId="16" borderId="1" xfId="0" applyFont="1" applyFill="1" applyBorder="1" applyAlignment="1">
      <alignment horizontal="center"/>
    </xf>
    <xf numFmtId="166" fontId="0" fillId="0" borderId="1" xfId="0" applyNumberFormat="1" applyBorder="1"/>
    <xf numFmtId="166" fontId="0" fillId="0" borderId="27" xfId="0" applyNumberFormat="1" applyBorder="1"/>
    <xf numFmtId="166" fontId="0" fillId="0" borderId="13" xfId="0" applyNumberFormat="1" applyBorder="1"/>
    <xf numFmtId="166" fontId="0" fillId="0" borderId="16" xfId="0" applyNumberFormat="1" applyBorder="1"/>
    <xf numFmtId="166" fontId="0" fillId="0" borderId="14" xfId="0" applyNumberFormat="1" applyBorder="1"/>
    <xf numFmtId="166" fontId="0" fillId="0" borderId="17" xfId="0" applyNumberFormat="1" applyBorder="1"/>
    <xf numFmtId="166" fontId="0" fillId="0" borderId="20" xfId="0" applyNumberFormat="1" applyBorder="1"/>
    <xf numFmtId="166" fontId="23" fillId="0" borderId="1" xfId="0" applyNumberFormat="1" applyFont="1" applyBorder="1"/>
    <xf numFmtId="166" fontId="17" fillId="0" borderId="1" xfId="0" applyNumberFormat="1" applyFont="1" applyBorder="1"/>
    <xf numFmtId="166" fontId="0" fillId="0" borderId="19" xfId="0" applyNumberFormat="1" applyBorder="1"/>
    <xf numFmtId="166" fontId="0" fillId="14" borderId="16" xfId="0" applyNumberFormat="1" applyFill="1" applyBorder="1"/>
    <xf numFmtId="166" fontId="0" fillId="15" borderId="16" xfId="0" applyNumberFormat="1" applyFill="1" applyBorder="1"/>
  </cellXfs>
  <cellStyles count="8">
    <cellStyle name="20% - Accent2" xfId="3" builtinId="34"/>
    <cellStyle name="20% - Accent4" xfId="7" builtinId="42"/>
    <cellStyle name="60% - Accent6" xfId="4" builtinId="52"/>
    <cellStyle name="Bad" xfId="2" builtinId="27"/>
    <cellStyle name="Comma" xfId="5" builtinId="3"/>
    <cellStyle name="Good" xfId="1" builtinId="26"/>
    <cellStyle name="Normal" xfId="0" builtinId="0"/>
    <cellStyle name="Percent" xfId="6" builtinId="5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8F00"/>
          <bgColor rgb="FFFFFFFF"/>
        </patternFill>
      </fill>
    </dxf>
    <dxf>
      <numFmt numFmtId="166" formatCode="_ [$₹-4009]\ * #,##0.00_ ;_ [$₹-4009]\ * \-#,##0.00_ ;_ [$₹-4009]\ * &quot;-&quot;??_ ;_ @_ 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 [$₹-4009]\ * #,##0.00_ ;_ [$₹-4009]\ * \-#,##0.00_ ;_ [$₹-4009]\ * &quot;-&quot;??_ ;_ @_ 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[$₹-4009]\ * #,##0_ ;_ [$₹-4009]\ * \-#,##0_ ;_ [$₹-4009]\ * &quot;-&quot;??_ ;_ @_ 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[$₹-4009]\ * #,##0_ ;_ [$₹-4009]\ * \-#,##0_ ;_ [$₹-4009]\ * &quot;-&quot;??_ ;_ @_ 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5" formatCode="_ [$₹-4009]\ * #,##0_ ;_ [$₹-4009]\ * \-#,##0_ ;_ [$₹-4009]\ * &quot;-&quot;??_ ;_ @_ 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5" formatCode="_ [$₹-4009]\ * #,##0_ ;_ [$₹-4009]\ * \-#,##0_ ;_ [$₹-4009]\ * &quot;-&quot;??_ ;_ @_ 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5" formatCode="_ [$₹-4009]\ * #,##0_ ;_ [$₹-4009]\ * \-#,##0_ ;_ [$₹-4009]\ * &quot;-&quot;??_ ;_ @_ 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d\-mmm\-yy;@"/>
      <fill>
        <patternFill patternType="solid">
          <fgColor indexed="64"/>
          <bgColor theme="6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2:O25" totalsRowShown="0" headerRowDxfId="26" dataDxfId="24" headerRowBorderDxfId="25" tableBorderDxfId="23" totalsRowBorderDxfId="22">
  <autoFilter ref="A2:O25"/>
  <tableColumns count="15">
    <tableColumn id="1" name="Stock" dataDxfId="21"/>
    <tableColumn id="2" name="Date" dataDxfId="20"/>
    <tableColumn id="4" name="Quantity" dataDxfId="19"/>
    <tableColumn id="3" name="Rate" dataDxfId="18"/>
    <tableColumn id="5" name="Total Corpus" dataDxfId="17"/>
    <tableColumn id="6" name="Expectation" dataDxfId="16"/>
    <tableColumn id="11" name="Profit" dataDxfId="15">
      <calculatedColumnFormula>Table2[[#This Row],[Expectation]]-Table2[[#This Row],[Total Corpus]]</calculatedColumnFormula>
    </tableColumn>
    <tableColumn id="14" name="Expected Rate" dataDxfId="14">
      <calculatedColumnFormula>Table2[[#This Row],[Expectation]]/Table2[[#This Row],[Quantity]]</calculatedColumnFormula>
    </tableColumn>
    <tableColumn id="7" name="Earning Ratio" dataDxfId="13"/>
    <tableColumn id="8" name="Actual Rate Sold" dataDxfId="12"/>
    <tableColumn id="10" name="Realised Profit" dataDxfId="7">
      <calculatedColumnFormula>(-Table2[[#This Row],[Rate]]+Table2[[#This Row],[Actual Rate Sold]])*Table2[[#This Row],[Quantity]]</calculatedColumnFormula>
    </tableColumn>
    <tableColumn id="9" name="Selling Date" dataDxfId="11"/>
    <tableColumn id="15" name="Duration" dataDxfId="10">
      <calculatedColumnFormula>Table2[[#This Row],[Selling Date]]-Table2[[#This Row],[Date]]</calculatedColumnFormula>
    </tableColumn>
    <tableColumn id="12" name="Investor" dataDxfId="9"/>
    <tableColumn id="13" name="Aim" dataDxfId="8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workbookViewId="0">
      <selection activeCell="A22" sqref="A22"/>
    </sheetView>
  </sheetViews>
  <sheetFormatPr defaultRowHeight="14.4" x14ac:dyDescent="0.3"/>
  <cols>
    <col min="1" max="1" width="13.109375" style="5" bestFit="1" customWidth="1"/>
    <col min="2" max="2" width="9.88671875" style="7" bestFit="1" customWidth="1"/>
    <col min="3" max="3" width="11.33203125" style="11" bestFit="1" customWidth="1"/>
    <col min="4" max="4" width="14.109375" style="11" bestFit="1" customWidth="1"/>
    <col min="5" max="5" width="14.77734375" style="11" customWidth="1"/>
    <col min="6" max="6" width="13.88671875" style="11" customWidth="1"/>
    <col min="7" max="7" width="15.77734375" style="11" bestFit="1" customWidth="1"/>
    <col min="8" max="8" width="15.33203125" style="11" customWidth="1"/>
    <col min="9" max="9" width="13.5546875" style="11" bestFit="1" customWidth="1"/>
    <col min="10" max="10" width="16.33203125" style="11" bestFit="1" customWidth="1"/>
    <col min="11" max="11" width="21.33203125" style="11" bestFit="1" customWidth="1"/>
    <col min="12" max="12" width="10.6640625" style="11" bestFit="1" customWidth="1"/>
    <col min="13" max="13" width="21.33203125" style="11" bestFit="1" customWidth="1"/>
    <col min="14" max="14" width="21.6640625" style="11" bestFit="1" customWidth="1"/>
    <col min="15" max="15" width="39.33203125" style="11" bestFit="1" customWidth="1"/>
    <col min="16" max="16384" width="8.88671875" style="11"/>
  </cols>
  <sheetData>
    <row r="1" spans="1:15" s="5" customFormat="1" ht="28.8" x14ac:dyDescent="0.55000000000000004">
      <c r="A1" s="6" t="s">
        <v>143</v>
      </c>
      <c r="G1" s="68"/>
      <c r="I1" s="69"/>
    </row>
    <row r="2" spans="1:15" s="5" customFormat="1" ht="15.6" x14ac:dyDescent="0.3">
      <c r="A2" s="17" t="s">
        <v>40</v>
      </c>
      <c r="B2" s="18" t="s">
        <v>36</v>
      </c>
      <c r="C2" s="19" t="s">
        <v>38</v>
      </c>
      <c r="D2" s="21" t="s">
        <v>37</v>
      </c>
      <c r="E2" s="21" t="s">
        <v>39</v>
      </c>
      <c r="F2" s="21" t="s">
        <v>41</v>
      </c>
      <c r="G2" s="21" t="s">
        <v>49</v>
      </c>
      <c r="H2" s="21" t="s">
        <v>51</v>
      </c>
      <c r="I2" s="19" t="s">
        <v>42</v>
      </c>
      <c r="J2" s="19" t="s">
        <v>52</v>
      </c>
      <c r="K2" s="20" t="s">
        <v>68</v>
      </c>
      <c r="L2" s="19" t="s">
        <v>43</v>
      </c>
      <c r="M2" s="8" t="s">
        <v>69</v>
      </c>
      <c r="N2" s="8" t="s">
        <v>50</v>
      </c>
      <c r="O2" s="19" t="s">
        <v>46</v>
      </c>
    </row>
    <row r="3" spans="1:15" x14ac:dyDescent="0.3">
      <c r="A3" s="22" t="s">
        <v>44</v>
      </c>
      <c r="B3" s="10">
        <v>43922</v>
      </c>
      <c r="C3" s="9">
        <v>390</v>
      </c>
      <c r="D3" s="25">
        <v>30.7</v>
      </c>
      <c r="E3" s="25">
        <f t="shared" ref="E3:E5" si="0">C3*D3</f>
        <v>11973</v>
      </c>
      <c r="F3" s="25">
        <v>20007</v>
      </c>
      <c r="G3" s="25">
        <f>Table2[[#This Row],[Expectation]]-Table2[[#This Row],[Total Corpus]]</f>
        <v>8034</v>
      </c>
      <c r="H3" s="25">
        <f>Table2[[#This Row],[Expectation]]/Table2[[#This Row],[Quantity]]</f>
        <v>51.3</v>
      </c>
      <c r="I3" s="12">
        <f t="shared" ref="I3:I7" si="1">F3/E3</f>
        <v>1.6710097719869708</v>
      </c>
      <c r="J3" s="35"/>
      <c r="K3" s="35"/>
      <c r="L3" s="9"/>
      <c r="M3" s="50"/>
      <c r="N3" s="9" t="s">
        <v>53</v>
      </c>
      <c r="O3" s="13" t="s">
        <v>98</v>
      </c>
    </row>
    <row r="4" spans="1:15" x14ac:dyDescent="0.3">
      <c r="A4" s="22" t="s">
        <v>45</v>
      </c>
      <c r="B4" s="10">
        <v>43922</v>
      </c>
      <c r="C4" s="9">
        <v>40</v>
      </c>
      <c r="D4" s="25">
        <v>186.3</v>
      </c>
      <c r="E4" s="25">
        <f t="shared" si="0"/>
        <v>7452</v>
      </c>
      <c r="F4" s="25">
        <v>12040</v>
      </c>
      <c r="G4" s="25">
        <f>Table2[[#This Row],[Expectation]]-Table2[[#This Row],[Total Corpus]]</f>
        <v>4588</v>
      </c>
      <c r="H4" s="25">
        <f>Table2[[#This Row],[Expectation]]/Table2[[#This Row],[Quantity]]</f>
        <v>301</v>
      </c>
      <c r="I4" s="12">
        <f t="shared" si="1"/>
        <v>1.615673644659152</v>
      </c>
      <c r="J4" s="35"/>
      <c r="K4" s="35"/>
      <c r="L4" s="9"/>
      <c r="M4" s="50"/>
      <c r="N4" s="9" t="s">
        <v>53</v>
      </c>
      <c r="O4" s="13" t="s">
        <v>48</v>
      </c>
    </row>
    <row r="5" spans="1:15" x14ac:dyDescent="0.3">
      <c r="A5" s="22" t="s">
        <v>57</v>
      </c>
      <c r="B5" s="10">
        <v>43927</v>
      </c>
      <c r="C5" s="9">
        <v>90</v>
      </c>
      <c r="D5" s="25">
        <v>56.5</v>
      </c>
      <c r="E5" s="25">
        <f t="shared" si="0"/>
        <v>5085</v>
      </c>
      <c r="F5" s="25">
        <f>Table2[[#This Row],[Total Corpus]]*2</f>
        <v>10170</v>
      </c>
      <c r="G5" s="25">
        <f>Table2[[#This Row],[Expectation]]-Table2[[#This Row],[Total Corpus]]</f>
        <v>5085</v>
      </c>
      <c r="H5" s="25">
        <f>Table2[[#This Row],[Expectation]]/Table2[[#This Row],[Quantity]]</f>
        <v>113</v>
      </c>
      <c r="I5" s="12">
        <f t="shared" si="1"/>
        <v>2</v>
      </c>
      <c r="J5" s="35"/>
      <c r="K5" s="35"/>
      <c r="L5" s="9"/>
      <c r="M5" s="50"/>
      <c r="N5" s="9" t="s">
        <v>54</v>
      </c>
      <c r="O5" s="13"/>
    </row>
    <row r="6" spans="1:15" x14ac:dyDescent="0.3">
      <c r="A6" s="29" t="s">
        <v>55</v>
      </c>
      <c r="B6" s="30">
        <v>43927</v>
      </c>
      <c r="C6" s="31">
        <v>23</v>
      </c>
      <c r="D6" s="32">
        <v>89.8</v>
      </c>
      <c r="E6" s="34">
        <f>-C6*D6</f>
        <v>-2065.4</v>
      </c>
      <c r="F6" s="32">
        <f>Table2[[#This Row],[Total Corpus]]*-3.5</f>
        <v>7228.9000000000005</v>
      </c>
      <c r="G6" s="32">
        <v>-109.25000000000023</v>
      </c>
      <c r="H6" s="32">
        <f>Table2[[#This Row],[Expectation]]/Table2[[#This Row],[Quantity]]</f>
        <v>314.3</v>
      </c>
      <c r="I6" s="33">
        <f t="shared" si="1"/>
        <v>-3.5</v>
      </c>
      <c r="J6" s="37">
        <v>85.05</v>
      </c>
      <c r="K6" s="37">
        <f>(-Table2[[#This Row],[Rate]]+Table2[[#This Row],[Actual Rate Sold]])*Table2[[#This Row],[Quantity]]</f>
        <v>-109.25</v>
      </c>
      <c r="L6" s="162">
        <v>43930</v>
      </c>
      <c r="M6" s="51">
        <f>NETWORKDAYS(Table2[[#This Row],[Date]],Table2[[#This Row],[Selling Date]])-1</f>
        <v>3</v>
      </c>
      <c r="N6" s="31" t="s">
        <v>54</v>
      </c>
      <c r="O6" s="13"/>
    </row>
    <row r="7" spans="1:15" x14ac:dyDescent="0.3">
      <c r="A7" s="29" t="s">
        <v>56</v>
      </c>
      <c r="B7" s="30">
        <v>43927</v>
      </c>
      <c r="C7" s="31">
        <v>119</v>
      </c>
      <c r="D7" s="32">
        <v>67.599999999999994</v>
      </c>
      <c r="E7" s="34">
        <f>-C7*D7</f>
        <v>-8044.4</v>
      </c>
      <c r="F7" s="32">
        <f>Table2[[#This Row],[Total Corpus]]*-3.5</f>
        <v>28155.399999999998</v>
      </c>
      <c r="G7" s="32">
        <v>-297.5</v>
      </c>
      <c r="H7" s="32">
        <f>Table2[[#This Row],[Expectation]]/Table2[[#This Row],[Quantity]]</f>
        <v>236.6</v>
      </c>
      <c r="I7" s="33">
        <f t="shared" si="1"/>
        <v>-3.5</v>
      </c>
      <c r="J7" s="37">
        <v>65.099999999999994</v>
      </c>
      <c r="K7" s="37">
        <f>(-Table2[[#This Row],[Rate]]+Table2[[#This Row],[Actual Rate Sold]])*Table2[[#This Row],[Quantity]]</f>
        <v>-297.5</v>
      </c>
      <c r="L7" s="162">
        <v>43930</v>
      </c>
      <c r="M7" s="51">
        <f>NETWORKDAYS(Table2[[#This Row],[Date]],Table2[[#This Row],[Selling Date]])-1</f>
        <v>3</v>
      </c>
      <c r="N7" s="31" t="s">
        <v>54</v>
      </c>
      <c r="O7" s="13"/>
    </row>
    <row r="8" spans="1:15" x14ac:dyDescent="0.3">
      <c r="A8" s="41" t="s">
        <v>58</v>
      </c>
      <c r="B8" s="42">
        <v>43929</v>
      </c>
      <c r="C8" s="43">
        <v>10</v>
      </c>
      <c r="D8" s="44">
        <v>231.85</v>
      </c>
      <c r="E8" s="44">
        <f t="shared" ref="E8:E9" si="2">C8*D8</f>
        <v>2318.5</v>
      </c>
      <c r="F8" s="44">
        <v>3000</v>
      </c>
      <c r="G8" s="44">
        <f>Table2[[#This Row],[Expectation]]-Table2[[#This Row],[Total Corpus]]</f>
        <v>681.5</v>
      </c>
      <c r="H8" s="44">
        <f>Table2[[#This Row],[Expectation]]/Table2[[#This Row],[Quantity]]</f>
        <v>300</v>
      </c>
      <c r="I8" s="45">
        <f t="shared" ref="I8:I9" si="3">F8/E8</f>
        <v>1.2939400474444684</v>
      </c>
      <c r="J8" s="161">
        <v>301</v>
      </c>
      <c r="K8" s="161">
        <f>(-Table2[[#This Row],[Rate]]+Table2[[#This Row],[Actual Rate Sold]])*Table2[[#This Row],[Quantity]]</f>
        <v>691.5</v>
      </c>
      <c r="L8" s="46">
        <v>43934</v>
      </c>
      <c r="M8" s="52">
        <f>NETWORKDAYS(Table2[[#This Row],[Date]],Table2[[#This Row],[Selling Date]])-1</f>
        <v>3</v>
      </c>
      <c r="N8" s="47" t="s">
        <v>54</v>
      </c>
      <c r="O8" s="48" t="s">
        <v>200</v>
      </c>
    </row>
    <row r="9" spans="1:15" x14ac:dyDescent="0.3">
      <c r="A9" s="22" t="s">
        <v>59</v>
      </c>
      <c r="B9" s="10">
        <v>43929</v>
      </c>
      <c r="C9" s="9">
        <v>6</v>
      </c>
      <c r="D9" s="25">
        <v>432.85</v>
      </c>
      <c r="E9" s="25">
        <f t="shared" si="2"/>
        <v>2597.1000000000004</v>
      </c>
      <c r="F9" s="25">
        <v>3200</v>
      </c>
      <c r="G9" s="25">
        <f>Table2[[#This Row],[Expectation]]-Table2[[#This Row],[Total Corpus]]</f>
        <v>602.89999999999964</v>
      </c>
      <c r="H9" s="25">
        <f>Table2[[#This Row],[Expectation]]/Table2[[#This Row],[Quantity]]</f>
        <v>533.33333333333337</v>
      </c>
      <c r="I9" s="12">
        <f t="shared" si="3"/>
        <v>1.2321435447229601</v>
      </c>
      <c r="J9" s="160"/>
      <c r="K9" s="160"/>
      <c r="L9" s="9"/>
      <c r="M9" s="51"/>
      <c r="N9" s="38" t="s">
        <v>54</v>
      </c>
      <c r="O9" s="13" t="s">
        <v>62</v>
      </c>
    </row>
    <row r="10" spans="1:15" x14ac:dyDescent="0.3">
      <c r="A10" s="22" t="s">
        <v>60</v>
      </c>
      <c r="B10" s="10">
        <v>43930</v>
      </c>
      <c r="C10" s="9">
        <v>15</v>
      </c>
      <c r="D10" s="25">
        <v>410</v>
      </c>
      <c r="E10" s="25">
        <f t="shared" ref="E10:E11" si="4">C10*D10</f>
        <v>6150</v>
      </c>
      <c r="F10" s="25">
        <f>Table2[[#This Row],[Rate]]*Table2[[#This Row],[Quantity]]*Table2[[#This Row],[Earning Ratio]]</f>
        <v>12300</v>
      </c>
      <c r="G10" s="25">
        <f>Table2[[#This Row],[Expectation]]-Table2[[#This Row],[Total Corpus]]</f>
        <v>6150</v>
      </c>
      <c r="H10" s="25">
        <f>Table2[[#This Row],[Expectation]]/Table2[[#This Row],[Quantity]]</f>
        <v>820</v>
      </c>
      <c r="I10" s="12">
        <v>2</v>
      </c>
      <c r="J10" s="160"/>
      <c r="K10" s="160"/>
      <c r="L10" s="9"/>
      <c r="M10" s="50"/>
      <c r="N10" s="9" t="s">
        <v>54</v>
      </c>
      <c r="O10" s="13" t="s">
        <v>63</v>
      </c>
    </row>
    <row r="11" spans="1:15" x14ac:dyDescent="0.3">
      <c r="A11" s="22" t="s">
        <v>61</v>
      </c>
      <c r="B11" s="10">
        <v>43930</v>
      </c>
      <c r="C11" s="9">
        <v>9</v>
      </c>
      <c r="D11" s="25">
        <v>385.1</v>
      </c>
      <c r="E11" s="25">
        <f t="shared" si="4"/>
        <v>3465.9</v>
      </c>
      <c r="F11" s="25">
        <f>Table2[[#This Row],[Earning Ratio]]*Table2[[#This Row],[Rate]]*Table2[[#This Row],[Quantity]]</f>
        <v>6065.3250000000007</v>
      </c>
      <c r="G11" s="25">
        <f>Table2[[#This Row],[Expectation]]-Table2[[#This Row],[Total Corpus]]</f>
        <v>2599.4250000000006</v>
      </c>
      <c r="H11" s="25">
        <f>Table2[[#This Row],[Expectation]]/Table2[[#This Row],[Quantity]]</f>
        <v>673.92500000000007</v>
      </c>
      <c r="I11" s="12">
        <v>1.75</v>
      </c>
      <c r="J11" s="160"/>
      <c r="K11" s="160"/>
      <c r="L11" s="9"/>
      <c r="M11" s="50"/>
      <c r="N11" s="9" t="s">
        <v>54</v>
      </c>
      <c r="O11" s="13" t="s">
        <v>63</v>
      </c>
    </row>
    <row r="12" spans="1:15" x14ac:dyDescent="0.3">
      <c r="A12" s="22" t="s">
        <v>96</v>
      </c>
      <c r="B12" s="10">
        <v>43934</v>
      </c>
      <c r="C12" s="9">
        <v>113</v>
      </c>
      <c r="D12" s="25">
        <v>52.85</v>
      </c>
      <c r="E12" s="25">
        <f t="shared" ref="E12" si="5">C12*D12</f>
        <v>5972.05</v>
      </c>
      <c r="F12" s="25">
        <f>Table2[[#This Row],[Earning Ratio]]*Table2[[#This Row],[Rate]]*Table2[[#This Row],[Quantity]]</f>
        <v>10749.69</v>
      </c>
      <c r="G12" s="25">
        <f>Table2[[#This Row],[Expectation]]-Table2[[#This Row],[Total Corpus]]</f>
        <v>4777.6400000000003</v>
      </c>
      <c r="H12" s="25">
        <f>Table2[[#This Row],[Expectation]]/Table2[[#This Row],[Quantity]]</f>
        <v>95.13000000000001</v>
      </c>
      <c r="I12" s="12">
        <v>1.8</v>
      </c>
      <c r="J12" s="160"/>
      <c r="K12" s="160"/>
      <c r="L12" s="9"/>
      <c r="M12" s="50"/>
      <c r="N12" s="9" t="s">
        <v>54</v>
      </c>
      <c r="O12" s="13" t="s">
        <v>47</v>
      </c>
    </row>
    <row r="13" spans="1:15" x14ac:dyDescent="0.3">
      <c r="A13" s="22" t="s">
        <v>102</v>
      </c>
      <c r="B13" s="10">
        <v>43934</v>
      </c>
      <c r="C13" s="9">
        <v>4</v>
      </c>
      <c r="D13" s="25">
        <v>1599.15</v>
      </c>
      <c r="E13" s="25">
        <f t="shared" ref="E13" si="6">C13*D13</f>
        <v>6396.6</v>
      </c>
      <c r="F13" s="25">
        <f>Table2[[#This Row],[Earning Ratio]]*Table2[[#This Row],[Rate]]*Table2[[#This Row],[Quantity]]</f>
        <v>8955.24</v>
      </c>
      <c r="G13" s="25">
        <f>Table2[[#This Row],[Expectation]]-Table2[[#This Row],[Total Corpus]]</f>
        <v>2558.6399999999994</v>
      </c>
      <c r="H13" s="25">
        <f>Table2[[#This Row],[Expectation]]/Table2[[#This Row],[Quantity]]</f>
        <v>2238.81</v>
      </c>
      <c r="I13" s="12">
        <v>1.4</v>
      </c>
      <c r="J13" s="160"/>
      <c r="K13" s="160"/>
      <c r="L13" s="9"/>
      <c r="M13" s="50"/>
      <c r="N13" s="9" t="s">
        <v>53</v>
      </c>
      <c r="O13" s="13" t="s">
        <v>105</v>
      </c>
    </row>
    <row r="14" spans="1:15" x14ac:dyDescent="0.3">
      <c r="A14" s="22" t="s">
        <v>55</v>
      </c>
      <c r="B14" s="10">
        <v>43938</v>
      </c>
      <c r="C14" s="9">
        <v>46</v>
      </c>
      <c r="D14" s="25">
        <v>108.65</v>
      </c>
      <c r="E14" s="25">
        <f t="shared" ref="E14:E22" si="7">C14*D14</f>
        <v>4997.9000000000005</v>
      </c>
      <c r="F14" s="25">
        <f>Table2[[#This Row],[Earning Ratio]]*Table2[[#This Row],[Quantity]]*Table2[[#This Row],[Rate]]</f>
        <v>14493.910000000002</v>
      </c>
      <c r="G14" s="25">
        <f>Table2[[#This Row],[Expectation]]-Table2[[#This Row],[Total Corpus]]</f>
        <v>9496.010000000002</v>
      </c>
      <c r="H14" s="25">
        <f>Table2[[#This Row],[Expectation]]/Table2[[#This Row],[Quantity]]</f>
        <v>315.08500000000004</v>
      </c>
      <c r="I14" s="12">
        <v>2.9</v>
      </c>
      <c r="J14" s="160"/>
      <c r="K14" s="160"/>
      <c r="L14" s="9"/>
      <c r="M14" s="50"/>
      <c r="N14" s="9" t="s">
        <v>54</v>
      </c>
      <c r="O14" s="13" t="s">
        <v>108</v>
      </c>
    </row>
    <row r="15" spans="1:15" x14ac:dyDescent="0.3">
      <c r="A15" s="22" t="s">
        <v>81</v>
      </c>
      <c r="B15" s="10">
        <v>43943</v>
      </c>
      <c r="C15" s="9">
        <v>19</v>
      </c>
      <c r="D15" s="25">
        <v>260.85000000000002</v>
      </c>
      <c r="E15" s="25">
        <f t="shared" si="7"/>
        <v>4956.1500000000005</v>
      </c>
      <c r="F15" s="25">
        <f>Table2[[#This Row],[Earning Ratio]]*Table2[[#This Row],[Quantity]]*Table2[[#This Row],[Rate]]</f>
        <v>6839.4870000000001</v>
      </c>
      <c r="G15" s="25">
        <f>Table2[[#This Row],[Expectation]]-Table2[[#This Row],[Total Corpus]]</f>
        <v>1883.3369999999995</v>
      </c>
      <c r="H15" s="25">
        <v>360</v>
      </c>
      <c r="I15" s="12">
        <v>1.38</v>
      </c>
      <c r="J15" s="160"/>
      <c r="K15" s="160"/>
      <c r="L15" s="9"/>
      <c r="M15" s="50"/>
      <c r="N15" s="9"/>
      <c r="O15" s="13"/>
    </row>
    <row r="16" spans="1:15" x14ac:dyDescent="0.3">
      <c r="A16" s="22" t="s">
        <v>56</v>
      </c>
      <c r="B16" s="10">
        <v>43944</v>
      </c>
      <c r="C16" s="9">
        <v>27</v>
      </c>
      <c r="D16" s="25">
        <v>97.65</v>
      </c>
      <c r="E16" s="25">
        <f t="shared" si="7"/>
        <v>2636.55</v>
      </c>
      <c r="F16" s="25">
        <f>Table2[[#This Row],[Earning Ratio]]*Table2[[#This Row],[Quantity]]*Table2[[#This Row],[Rate]]</f>
        <v>6195.8925000000008</v>
      </c>
      <c r="G16" s="25">
        <f>Table2[[#This Row],[Expectation]]-Table2[[#This Row],[Total Corpus]]</f>
        <v>3559.3425000000007</v>
      </c>
      <c r="H16" s="25">
        <f>Table2[[#This Row],[Expectation]]/Table2[[#This Row],[Quantity]]</f>
        <v>229.47750000000002</v>
      </c>
      <c r="I16" s="12">
        <v>2.35</v>
      </c>
      <c r="J16" s="160"/>
      <c r="K16" s="160"/>
      <c r="L16" s="9"/>
      <c r="M16" s="50"/>
      <c r="N16" s="9" t="s">
        <v>53</v>
      </c>
      <c r="O16" s="13" t="s">
        <v>110</v>
      </c>
    </row>
    <row r="17" spans="1:15" x14ac:dyDescent="0.3">
      <c r="A17" s="22" t="s">
        <v>56</v>
      </c>
      <c r="B17" s="10">
        <v>43944</v>
      </c>
      <c r="C17" s="9">
        <v>50</v>
      </c>
      <c r="D17" s="25">
        <v>98.3</v>
      </c>
      <c r="E17" s="25">
        <f t="shared" si="7"/>
        <v>4915</v>
      </c>
      <c r="F17" s="25">
        <f>Table2[[#This Row],[Earning Ratio]]*Table2[[#This Row],[Quantity]]*Table2[[#This Row],[Rate]]</f>
        <v>11550.25</v>
      </c>
      <c r="G17" s="25">
        <f>Table2[[#This Row],[Expectation]]-Table2[[#This Row],[Total Corpus]]</f>
        <v>6635.25</v>
      </c>
      <c r="H17" s="25">
        <f>Table2[[#This Row],[Expectation]]/Table2[[#This Row],[Quantity]]</f>
        <v>231.005</v>
      </c>
      <c r="I17" s="12">
        <v>2.35</v>
      </c>
      <c r="J17" s="160"/>
      <c r="K17" s="160"/>
      <c r="L17" s="9"/>
      <c r="M17" s="50"/>
      <c r="N17" s="9" t="s">
        <v>109</v>
      </c>
      <c r="O17" s="13" t="s">
        <v>110</v>
      </c>
    </row>
    <row r="18" spans="1:15" x14ac:dyDescent="0.3">
      <c r="A18" s="22" t="s">
        <v>117</v>
      </c>
      <c r="B18" s="10">
        <v>43955</v>
      </c>
      <c r="C18" s="9">
        <v>30</v>
      </c>
      <c r="D18" s="25">
        <v>219</v>
      </c>
      <c r="E18" s="25">
        <f t="shared" si="7"/>
        <v>6570</v>
      </c>
      <c r="F18" s="25">
        <f>Table2[[#This Row],[Earning Ratio]]*Table2[[#This Row],[Quantity]]*Table2[[#This Row],[Rate]]</f>
        <v>8541</v>
      </c>
      <c r="G18" s="25">
        <f>Table2[[#This Row],[Expectation]]-Table2[[#This Row],[Total Corpus]]</f>
        <v>1971</v>
      </c>
      <c r="H18" s="25">
        <f>Table2[[#This Row],[Expectation]]/Table2[[#This Row],[Quantity]]</f>
        <v>284.7</v>
      </c>
      <c r="I18" s="12">
        <v>1.3</v>
      </c>
      <c r="J18" s="160"/>
      <c r="K18" s="160"/>
      <c r="L18" s="9"/>
      <c r="M18" s="50"/>
      <c r="N18" s="9"/>
      <c r="O18" s="13"/>
    </row>
    <row r="19" spans="1:15" x14ac:dyDescent="0.3">
      <c r="A19" s="22" t="s">
        <v>118</v>
      </c>
      <c r="B19" s="10">
        <v>43955</v>
      </c>
      <c r="C19" s="9">
        <v>78</v>
      </c>
      <c r="D19" s="25">
        <v>77.5</v>
      </c>
      <c r="E19" s="25">
        <f t="shared" si="7"/>
        <v>6045</v>
      </c>
      <c r="F19" s="25">
        <f>Table2[[#This Row],[Earning Ratio]]*Table2[[#This Row],[Quantity]]*Table2[[#This Row],[Rate]]</f>
        <v>9067.5</v>
      </c>
      <c r="G19" s="25">
        <f>Table2[[#This Row],[Expectation]]-Table2[[#This Row],[Total Corpus]]</f>
        <v>3022.5</v>
      </c>
      <c r="H19" s="25">
        <f>Table2[[#This Row],[Expectation]]/Table2[[#This Row],[Quantity]]</f>
        <v>116.25</v>
      </c>
      <c r="I19" s="12">
        <v>1.5</v>
      </c>
      <c r="J19" s="160"/>
      <c r="K19" s="160"/>
      <c r="L19" s="9"/>
      <c r="M19" s="50"/>
      <c r="N19" s="9"/>
      <c r="O19" s="13"/>
    </row>
    <row r="20" spans="1:15" x14ac:dyDescent="0.3">
      <c r="A20" s="22" t="s">
        <v>119</v>
      </c>
      <c r="B20" s="10">
        <v>43955</v>
      </c>
      <c r="C20" s="9">
        <v>20</v>
      </c>
      <c r="D20" s="25">
        <v>344.1</v>
      </c>
      <c r="E20" s="25">
        <f t="shared" si="7"/>
        <v>6882</v>
      </c>
      <c r="F20" s="25">
        <f>Table2[[#This Row],[Earning Ratio]]*Table2[[#This Row],[Quantity]]*Table2[[#This Row],[Rate]]</f>
        <v>7914.3</v>
      </c>
      <c r="G20" s="25">
        <f>Table2[[#This Row],[Expectation]]-Table2[[#This Row],[Total Corpus]]</f>
        <v>1032.3000000000002</v>
      </c>
      <c r="H20" s="25">
        <f>Table2[[#This Row],[Expectation]]/Table2[[#This Row],[Quantity]]</f>
        <v>395.71500000000003</v>
      </c>
      <c r="I20" s="12">
        <v>1.1499999999999999</v>
      </c>
      <c r="J20" s="160"/>
      <c r="K20" s="160"/>
      <c r="L20" s="9"/>
      <c r="M20" s="50"/>
      <c r="N20" s="9"/>
      <c r="O20" s="13"/>
    </row>
    <row r="21" spans="1:15" x14ac:dyDescent="0.3">
      <c r="A21" s="22" t="s">
        <v>121</v>
      </c>
      <c r="B21" s="10">
        <v>43956</v>
      </c>
      <c r="C21" s="9">
        <v>125</v>
      </c>
      <c r="D21" s="25">
        <v>80</v>
      </c>
      <c r="E21" s="25">
        <f t="shared" si="7"/>
        <v>10000</v>
      </c>
      <c r="F21" s="25">
        <f>Table2[[#This Row],[Earning Ratio]]*Table2[[#This Row],[Quantity]]*Table2[[#This Row],[Rate]]</f>
        <v>12000</v>
      </c>
      <c r="G21" s="25">
        <f>Table2[[#This Row],[Expectation]]-Table2[[#This Row],[Total Corpus]]</f>
        <v>2000</v>
      </c>
      <c r="H21" s="25">
        <f>Table2[[#This Row],[Expectation]]/Table2[[#This Row],[Quantity]]</f>
        <v>96</v>
      </c>
      <c r="I21" s="12">
        <v>1.2</v>
      </c>
      <c r="J21" s="160"/>
      <c r="K21" s="160"/>
      <c r="L21" s="9"/>
      <c r="M21" s="50"/>
      <c r="N21" s="9"/>
      <c r="O21" s="13"/>
    </row>
    <row r="22" spans="1:15" x14ac:dyDescent="0.3">
      <c r="A22" s="41" t="s">
        <v>120</v>
      </c>
      <c r="B22" s="42">
        <v>43957</v>
      </c>
      <c r="C22" s="43">
        <v>61</v>
      </c>
      <c r="D22" s="44">
        <v>164.5</v>
      </c>
      <c r="E22" s="44">
        <f t="shared" si="7"/>
        <v>10034.5</v>
      </c>
      <c r="F22" s="44">
        <f>Table2[[#This Row],[Earning Ratio]]*Table2[[#This Row],[Quantity]]*Table2[[#This Row],[Rate]]</f>
        <v>12041.4</v>
      </c>
      <c r="G22" s="44">
        <f>Table2[[#This Row],[Expectation]]-Table2[[#This Row],[Total Corpus]]</f>
        <v>2006.8999999999996</v>
      </c>
      <c r="H22" s="44">
        <f>Table2[[#This Row],[Expectation]]/Table2[[#This Row],[Quantity]]</f>
        <v>197.4</v>
      </c>
      <c r="I22" s="45">
        <v>1.2</v>
      </c>
      <c r="J22" s="161">
        <v>197</v>
      </c>
      <c r="K22" s="161">
        <f>(-Table2[[#This Row],[Rate]]+Table2[[#This Row],[Actual Rate Sold]])*Table2[[#This Row],[Quantity]]</f>
        <v>1982.5</v>
      </c>
      <c r="L22" s="46">
        <v>43964</v>
      </c>
      <c r="M22" s="52">
        <f>NETWORKDAYS(Table2[[#This Row],[Date]],Table2[[#This Row],[Selling Date]])-1</f>
        <v>5</v>
      </c>
      <c r="N22" s="43" t="s">
        <v>54</v>
      </c>
      <c r="O22" s="48" t="s">
        <v>201</v>
      </c>
    </row>
    <row r="23" spans="1:15" x14ac:dyDescent="0.3">
      <c r="A23" s="22"/>
      <c r="B23" s="10"/>
      <c r="C23" s="9"/>
      <c r="D23" s="26"/>
      <c r="E23" s="26"/>
      <c r="F23" s="26"/>
      <c r="G23" s="26">
        <f>Table2[[#This Row],[Expectation]]-Table2[[#This Row],[Total Corpus]]</f>
        <v>0</v>
      </c>
      <c r="H23" s="26"/>
      <c r="I23" s="12"/>
      <c r="J23" s="35"/>
      <c r="K23" s="35"/>
      <c r="L23" s="9"/>
      <c r="M23" s="50"/>
      <c r="N23" s="9"/>
      <c r="O23" s="13"/>
    </row>
    <row r="24" spans="1:15" x14ac:dyDescent="0.3">
      <c r="A24" s="22"/>
      <c r="B24" s="10"/>
      <c r="C24" s="9"/>
      <c r="D24" s="26"/>
      <c r="E24" s="26"/>
      <c r="F24" s="26"/>
      <c r="G24" s="26">
        <f>Table2[[#This Row],[Expectation]]-Table2[[#This Row],[Total Corpus]]</f>
        <v>0</v>
      </c>
      <c r="H24" s="26"/>
      <c r="I24" s="12"/>
      <c r="J24" s="35"/>
      <c r="K24" s="35"/>
      <c r="L24" s="9"/>
      <c r="M24" s="50"/>
      <c r="N24" s="9"/>
      <c r="O24" s="13"/>
    </row>
    <row r="25" spans="1:15" x14ac:dyDescent="0.3">
      <c r="A25" s="23"/>
      <c r="B25" s="14"/>
      <c r="C25" s="15"/>
      <c r="D25" s="27"/>
      <c r="E25" s="27"/>
      <c r="F25" s="27"/>
      <c r="G25" s="27">
        <f>Table2[[#This Row],[Expectation]]-Table2[[#This Row],[Total Corpus]]</f>
        <v>0</v>
      </c>
      <c r="H25" s="27"/>
      <c r="I25" s="24"/>
      <c r="J25" s="36"/>
      <c r="K25" s="36"/>
      <c r="L25" s="15"/>
      <c r="M25" s="50"/>
      <c r="N25" s="9"/>
      <c r="O25" s="16"/>
    </row>
    <row r="26" spans="1:15" x14ac:dyDescent="0.3">
      <c r="A26" s="81" t="s">
        <v>97</v>
      </c>
      <c r="B26" s="10"/>
      <c r="C26" s="9"/>
      <c r="D26" s="9"/>
      <c r="E26" s="28">
        <f>SUM(E3:E25)</f>
        <v>98337.450000000012</v>
      </c>
      <c r="F26" s="28">
        <f>SUM(F3:F25)</f>
        <v>210515.29449999996</v>
      </c>
      <c r="G26" s="28">
        <f>SUBTOTAL(109,Table2[Profit])</f>
        <v>66276.994500000001</v>
      </c>
      <c r="H26" s="12"/>
      <c r="I26" s="159">
        <f>F26/E26</f>
        <v>2.1407438824171252</v>
      </c>
      <c r="J26" s="9"/>
      <c r="K26" s="28">
        <f>SUBTOTAL(109,Table2[Realised Profit])</f>
        <v>2267.25</v>
      </c>
    </row>
    <row r="27" spans="1:15" x14ac:dyDescent="0.3">
      <c r="D27" s="40"/>
      <c r="F27" s="39"/>
    </row>
    <row r="28" spans="1:15" x14ac:dyDescent="0.3">
      <c r="A28" s="137" t="s">
        <v>32</v>
      </c>
      <c r="B28" s="137"/>
      <c r="C28" s="137"/>
      <c r="D28" s="137"/>
      <c r="F28" s="39"/>
      <c r="J28" s="39"/>
    </row>
    <row r="29" spans="1:15" x14ac:dyDescent="0.3">
      <c r="A29" s="85" t="s">
        <v>86</v>
      </c>
      <c r="B29" s="87" t="s">
        <v>103</v>
      </c>
      <c r="C29" s="87" t="s">
        <v>37</v>
      </c>
      <c r="D29" s="88" t="s">
        <v>39</v>
      </c>
      <c r="G29" s="82"/>
      <c r="H29" s="83"/>
      <c r="I29" s="82"/>
      <c r="J29" s="39"/>
    </row>
    <row r="30" spans="1:15" x14ac:dyDescent="0.3">
      <c r="A30" s="57"/>
      <c r="B30" s="65"/>
      <c r="C30" s="64"/>
      <c r="D30" s="64"/>
      <c r="G30" s="82"/>
      <c r="H30" s="83"/>
      <c r="I30" s="82"/>
    </row>
    <row r="31" spans="1:15" x14ac:dyDescent="0.3">
      <c r="A31" s="57"/>
      <c r="B31" s="65"/>
      <c r="C31" s="64"/>
      <c r="D31" s="64"/>
      <c r="G31" s="82"/>
      <c r="H31" s="83"/>
      <c r="I31" s="82"/>
    </row>
    <row r="32" spans="1:15" x14ac:dyDescent="0.3">
      <c r="D32" s="11">
        <f>SUM(D30:D31)</f>
        <v>0</v>
      </c>
      <c r="G32" s="82"/>
      <c r="H32" s="83"/>
      <c r="I32" s="82"/>
    </row>
    <row r="33" spans="1:11" x14ac:dyDescent="0.3">
      <c r="G33" s="82"/>
      <c r="H33" s="83"/>
      <c r="I33" s="82"/>
    </row>
    <row r="36" spans="1:11" x14ac:dyDescent="0.3">
      <c r="A36" s="135" t="s">
        <v>87</v>
      </c>
      <c r="B36" s="136"/>
      <c r="D36" s="134" t="s">
        <v>91</v>
      </c>
      <c r="E36" s="134"/>
      <c r="G36" s="133" t="s">
        <v>133</v>
      </c>
      <c r="H36" s="133"/>
    </row>
    <row r="37" spans="1:11" x14ac:dyDescent="0.3">
      <c r="A37" s="85" t="s">
        <v>88</v>
      </c>
      <c r="B37" s="86">
        <v>564</v>
      </c>
      <c r="D37" s="85" t="s">
        <v>92</v>
      </c>
      <c r="E37" s="86">
        <v>15000</v>
      </c>
      <c r="G37" s="9" t="s">
        <v>134</v>
      </c>
      <c r="H37" s="9">
        <v>500</v>
      </c>
    </row>
    <row r="38" spans="1:11" x14ac:dyDescent="0.3">
      <c r="A38" s="57" t="s">
        <v>89</v>
      </c>
      <c r="B38" s="58">
        <v>500</v>
      </c>
      <c r="D38" s="57" t="s">
        <v>88</v>
      </c>
      <c r="E38" s="58">
        <v>164.5</v>
      </c>
      <c r="G38" s="9" t="s">
        <v>135</v>
      </c>
      <c r="H38" s="9">
        <v>16.149999999999999</v>
      </c>
    </row>
    <row r="39" spans="1:11" x14ac:dyDescent="0.3">
      <c r="A39" s="59" t="s">
        <v>90</v>
      </c>
      <c r="B39" s="60">
        <f>B37*B38</f>
        <v>282000</v>
      </c>
      <c r="D39" s="59" t="s">
        <v>89</v>
      </c>
      <c r="E39" s="60">
        <f>E37/E38</f>
        <v>91.1854103343465</v>
      </c>
      <c r="G39" s="9" t="s">
        <v>161</v>
      </c>
      <c r="H39" s="9">
        <v>1500</v>
      </c>
    </row>
    <row r="40" spans="1:11" x14ac:dyDescent="0.3">
      <c r="G40" s="9" t="s">
        <v>136</v>
      </c>
      <c r="H40" s="9">
        <v>1355</v>
      </c>
    </row>
    <row r="41" spans="1:11" x14ac:dyDescent="0.3">
      <c r="G41" s="81" t="s">
        <v>138</v>
      </c>
      <c r="H41" s="81">
        <f>H38*H37</f>
        <v>8074.9999999999991</v>
      </c>
    </row>
    <row r="42" spans="1:11" ht="15" thickBot="1" x14ac:dyDescent="0.35">
      <c r="B42" s="70"/>
      <c r="G42" s="89" t="s">
        <v>137</v>
      </c>
      <c r="H42" s="89">
        <f>H39+H38</f>
        <v>1516.15</v>
      </c>
    </row>
    <row r="43" spans="1:11" ht="15" thickTop="1" x14ac:dyDescent="0.3">
      <c r="B43" s="70"/>
      <c r="G43" s="90" t="s">
        <v>139</v>
      </c>
      <c r="H43" s="90">
        <v>1530</v>
      </c>
      <c r="K43" s="71">
        <f>K42*J39</f>
        <v>0</v>
      </c>
    </row>
    <row r="44" spans="1:11" ht="15" thickBot="1" x14ac:dyDescent="0.35">
      <c r="G44" s="91" t="s">
        <v>140</v>
      </c>
      <c r="H44" s="91">
        <f>MAX(((H43-H42)*H37),-H41)</f>
        <v>6924.9999999999545</v>
      </c>
    </row>
    <row r="45" spans="1:11" ht="15.6" thickTop="1" thickBot="1" x14ac:dyDescent="0.35">
      <c r="G45" s="91" t="s">
        <v>141</v>
      </c>
      <c r="H45" s="92">
        <f>H44/H41</f>
        <v>0.85758513931887992</v>
      </c>
    </row>
    <row r="46" spans="1:11" ht="15" thickTop="1" x14ac:dyDescent="0.3"/>
  </sheetData>
  <mergeCells count="4">
    <mergeCell ref="G36:H36"/>
    <mergeCell ref="D36:E36"/>
    <mergeCell ref="A36:B36"/>
    <mergeCell ref="A28:D28"/>
  </mergeCells>
  <pageMargins left="0.7" right="0.7" top="0.75" bottom="0.75" header="0.3" footer="0.3"/>
  <pageSetup paperSize="9" orientation="portrait" r:id="rId1"/>
  <ignoredErrors>
    <ignoredError sqref="M6:M8 H15 M22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showGridLines="0" tabSelected="1" workbookViewId="0">
      <pane xSplit="8" ySplit="2" topLeftCell="I20" activePane="bottomRight" state="frozen"/>
      <selection pane="topRight" activeCell="I1" sqref="I1"/>
      <selection pane="bottomLeft" activeCell="A3" sqref="A3"/>
      <selection pane="bottomRight" activeCell="J8" sqref="J8"/>
    </sheetView>
  </sheetViews>
  <sheetFormatPr defaultRowHeight="14.4" x14ac:dyDescent="0.3"/>
  <cols>
    <col min="1" max="1" width="11" style="93" bestFit="1" customWidth="1"/>
    <col min="2" max="2" width="15.77734375" style="93" bestFit="1" customWidth="1"/>
    <col min="3" max="3" width="8" style="93" bestFit="1" customWidth="1"/>
    <col min="4" max="4" width="9.88671875" style="93" bestFit="1" customWidth="1"/>
    <col min="5" max="5" width="9.21875" style="93" bestFit="1" customWidth="1"/>
    <col min="6" max="6" width="5" style="93" bestFit="1" customWidth="1"/>
    <col min="7" max="7" width="9.44140625" style="93" bestFit="1" customWidth="1"/>
    <col min="8" max="8" width="14.88671875" style="93" bestFit="1" customWidth="1"/>
    <col min="9" max="9" width="11.44140625" style="93" bestFit="1" customWidth="1"/>
    <col min="10" max="10" width="11.33203125" style="93" bestFit="1" customWidth="1"/>
    <col min="11" max="11" width="10.44140625" style="93" bestFit="1" customWidth="1"/>
    <col min="12" max="12" width="14.6640625" style="93" bestFit="1" customWidth="1"/>
    <col min="13" max="13" width="13.5546875" style="93" bestFit="1" customWidth="1"/>
    <col min="14" max="14" width="17.21875" style="93" bestFit="1" customWidth="1"/>
    <col min="15" max="15" width="17.44140625" style="93" bestFit="1" customWidth="1"/>
    <col min="16" max="16" width="16.109375" style="93" bestFit="1" customWidth="1"/>
    <col min="17" max="17" width="14.6640625" style="93" bestFit="1" customWidth="1"/>
    <col min="18" max="18" width="12" style="93" bestFit="1" customWidth="1"/>
    <col min="19" max="19" width="9.33203125" style="93" bestFit="1" customWidth="1"/>
    <col min="20" max="20" width="12.5546875" style="93" bestFit="1" customWidth="1"/>
    <col min="21" max="21" width="13.44140625" style="93" bestFit="1" customWidth="1"/>
    <col min="22" max="22" width="16.77734375" style="93" bestFit="1" customWidth="1"/>
    <col min="23" max="23" width="17" style="93" bestFit="1" customWidth="1"/>
    <col min="24" max="16384" width="8.88671875" style="93"/>
  </cols>
  <sheetData>
    <row r="1" spans="1:23" ht="28.8" x14ac:dyDescent="0.55000000000000004">
      <c r="A1" s="103" t="s">
        <v>144</v>
      </c>
    </row>
    <row r="2" spans="1:23" ht="15.6" x14ac:dyDescent="0.3">
      <c r="A2" s="101" t="s">
        <v>40</v>
      </c>
      <c r="B2" s="101" t="s">
        <v>165</v>
      </c>
      <c r="C2" s="102" t="s">
        <v>145</v>
      </c>
      <c r="D2" s="102" t="s">
        <v>36</v>
      </c>
      <c r="E2" s="101" t="s">
        <v>134</v>
      </c>
      <c r="F2" s="101" t="s">
        <v>172</v>
      </c>
      <c r="G2" s="101" t="s">
        <v>147</v>
      </c>
      <c r="H2" s="101" t="s">
        <v>138</v>
      </c>
      <c r="I2" s="101" t="s">
        <v>161</v>
      </c>
      <c r="J2" s="101" t="s">
        <v>162</v>
      </c>
      <c r="K2" s="101" t="s">
        <v>148</v>
      </c>
      <c r="L2" s="101" t="s">
        <v>168</v>
      </c>
      <c r="M2" s="101" t="s">
        <v>167</v>
      </c>
      <c r="N2" s="101" t="s">
        <v>171</v>
      </c>
      <c r="O2" s="101" t="s">
        <v>163</v>
      </c>
      <c r="P2" s="101" t="s">
        <v>164</v>
      </c>
      <c r="Q2" s="101" t="s">
        <v>68</v>
      </c>
      <c r="R2" s="101" t="s">
        <v>43</v>
      </c>
      <c r="S2" s="101" t="s">
        <v>69</v>
      </c>
      <c r="T2" s="101" t="s">
        <v>50</v>
      </c>
      <c r="U2" s="101" t="s">
        <v>46</v>
      </c>
      <c r="V2" s="121" t="s">
        <v>174</v>
      </c>
      <c r="W2" s="123" t="s">
        <v>175</v>
      </c>
    </row>
    <row r="3" spans="1:23" x14ac:dyDescent="0.3">
      <c r="A3" s="113" t="s">
        <v>70</v>
      </c>
      <c r="B3" s="113" t="s">
        <v>123</v>
      </c>
      <c r="C3" s="114" t="s">
        <v>146</v>
      </c>
      <c r="D3" s="114">
        <v>43964</v>
      </c>
      <c r="E3" s="113">
        <v>400</v>
      </c>
      <c r="F3" s="113">
        <v>1</v>
      </c>
      <c r="G3" s="115">
        <v>13.3</v>
      </c>
      <c r="H3" s="116">
        <f t="shared" ref="H3:H9" si="0">E3*G3*F3</f>
        <v>5320</v>
      </c>
      <c r="I3" s="116">
        <v>1300</v>
      </c>
      <c r="J3" s="116">
        <v>1200</v>
      </c>
      <c r="K3" s="115">
        <f>I3+G3</f>
        <v>1313.3</v>
      </c>
      <c r="L3" s="115">
        <v>0</v>
      </c>
      <c r="M3" s="115">
        <v>0</v>
      </c>
      <c r="N3" s="117" t="s">
        <v>173</v>
      </c>
      <c r="O3" s="117">
        <f>(P3-G3)/G3</f>
        <v>0.20676691729323307</v>
      </c>
      <c r="P3" s="115">
        <v>16.05</v>
      </c>
      <c r="Q3" s="118">
        <f>(P3-G3)*F3*E3</f>
        <v>1100</v>
      </c>
      <c r="R3" s="114">
        <v>43964</v>
      </c>
      <c r="S3" s="119">
        <f>NETWORKDAYS(R3,D3)</f>
        <v>1</v>
      </c>
      <c r="T3" s="113" t="s">
        <v>169</v>
      </c>
      <c r="U3" s="113" t="s">
        <v>170</v>
      </c>
      <c r="V3" s="121"/>
      <c r="W3" s="121"/>
    </row>
    <row r="4" spans="1:23" x14ac:dyDescent="0.3">
      <c r="A4" s="94" t="s">
        <v>82</v>
      </c>
      <c r="B4" s="94" t="s">
        <v>123</v>
      </c>
      <c r="C4" s="111" t="s">
        <v>146</v>
      </c>
      <c r="D4" s="111">
        <v>43964</v>
      </c>
      <c r="E4" s="94">
        <v>505</v>
      </c>
      <c r="F4" s="94">
        <v>2</v>
      </c>
      <c r="G4" s="106">
        <v>6.6</v>
      </c>
      <c r="H4" s="96">
        <f t="shared" si="0"/>
        <v>6666</v>
      </c>
      <c r="I4" s="96">
        <v>1703</v>
      </c>
      <c r="J4" s="96">
        <v>1496</v>
      </c>
      <c r="K4" s="106">
        <f t="shared" ref="K4:K5" si="1">I4+G4</f>
        <v>1709.6</v>
      </c>
      <c r="L4" s="106">
        <v>1730</v>
      </c>
      <c r="M4" s="106">
        <f>IF(B4="Call",MAX((L4-K4)*F4*E4,-H4),MAX((L4-K4)*F4*-E4,-H4))</f>
        <v>20604.000000000091</v>
      </c>
      <c r="N4" s="110">
        <f>MAX((M4-H4)/H4,-100%)</f>
        <v>2.0909090909091046</v>
      </c>
      <c r="O4" s="110">
        <v>0.5</v>
      </c>
      <c r="P4" s="106"/>
      <c r="Q4" s="97"/>
      <c r="R4" s="111"/>
      <c r="S4" s="98"/>
      <c r="T4" s="94" t="s">
        <v>53</v>
      </c>
      <c r="U4" s="94" t="s">
        <v>170</v>
      </c>
      <c r="V4" s="122">
        <f>G4*(100% +O4)</f>
        <v>9.8999999999999986</v>
      </c>
      <c r="W4" s="122">
        <f>(V4*E4*F4)-H4</f>
        <v>3332.9999999999982</v>
      </c>
    </row>
    <row r="5" spans="1:23" x14ac:dyDescent="0.3">
      <c r="A5" s="94" t="s">
        <v>152</v>
      </c>
      <c r="B5" s="94" t="s">
        <v>166</v>
      </c>
      <c r="C5" s="111" t="s">
        <v>146</v>
      </c>
      <c r="D5" s="111">
        <v>43964</v>
      </c>
      <c r="E5" s="94">
        <v>1200</v>
      </c>
      <c r="F5" s="94">
        <v>1</v>
      </c>
      <c r="G5" s="106">
        <v>3.25</v>
      </c>
      <c r="H5" s="96">
        <f t="shared" si="0"/>
        <v>3900</v>
      </c>
      <c r="I5" s="96">
        <v>100</v>
      </c>
      <c r="J5" s="96">
        <v>136.69999999999999</v>
      </c>
      <c r="K5" s="112">
        <f t="shared" si="1"/>
        <v>103.25</v>
      </c>
      <c r="L5" s="106">
        <v>80</v>
      </c>
      <c r="M5" s="106">
        <f t="shared" ref="M5:M7" si="2">IF(B5="Call",MAX((L5-K5)*F5*E5,-H5),MAX((L5-K5)*F5*-E5,-H5))</f>
        <v>27900</v>
      </c>
      <c r="N5" s="110">
        <v>1</v>
      </c>
      <c r="O5" s="110">
        <v>0.5</v>
      </c>
      <c r="P5" s="106"/>
      <c r="Q5" s="106"/>
      <c r="R5" s="111"/>
      <c r="S5" s="94"/>
      <c r="T5" s="94" t="s">
        <v>169</v>
      </c>
      <c r="U5" s="94" t="s">
        <v>170</v>
      </c>
      <c r="V5" s="122">
        <f t="shared" ref="V5:V6" si="3">G5*(100% +O5)</f>
        <v>4.875</v>
      </c>
      <c r="W5" s="122">
        <f t="shared" ref="W5:W6" si="4">(V5*E5*F5)-H5</f>
        <v>1950</v>
      </c>
    </row>
    <row r="6" spans="1:23" x14ac:dyDescent="0.3">
      <c r="A6" s="141" t="s">
        <v>152</v>
      </c>
      <c r="B6" s="141" t="s">
        <v>123</v>
      </c>
      <c r="C6" s="142" t="s">
        <v>146</v>
      </c>
      <c r="D6" s="142">
        <v>43965</v>
      </c>
      <c r="E6" s="141">
        <v>1200</v>
      </c>
      <c r="F6" s="141">
        <v>1</v>
      </c>
      <c r="G6" s="143">
        <v>2.2999999999999998</v>
      </c>
      <c r="H6" s="144">
        <f t="shared" si="0"/>
        <v>2760</v>
      </c>
      <c r="I6" s="144">
        <v>200</v>
      </c>
      <c r="J6" s="144">
        <v>137.80000000000001</v>
      </c>
      <c r="K6" s="145">
        <f t="shared" ref="K6" si="5">I6+G6</f>
        <v>202.3</v>
      </c>
      <c r="L6" s="143">
        <v>205</v>
      </c>
      <c r="M6" s="143">
        <f t="shared" si="2"/>
        <v>3239.9999999999864</v>
      </c>
      <c r="N6" s="146">
        <f t="shared" ref="N6:N11" si="6">(M6)/H6</f>
        <v>1.1739130434782559</v>
      </c>
      <c r="O6" s="146">
        <v>0.35</v>
      </c>
      <c r="P6" s="143">
        <v>0.15</v>
      </c>
      <c r="Q6" s="147">
        <f>(P6-G6)*F6*E6</f>
        <v>-2580</v>
      </c>
      <c r="R6" s="142">
        <v>43973</v>
      </c>
      <c r="S6" s="148">
        <f t="shared" ref="S6" si="7">NETWORKDAYS(D6,R6)</f>
        <v>7</v>
      </c>
      <c r="T6" s="148" t="s">
        <v>176</v>
      </c>
      <c r="U6" s="141"/>
      <c r="V6" s="122">
        <f t="shared" si="3"/>
        <v>3.105</v>
      </c>
      <c r="W6" s="122">
        <f t="shared" si="4"/>
        <v>966</v>
      </c>
    </row>
    <row r="7" spans="1:23" x14ac:dyDescent="0.3">
      <c r="A7" s="113" t="s">
        <v>120</v>
      </c>
      <c r="B7" s="113" t="s">
        <v>123</v>
      </c>
      <c r="C7" s="114" t="s">
        <v>146</v>
      </c>
      <c r="D7" s="114">
        <v>43969</v>
      </c>
      <c r="E7" s="113">
        <v>2000</v>
      </c>
      <c r="F7" s="113">
        <v>1</v>
      </c>
      <c r="G7" s="115">
        <v>1.55</v>
      </c>
      <c r="H7" s="116">
        <f t="shared" si="0"/>
        <v>3100</v>
      </c>
      <c r="I7" s="116">
        <v>250</v>
      </c>
      <c r="J7" s="116">
        <v>204</v>
      </c>
      <c r="K7" s="130">
        <f t="shared" ref="K7" si="8">I7+G7</f>
        <v>251.55</v>
      </c>
      <c r="L7" s="115">
        <v>251.55</v>
      </c>
      <c r="M7" s="115">
        <f t="shared" si="2"/>
        <v>0</v>
      </c>
      <c r="N7" s="117">
        <f t="shared" si="6"/>
        <v>0</v>
      </c>
      <c r="O7" s="117">
        <v>0.28999999999999998</v>
      </c>
      <c r="P7" s="115">
        <v>2</v>
      </c>
      <c r="Q7" s="118">
        <f>(P7-G7)*F7*E7</f>
        <v>899.99999999999989</v>
      </c>
      <c r="R7" s="114">
        <v>43970</v>
      </c>
      <c r="S7" s="119">
        <f>NETWORKDAYS(D7,R7)</f>
        <v>2</v>
      </c>
      <c r="T7" s="119" t="s">
        <v>180</v>
      </c>
      <c r="U7" s="113" t="s">
        <v>181</v>
      </c>
      <c r="V7" s="122">
        <f t="shared" ref="V7" si="9">G7*(100% +O7)</f>
        <v>1.9995000000000001</v>
      </c>
      <c r="W7" s="122">
        <f t="shared" ref="W7" si="10">(V7*E7*F7)-H7</f>
        <v>899</v>
      </c>
    </row>
    <row r="8" spans="1:23" x14ac:dyDescent="0.3">
      <c r="A8" s="141" t="s">
        <v>182</v>
      </c>
      <c r="B8" s="141" t="s">
        <v>166</v>
      </c>
      <c r="C8" s="142" t="s">
        <v>146</v>
      </c>
      <c r="D8" s="142">
        <v>43971</v>
      </c>
      <c r="E8" s="141">
        <v>75</v>
      </c>
      <c r="F8" s="141">
        <v>0.5</v>
      </c>
      <c r="G8" s="143">
        <v>46.3</v>
      </c>
      <c r="H8" s="144">
        <f t="shared" si="0"/>
        <v>1736.25</v>
      </c>
      <c r="I8" s="144">
        <v>8900</v>
      </c>
      <c r="J8" s="144">
        <v>8984</v>
      </c>
      <c r="K8" s="145">
        <f t="shared" ref="K8" si="11">I8+G8</f>
        <v>8946.2999999999993</v>
      </c>
      <c r="L8" s="143">
        <v>8800</v>
      </c>
      <c r="M8" s="143">
        <f t="shared" ref="M8" si="12">IF(B8="Call",MAX((L8-K8)*F8*E8,-H8),MAX((L8-K8)*F8*-E8,-H8))</f>
        <v>5486.2499999999727</v>
      </c>
      <c r="N8" s="146">
        <f t="shared" si="6"/>
        <v>3.1598272138228785</v>
      </c>
      <c r="O8" s="146">
        <v>0.3</v>
      </c>
      <c r="P8" s="143">
        <v>0</v>
      </c>
      <c r="Q8" s="147">
        <f>(P8-G8)*F8*E8</f>
        <v>-1736.25</v>
      </c>
      <c r="R8" s="142">
        <v>43972</v>
      </c>
      <c r="S8" s="148">
        <f>NETWORKDAYS(D8,R8)</f>
        <v>2</v>
      </c>
      <c r="T8" s="148" t="s">
        <v>183</v>
      </c>
      <c r="U8" s="141" t="s">
        <v>181</v>
      </c>
      <c r="V8" s="131">
        <f t="shared" ref="V8" si="13">G8*(100% +O8)</f>
        <v>60.19</v>
      </c>
      <c r="W8" s="131">
        <f t="shared" ref="W8" si="14">(V8*E8*F8)-H8</f>
        <v>520.875</v>
      </c>
    </row>
    <row r="9" spans="1:23" x14ac:dyDescent="0.3">
      <c r="A9" s="113" t="s">
        <v>182</v>
      </c>
      <c r="B9" s="113" t="s">
        <v>123</v>
      </c>
      <c r="C9" s="114" t="s">
        <v>146</v>
      </c>
      <c r="D9" s="114">
        <v>43971</v>
      </c>
      <c r="E9" s="113">
        <v>75</v>
      </c>
      <c r="F9" s="113">
        <v>0.5</v>
      </c>
      <c r="G9" s="115">
        <v>37.35</v>
      </c>
      <c r="H9" s="116">
        <f t="shared" si="0"/>
        <v>1400.625</v>
      </c>
      <c r="I9" s="116">
        <v>9100</v>
      </c>
      <c r="J9" s="116">
        <v>8994</v>
      </c>
      <c r="K9" s="116">
        <f t="shared" ref="K9" si="15">I9+G9</f>
        <v>9137.35</v>
      </c>
      <c r="L9" s="115">
        <v>9137.35</v>
      </c>
      <c r="M9" s="115">
        <f t="shared" ref="M9" si="16">IF(B9="Call",MAX((L9-K9)*F9*E9,-H9),MAX((L9-K9)*F9*-E9,-H9))</f>
        <v>0</v>
      </c>
      <c r="N9" s="117">
        <f t="shared" si="6"/>
        <v>0</v>
      </c>
      <c r="O9" s="117">
        <v>0.36499999999999999</v>
      </c>
      <c r="P9" s="115">
        <v>51</v>
      </c>
      <c r="Q9" s="118">
        <f>(P9-G9)*F9*E9</f>
        <v>511.87499999999994</v>
      </c>
      <c r="R9" s="114">
        <v>43971</v>
      </c>
      <c r="S9" s="119">
        <f t="shared" ref="S9:S10" si="17">NETWORKDAYS(D9,R9)</f>
        <v>1</v>
      </c>
      <c r="T9" s="119" t="s">
        <v>183</v>
      </c>
      <c r="U9" s="113" t="s">
        <v>181</v>
      </c>
      <c r="V9" s="131">
        <f t="shared" ref="V9" si="18">G9*(100% +O9)</f>
        <v>50.982750000000003</v>
      </c>
      <c r="W9" s="131">
        <f t="shared" ref="W9" si="19">(V9*E9*F9)-H9</f>
        <v>511.22812500000009</v>
      </c>
    </row>
    <row r="10" spans="1:23" x14ac:dyDescent="0.3">
      <c r="A10" s="113" t="s">
        <v>193</v>
      </c>
      <c r="B10" s="113" t="s">
        <v>123</v>
      </c>
      <c r="C10" s="114" t="s">
        <v>146</v>
      </c>
      <c r="D10" s="114">
        <v>43972</v>
      </c>
      <c r="E10" s="113">
        <v>300</v>
      </c>
      <c r="F10" s="113">
        <v>1</v>
      </c>
      <c r="G10" s="115">
        <v>11.15</v>
      </c>
      <c r="H10" s="116">
        <f t="shared" ref="H10" si="20">E10*G10*F10</f>
        <v>3345</v>
      </c>
      <c r="I10" s="116">
        <v>1100</v>
      </c>
      <c r="J10" s="116">
        <v>989</v>
      </c>
      <c r="K10" s="116">
        <f t="shared" ref="K10" si="21">I10+G10</f>
        <v>1111.1500000000001</v>
      </c>
      <c r="L10" s="115">
        <v>1111.1500000000001</v>
      </c>
      <c r="M10" s="115">
        <f t="shared" ref="M10" si="22">IF(B10="Call",MAX((L10-K10)*F10*E10,-H10),MAX((L10-K10)*F10*-E10,-H10))</f>
        <v>0</v>
      </c>
      <c r="N10" s="117">
        <f t="shared" si="6"/>
        <v>0</v>
      </c>
      <c r="O10" s="117">
        <v>0.35</v>
      </c>
      <c r="P10" s="115">
        <v>15</v>
      </c>
      <c r="Q10" s="118">
        <f>(P10-G10)*F10*E10</f>
        <v>1155</v>
      </c>
      <c r="R10" s="114">
        <v>43972</v>
      </c>
      <c r="S10" s="119">
        <f t="shared" si="17"/>
        <v>1</v>
      </c>
      <c r="T10" s="119" t="s">
        <v>194</v>
      </c>
      <c r="U10" s="113" t="s">
        <v>181</v>
      </c>
      <c r="V10" s="131">
        <f t="shared" ref="V10" si="23">G10*(100% +O10)</f>
        <v>15.052500000000002</v>
      </c>
      <c r="W10" s="131">
        <f t="shared" ref="W10" si="24">(V10*E10*F10)-H10</f>
        <v>1170.7500000000009</v>
      </c>
    </row>
    <row r="11" spans="1:23" x14ac:dyDescent="0.3">
      <c r="A11" s="141" t="s">
        <v>102</v>
      </c>
      <c r="B11" s="141" t="s">
        <v>123</v>
      </c>
      <c r="C11" s="142" t="s">
        <v>146</v>
      </c>
      <c r="D11" s="142">
        <v>43972</v>
      </c>
      <c r="E11" s="141">
        <v>500</v>
      </c>
      <c r="F11" s="141">
        <v>1</v>
      </c>
      <c r="G11" s="143">
        <v>2</v>
      </c>
      <c r="H11" s="144">
        <f t="shared" ref="H11" si="25">E11*G11*F11</f>
        <v>1000</v>
      </c>
      <c r="I11" s="144">
        <v>1000</v>
      </c>
      <c r="J11" s="144">
        <v>873</v>
      </c>
      <c r="K11" s="145">
        <f t="shared" ref="K11" si="26">I11+G11</f>
        <v>1002</v>
      </c>
      <c r="L11" s="143">
        <v>1002</v>
      </c>
      <c r="M11" s="143">
        <f t="shared" ref="M11" si="27">IF(B11="Call",MAX((L11-K11)*F11*E11,-H11),MAX((L11-K11)*F11*-E11,-H11))</f>
        <v>0</v>
      </c>
      <c r="N11" s="146">
        <f t="shared" si="6"/>
        <v>0</v>
      </c>
      <c r="O11" s="146">
        <v>0.5</v>
      </c>
      <c r="P11" s="143">
        <v>1.05</v>
      </c>
      <c r="Q11" s="147">
        <f>(P11-G11)*F11*E11</f>
        <v>-475</v>
      </c>
      <c r="R11" s="142">
        <v>43973</v>
      </c>
      <c r="S11" s="148">
        <f t="shared" ref="S11" si="28">NETWORKDAYS(D11,R11)</f>
        <v>2</v>
      </c>
      <c r="T11" s="148" t="s">
        <v>194</v>
      </c>
      <c r="U11" s="141" t="s">
        <v>181</v>
      </c>
      <c r="V11" s="131">
        <f t="shared" ref="V11" si="29">G11*(100% +O11)</f>
        <v>3</v>
      </c>
      <c r="W11" s="131">
        <f t="shared" ref="W11" si="30">(V11*E11*F11)-H11</f>
        <v>500</v>
      </c>
    </row>
    <row r="12" spans="1:23" x14ac:dyDescent="0.3">
      <c r="A12" s="94"/>
      <c r="B12" s="94"/>
      <c r="C12" s="95"/>
      <c r="D12" s="95"/>
      <c r="E12" s="94"/>
      <c r="F12" s="94"/>
      <c r="G12" s="106"/>
      <c r="H12" s="96"/>
      <c r="I12" s="96"/>
      <c r="J12" s="96"/>
      <c r="K12" s="96"/>
      <c r="L12" s="96"/>
      <c r="M12" s="96"/>
      <c r="N12" s="110"/>
      <c r="O12" s="110"/>
      <c r="P12" s="96"/>
      <c r="Q12" s="96"/>
      <c r="R12" s="95"/>
      <c r="S12" s="94"/>
      <c r="T12" s="98"/>
      <c r="U12" s="94"/>
      <c r="V12" s="121"/>
      <c r="W12" s="121"/>
    </row>
    <row r="13" spans="1:23" x14ac:dyDescent="0.3">
      <c r="A13" s="94"/>
      <c r="B13" s="94"/>
      <c r="C13" s="95"/>
      <c r="D13" s="95"/>
      <c r="E13" s="94"/>
      <c r="F13" s="94"/>
      <c r="G13" s="106"/>
      <c r="H13" s="96"/>
      <c r="I13" s="96"/>
      <c r="J13" s="96"/>
      <c r="K13" s="96"/>
      <c r="L13" s="96"/>
      <c r="M13" s="96"/>
      <c r="N13" s="110"/>
      <c r="O13" s="110"/>
      <c r="P13" s="96"/>
      <c r="Q13" s="96"/>
      <c r="R13" s="95"/>
      <c r="S13" s="94"/>
      <c r="T13" s="98"/>
      <c r="U13" s="94"/>
      <c r="V13" s="121"/>
      <c r="W13" s="121"/>
    </row>
    <row r="14" spans="1:23" x14ac:dyDescent="0.3">
      <c r="A14" s="94"/>
      <c r="B14" s="94"/>
      <c r="C14" s="95"/>
      <c r="D14" s="95"/>
      <c r="E14" s="94"/>
      <c r="F14" s="94"/>
      <c r="G14" s="106"/>
      <c r="H14" s="96"/>
      <c r="I14" s="96"/>
      <c r="J14" s="96"/>
      <c r="K14" s="96"/>
      <c r="L14" s="96"/>
      <c r="M14" s="96"/>
      <c r="N14" s="110"/>
      <c r="O14" s="110"/>
      <c r="P14" s="96"/>
      <c r="Q14" s="96"/>
      <c r="R14" s="95"/>
      <c r="S14" s="94"/>
      <c r="T14" s="98"/>
      <c r="U14" s="94"/>
      <c r="V14" s="121"/>
      <c r="W14" s="121"/>
    </row>
    <row r="15" spans="1:23" x14ac:dyDescent="0.3">
      <c r="A15" s="94"/>
      <c r="B15" s="94"/>
      <c r="C15" s="95"/>
      <c r="D15" s="95"/>
      <c r="E15" s="94"/>
      <c r="F15" s="94"/>
      <c r="G15" s="106"/>
      <c r="H15" s="96"/>
      <c r="I15" s="96"/>
      <c r="J15" s="96"/>
      <c r="K15" s="96"/>
      <c r="L15" s="96"/>
      <c r="M15" s="96"/>
      <c r="N15" s="110"/>
      <c r="O15" s="110"/>
      <c r="P15" s="96"/>
      <c r="Q15" s="96"/>
      <c r="R15" s="95"/>
      <c r="S15" s="94"/>
      <c r="T15" s="98"/>
      <c r="U15" s="94"/>
      <c r="V15" s="121"/>
      <c r="W15" s="121"/>
    </row>
    <row r="16" spans="1:23" x14ac:dyDescent="0.3">
      <c r="A16" s="94"/>
      <c r="B16" s="94"/>
      <c r="C16" s="95"/>
      <c r="D16" s="95"/>
      <c r="E16" s="94"/>
      <c r="F16" s="94"/>
      <c r="G16" s="106"/>
      <c r="H16" s="96"/>
      <c r="I16" s="96"/>
      <c r="J16" s="96"/>
      <c r="K16" s="96"/>
      <c r="L16" s="96"/>
      <c r="M16" s="96"/>
      <c r="N16" s="110"/>
      <c r="O16" s="110"/>
      <c r="P16" s="96"/>
      <c r="Q16" s="96"/>
      <c r="R16" s="95"/>
      <c r="S16" s="94"/>
      <c r="T16" s="98"/>
      <c r="U16" s="94"/>
      <c r="V16" s="121"/>
      <c r="W16" s="121"/>
    </row>
    <row r="17" spans="1:23" x14ac:dyDescent="0.3">
      <c r="A17" s="94"/>
      <c r="B17" s="94"/>
      <c r="C17" s="95"/>
      <c r="D17" s="95"/>
      <c r="E17" s="94"/>
      <c r="F17" s="94"/>
      <c r="G17" s="106"/>
      <c r="H17" s="96"/>
      <c r="I17" s="96"/>
      <c r="J17" s="96"/>
      <c r="K17" s="96"/>
      <c r="L17" s="96"/>
      <c r="M17" s="96"/>
      <c r="N17" s="110"/>
      <c r="O17" s="110"/>
      <c r="P17" s="96"/>
      <c r="Q17" s="96"/>
      <c r="R17" s="95"/>
      <c r="S17" s="94"/>
      <c r="T17" s="98"/>
      <c r="U17" s="94"/>
      <c r="V17" s="121"/>
      <c r="W17" s="121"/>
    </row>
    <row r="18" spans="1:23" x14ac:dyDescent="0.3">
      <c r="A18" s="94"/>
      <c r="B18" s="94"/>
      <c r="C18" s="95"/>
      <c r="D18" s="95"/>
      <c r="E18" s="94"/>
      <c r="F18" s="94"/>
      <c r="G18" s="106"/>
      <c r="H18" s="96"/>
      <c r="I18" s="96"/>
      <c r="J18" s="96"/>
      <c r="K18" s="96"/>
      <c r="L18" s="96"/>
      <c r="M18" s="96"/>
      <c r="N18" s="110"/>
      <c r="O18" s="110"/>
      <c r="P18" s="96"/>
      <c r="Q18" s="96"/>
      <c r="R18" s="95"/>
      <c r="S18" s="94"/>
      <c r="T18" s="98"/>
      <c r="U18" s="94"/>
      <c r="V18" s="121"/>
      <c r="W18" s="121"/>
    </row>
    <row r="19" spans="1:23" x14ac:dyDescent="0.3">
      <c r="A19" s="94"/>
      <c r="B19" s="94"/>
      <c r="C19" s="95"/>
      <c r="D19" s="95"/>
      <c r="E19" s="94"/>
      <c r="F19" s="94"/>
      <c r="G19" s="106"/>
      <c r="H19" s="96"/>
      <c r="I19" s="96"/>
      <c r="J19" s="96"/>
      <c r="K19" s="96"/>
      <c r="L19" s="96"/>
      <c r="M19" s="96"/>
      <c r="N19" s="110"/>
      <c r="O19" s="110"/>
      <c r="P19" s="96"/>
      <c r="Q19" s="96"/>
      <c r="R19" s="95"/>
      <c r="S19" s="94"/>
      <c r="T19" s="98"/>
      <c r="U19" s="94"/>
      <c r="V19" s="121"/>
      <c r="W19" s="121"/>
    </row>
    <row r="20" spans="1:23" x14ac:dyDescent="0.3">
      <c r="A20" s="94"/>
      <c r="B20" s="94"/>
      <c r="C20" s="95"/>
      <c r="D20" s="95"/>
      <c r="E20" s="94"/>
      <c r="F20" s="94"/>
      <c r="G20" s="106"/>
      <c r="H20" s="96"/>
      <c r="I20" s="96"/>
      <c r="J20" s="96"/>
      <c r="K20" s="96"/>
      <c r="L20" s="96"/>
      <c r="M20" s="96"/>
      <c r="N20" s="110"/>
      <c r="O20" s="110"/>
      <c r="P20" s="96"/>
      <c r="Q20" s="96"/>
      <c r="R20" s="95"/>
      <c r="S20" s="94"/>
      <c r="T20" s="98"/>
      <c r="U20" s="94"/>
      <c r="V20" s="121"/>
      <c r="W20" s="121"/>
    </row>
    <row r="21" spans="1:23" x14ac:dyDescent="0.3">
      <c r="A21" s="94"/>
      <c r="B21" s="94"/>
      <c r="C21" s="95"/>
      <c r="D21" s="95"/>
      <c r="E21" s="94"/>
      <c r="F21" s="94"/>
      <c r="G21" s="106"/>
      <c r="H21" s="96"/>
      <c r="I21" s="96"/>
      <c r="J21" s="96"/>
      <c r="K21" s="96"/>
      <c r="L21" s="96"/>
      <c r="M21" s="96"/>
      <c r="N21" s="110"/>
      <c r="O21" s="110"/>
      <c r="P21" s="96"/>
      <c r="Q21" s="96"/>
      <c r="R21" s="95"/>
      <c r="S21" s="94"/>
      <c r="T21" s="98"/>
      <c r="U21" s="94"/>
      <c r="V21" s="121"/>
      <c r="W21" s="121"/>
    </row>
    <row r="22" spans="1:23" x14ac:dyDescent="0.3">
      <c r="A22" s="94"/>
      <c r="B22" s="94"/>
      <c r="C22" s="95"/>
      <c r="D22" s="95"/>
      <c r="E22" s="94"/>
      <c r="F22" s="94"/>
      <c r="G22" s="106"/>
      <c r="H22" s="96"/>
      <c r="I22" s="96"/>
      <c r="J22" s="96"/>
      <c r="K22" s="96"/>
      <c r="L22" s="96"/>
      <c r="M22" s="96"/>
      <c r="N22" s="110"/>
      <c r="O22" s="110"/>
      <c r="P22" s="96"/>
      <c r="Q22" s="96"/>
      <c r="R22" s="95"/>
      <c r="S22" s="94"/>
      <c r="T22" s="98"/>
      <c r="U22" s="94"/>
      <c r="V22" s="121"/>
      <c r="W22" s="121"/>
    </row>
    <row r="23" spans="1:23" x14ac:dyDescent="0.3">
      <c r="A23" s="94"/>
      <c r="B23" s="94"/>
      <c r="C23" s="95"/>
      <c r="D23" s="95"/>
      <c r="E23" s="94"/>
      <c r="F23" s="94"/>
      <c r="G23" s="106"/>
      <c r="H23" s="96"/>
      <c r="I23" s="96"/>
      <c r="J23" s="96"/>
      <c r="K23" s="96"/>
      <c r="L23" s="96"/>
      <c r="M23" s="96"/>
      <c r="N23" s="110"/>
      <c r="O23" s="110"/>
      <c r="P23" s="96"/>
      <c r="Q23" s="96"/>
      <c r="R23" s="95"/>
      <c r="S23" s="94"/>
      <c r="T23" s="98"/>
      <c r="U23" s="94"/>
      <c r="V23" s="121"/>
      <c r="W23" s="121"/>
    </row>
    <row r="24" spans="1:23" x14ac:dyDescent="0.3">
      <c r="A24" s="99" t="s">
        <v>97</v>
      </c>
      <c r="B24" s="99"/>
      <c r="C24" s="99"/>
      <c r="D24" s="99"/>
      <c r="E24" s="99"/>
      <c r="F24" s="100"/>
      <c r="G24" s="100"/>
      <c r="H24" s="100">
        <f>SUM(H3:H23)</f>
        <v>29227.875</v>
      </c>
      <c r="I24" s="100"/>
      <c r="J24" s="100"/>
      <c r="K24" s="100"/>
      <c r="L24" s="100"/>
      <c r="M24" s="100">
        <f>SUM(M3:M23)</f>
        <v>57230.250000000044</v>
      </c>
      <c r="N24" s="100"/>
      <c r="O24" s="100"/>
      <c r="P24" s="100"/>
      <c r="Q24" s="100">
        <f>SUM(Q3:Q23)</f>
        <v>-1124.375</v>
      </c>
      <c r="R24" s="100"/>
    </row>
    <row r="28" spans="1:23" x14ac:dyDescent="0.3">
      <c r="B28" s="133" t="s">
        <v>133</v>
      </c>
      <c r="C28" s="133"/>
      <c r="D28" s="133"/>
    </row>
    <row r="29" spans="1:23" ht="15" thickBot="1" x14ac:dyDescent="0.35">
      <c r="B29" s="9" t="s">
        <v>134</v>
      </c>
      <c r="C29" s="9">
        <v>300</v>
      </c>
      <c r="D29" s="15">
        <f>C29</f>
        <v>300</v>
      </c>
    </row>
    <row r="30" spans="1:23" ht="15" thickBot="1" x14ac:dyDescent="0.35">
      <c r="B30" s="9" t="s">
        <v>135</v>
      </c>
      <c r="C30" s="13">
        <v>11.15</v>
      </c>
      <c r="D30" s="125">
        <v>15</v>
      </c>
    </row>
    <row r="31" spans="1:23" x14ac:dyDescent="0.3">
      <c r="B31" s="9" t="s">
        <v>161</v>
      </c>
      <c r="C31" s="9">
        <v>1100</v>
      </c>
      <c r="D31" s="124">
        <f>C31</f>
        <v>1100</v>
      </c>
    </row>
    <row r="32" spans="1:23" x14ac:dyDescent="0.3">
      <c r="B32" s="9" t="s">
        <v>136</v>
      </c>
      <c r="C32" s="9">
        <v>985</v>
      </c>
      <c r="D32" s="124" t="s">
        <v>179</v>
      </c>
    </row>
    <row r="33" spans="2:4" x14ac:dyDescent="0.3">
      <c r="B33" s="81" t="s">
        <v>138</v>
      </c>
      <c r="C33" s="81">
        <f>C30*C29</f>
        <v>3345</v>
      </c>
      <c r="D33" s="81">
        <f>D30*D29</f>
        <v>4500</v>
      </c>
    </row>
    <row r="34" spans="2:4" ht="15" thickBot="1" x14ac:dyDescent="0.35">
      <c r="B34" s="89" t="s">
        <v>137</v>
      </c>
      <c r="C34" s="89">
        <f>C31+C30</f>
        <v>1111.1500000000001</v>
      </c>
      <c r="D34" s="89" t="s">
        <v>179</v>
      </c>
    </row>
    <row r="35" spans="2:4" ht="15.6" thickTop="1" thickBot="1" x14ac:dyDescent="0.35">
      <c r="B35" s="90" t="s">
        <v>139</v>
      </c>
      <c r="C35" s="90">
        <v>110</v>
      </c>
      <c r="D35" s="127" t="s">
        <v>179</v>
      </c>
    </row>
    <row r="36" spans="2:4" ht="15" thickBot="1" x14ac:dyDescent="0.35">
      <c r="B36" s="91" t="s">
        <v>140</v>
      </c>
      <c r="C36" s="126">
        <f>MAX(((C35-C34)*C29),-C33)</f>
        <v>-3345</v>
      </c>
      <c r="D36" s="129">
        <f>D33-C33</f>
        <v>1155</v>
      </c>
    </row>
    <row r="37" spans="2:4" ht="15.6" thickTop="1" thickBot="1" x14ac:dyDescent="0.35">
      <c r="B37" s="91" t="s">
        <v>141</v>
      </c>
      <c r="C37" s="92">
        <f>C36/C33</f>
        <v>-1</v>
      </c>
      <c r="D37" s="128">
        <f>D36/C33</f>
        <v>0.3452914798206278</v>
      </c>
    </row>
    <row r="38" spans="2:4" ht="15" thickTop="1" x14ac:dyDescent="0.3"/>
  </sheetData>
  <mergeCells count="1">
    <mergeCell ref="B28:D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J6" sqref="J6"/>
    </sheetView>
  </sheetViews>
  <sheetFormatPr defaultRowHeight="14.4" x14ac:dyDescent="0.3"/>
  <cols>
    <col min="1" max="1" width="12.5546875" bestFit="1" customWidth="1"/>
    <col min="2" max="2" width="10.21875" bestFit="1" customWidth="1"/>
    <col min="3" max="3" width="9" bestFit="1" customWidth="1"/>
    <col min="4" max="4" width="10" bestFit="1" customWidth="1"/>
    <col min="10" max="10" width="9.88671875" bestFit="1" customWidth="1"/>
  </cols>
  <sheetData>
    <row r="1" spans="1:16" ht="15.6" thickTop="1" thickBot="1" x14ac:dyDescent="0.35">
      <c r="A1" s="54" t="s">
        <v>86</v>
      </c>
      <c r="B1" s="54" t="s">
        <v>71</v>
      </c>
      <c r="C1" s="54" t="s">
        <v>72</v>
      </c>
      <c r="D1" s="54" t="s">
        <v>73</v>
      </c>
      <c r="I1" t="s">
        <v>149</v>
      </c>
      <c r="M1" s="1"/>
    </row>
    <row r="2" spans="1:16" ht="15" thickTop="1" x14ac:dyDescent="0.3">
      <c r="A2" t="s">
        <v>77</v>
      </c>
      <c r="B2">
        <v>354</v>
      </c>
      <c r="C2">
        <v>260</v>
      </c>
      <c r="D2" s="53">
        <f t="shared" ref="D2:D21" si="0">(C2-B2)/C2</f>
        <v>-0.36153846153846153</v>
      </c>
      <c r="I2" t="s">
        <v>185</v>
      </c>
      <c r="M2" s="1"/>
    </row>
    <row r="3" spans="1:16" x14ac:dyDescent="0.3">
      <c r="A3" t="s">
        <v>78</v>
      </c>
      <c r="B3">
        <v>181.95</v>
      </c>
      <c r="C3">
        <v>215.7</v>
      </c>
      <c r="D3" s="53">
        <f t="shared" si="0"/>
        <v>0.15646731571627262</v>
      </c>
      <c r="I3" s="151" t="s">
        <v>40</v>
      </c>
      <c r="J3" s="151" t="s">
        <v>36</v>
      </c>
      <c r="K3" s="151" t="s">
        <v>187</v>
      </c>
      <c r="L3" s="151" t="s">
        <v>188</v>
      </c>
      <c r="M3" s="151" t="s">
        <v>189</v>
      </c>
      <c r="N3" s="152" t="s">
        <v>190</v>
      </c>
      <c r="O3" s="152" t="s">
        <v>191</v>
      </c>
      <c r="P3" s="152" t="s">
        <v>192</v>
      </c>
    </row>
    <row r="4" spans="1:16" x14ac:dyDescent="0.3">
      <c r="A4" t="s">
        <v>83</v>
      </c>
      <c r="B4">
        <v>1761</v>
      </c>
      <c r="C4">
        <v>2107</v>
      </c>
      <c r="D4" s="53">
        <f t="shared" si="0"/>
        <v>0.16421452301850972</v>
      </c>
      <c r="I4" t="s">
        <v>186</v>
      </c>
      <c r="J4" s="49">
        <v>43971</v>
      </c>
      <c r="K4">
        <v>37.35</v>
      </c>
      <c r="L4" s="153">
        <v>65</v>
      </c>
      <c r="M4" s="153">
        <v>19.5</v>
      </c>
      <c r="N4" s="1">
        <v>37.35</v>
      </c>
      <c r="O4" s="132">
        <f>(L4-K4)/K4</f>
        <v>0.74029451137884861</v>
      </c>
      <c r="P4" s="132">
        <f>(M4-K4)/K4</f>
        <v>-0.47791164658634538</v>
      </c>
    </row>
    <row r="5" spans="1:16" x14ac:dyDescent="0.3">
      <c r="A5" t="s">
        <v>82</v>
      </c>
      <c r="B5">
        <v>1191</v>
      </c>
      <c r="C5">
        <v>1436</v>
      </c>
      <c r="D5" s="53">
        <f t="shared" si="0"/>
        <v>0.17061281337047354</v>
      </c>
      <c r="I5" t="s">
        <v>193</v>
      </c>
      <c r="J5" s="49">
        <v>43972</v>
      </c>
      <c r="K5">
        <v>13.35</v>
      </c>
      <c r="L5" s="153">
        <v>19.45</v>
      </c>
      <c r="M5" s="153">
        <v>8.85</v>
      </c>
      <c r="N5" s="1">
        <v>11.15</v>
      </c>
      <c r="O5" s="132">
        <f>(L5-K5)/K5</f>
        <v>0.45692883895131087</v>
      </c>
      <c r="P5" s="132">
        <f>(M5-K5)/K5</f>
        <v>-0.33707865168539325</v>
      </c>
    </row>
    <row r="6" spans="1:16" x14ac:dyDescent="0.3">
      <c r="A6" s="66" t="s">
        <v>101</v>
      </c>
      <c r="B6" s="66">
        <v>1821</v>
      </c>
      <c r="C6" s="66">
        <v>2462</v>
      </c>
      <c r="D6" s="67">
        <f t="shared" si="0"/>
        <v>0.26035743298131603</v>
      </c>
      <c r="I6" t="s">
        <v>102</v>
      </c>
      <c r="J6" s="49">
        <v>43973</v>
      </c>
      <c r="K6">
        <v>1.9</v>
      </c>
      <c r="L6" s="153">
        <v>2.1</v>
      </c>
      <c r="M6" s="153">
        <v>1.1499999999999999</v>
      </c>
      <c r="N6" s="1">
        <v>2</v>
      </c>
      <c r="O6" s="132">
        <f>(L6-K6)/K6</f>
        <v>0.10526315789473695</v>
      </c>
      <c r="P6" s="132">
        <f>(M6-K6)/K6</f>
        <v>-0.39473684210526316</v>
      </c>
    </row>
    <row r="7" spans="1:16" x14ac:dyDescent="0.3">
      <c r="A7" t="s">
        <v>57</v>
      </c>
      <c r="B7">
        <v>71.25</v>
      </c>
      <c r="C7">
        <v>97.5</v>
      </c>
      <c r="D7" s="53">
        <f t="shared" si="0"/>
        <v>0.26923076923076922</v>
      </c>
    </row>
    <row r="8" spans="1:16" x14ac:dyDescent="0.3">
      <c r="A8" t="s">
        <v>79</v>
      </c>
      <c r="B8">
        <v>897.8</v>
      </c>
      <c r="C8">
        <v>1229</v>
      </c>
      <c r="D8" s="53">
        <f t="shared" si="0"/>
        <v>0.26948738812042317</v>
      </c>
    </row>
    <row r="9" spans="1:16" x14ac:dyDescent="0.3">
      <c r="A9" t="s">
        <v>70</v>
      </c>
      <c r="B9">
        <v>1064</v>
      </c>
      <c r="C9">
        <v>1504</v>
      </c>
      <c r="D9" s="53">
        <f t="shared" si="0"/>
        <v>0.29255319148936171</v>
      </c>
    </row>
    <row r="10" spans="1:16" x14ac:dyDescent="0.3">
      <c r="A10" t="s">
        <v>76</v>
      </c>
      <c r="B10">
        <v>863</v>
      </c>
      <c r="C10">
        <v>1312</v>
      </c>
      <c r="D10" s="53">
        <f t="shared" si="0"/>
        <v>0.34222560975609756</v>
      </c>
    </row>
    <row r="11" spans="1:16" x14ac:dyDescent="0.3">
      <c r="A11" s="55" t="s">
        <v>84</v>
      </c>
      <c r="B11" s="55">
        <v>528</v>
      </c>
      <c r="C11" s="55">
        <v>811</v>
      </c>
      <c r="D11" s="56">
        <f t="shared" si="0"/>
        <v>0.34895191122071517</v>
      </c>
    </row>
    <row r="12" spans="1:16" x14ac:dyDescent="0.3">
      <c r="A12" s="55" t="s">
        <v>85</v>
      </c>
      <c r="B12" s="55">
        <v>244</v>
      </c>
      <c r="C12" s="55">
        <v>404</v>
      </c>
      <c r="D12" s="56">
        <f t="shared" si="0"/>
        <v>0.39603960396039606</v>
      </c>
    </row>
    <row r="13" spans="1:16" x14ac:dyDescent="0.3">
      <c r="A13" s="55" t="s">
        <v>74</v>
      </c>
      <c r="B13" s="55">
        <v>412</v>
      </c>
      <c r="C13" s="55">
        <v>689</v>
      </c>
      <c r="D13" s="56">
        <f t="shared" si="0"/>
        <v>0.40203193033381712</v>
      </c>
    </row>
    <row r="14" spans="1:16" x14ac:dyDescent="0.3">
      <c r="A14" s="55" t="s">
        <v>81</v>
      </c>
      <c r="B14" s="55">
        <v>261</v>
      </c>
      <c r="C14" s="55">
        <v>477</v>
      </c>
      <c r="D14" s="56">
        <f t="shared" si="0"/>
        <v>0.45283018867924529</v>
      </c>
    </row>
    <row r="15" spans="1:16" x14ac:dyDescent="0.3">
      <c r="A15" s="55" t="s">
        <v>75</v>
      </c>
      <c r="B15" s="55">
        <v>49.4</v>
      </c>
      <c r="C15" s="55">
        <v>107.5</v>
      </c>
      <c r="D15" s="56">
        <f t="shared" si="0"/>
        <v>0.54046511627906979</v>
      </c>
    </row>
    <row r="16" spans="1:16" x14ac:dyDescent="0.3">
      <c r="A16" s="55" t="s">
        <v>100</v>
      </c>
      <c r="B16" s="55">
        <v>42</v>
      </c>
      <c r="C16" s="55">
        <v>93</v>
      </c>
      <c r="D16" s="56">
        <f t="shared" si="0"/>
        <v>0.54838709677419351</v>
      </c>
    </row>
    <row r="17" spans="1:4" x14ac:dyDescent="0.3">
      <c r="A17" s="55" t="s">
        <v>99</v>
      </c>
      <c r="B17" s="55">
        <v>74.849999999999994</v>
      </c>
      <c r="C17" s="55">
        <v>183.75</v>
      </c>
      <c r="D17" s="56">
        <f t="shared" si="0"/>
        <v>0.5926530612244898</v>
      </c>
    </row>
    <row r="18" spans="1:4" x14ac:dyDescent="0.3">
      <c r="A18" s="55" t="s">
        <v>60</v>
      </c>
      <c r="B18" s="55">
        <v>437</v>
      </c>
      <c r="C18" s="55">
        <v>1272</v>
      </c>
      <c r="D18" s="56">
        <f t="shared" si="0"/>
        <v>0.65644654088050314</v>
      </c>
    </row>
    <row r="19" spans="1:4" x14ac:dyDescent="0.3">
      <c r="A19" s="55" t="s">
        <v>56</v>
      </c>
      <c r="B19" s="55">
        <v>70</v>
      </c>
      <c r="C19" s="55">
        <v>333</v>
      </c>
      <c r="D19" s="56">
        <f t="shared" si="0"/>
        <v>0.78978978978978975</v>
      </c>
    </row>
    <row r="20" spans="1:4" x14ac:dyDescent="0.3">
      <c r="A20" s="55" t="s">
        <v>55</v>
      </c>
      <c r="B20" s="55">
        <v>94.05</v>
      </c>
      <c r="C20" s="55">
        <v>450</v>
      </c>
      <c r="D20" s="56">
        <f t="shared" si="0"/>
        <v>0.79099999999999993</v>
      </c>
    </row>
    <row r="21" spans="1:4" x14ac:dyDescent="0.3">
      <c r="A21" s="62" t="s">
        <v>80</v>
      </c>
      <c r="B21" s="62">
        <v>4.1399999999999997</v>
      </c>
      <c r="C21" s="62">
        <v>120</v>
      </c>
      <c r="D21" s="63">
        <f t="shared" si="0"/>
        <v>0.96550000000000002</v>
      </c>
    </row>
  </sheetData>
  <autoFilter ref="A1:D19">
    <sortState ref="A2:D21">
      <sortCondition ref="D1:D19"/>
    </sortState>
  </autoFilter>
  <conditionalFormatting sqref="A1:D18">
    <cfRule type="colorScale" priority="23">
      <colorScale>
        <cfvo type="min"/>
        <cfvo type="max"/>
        <color rgb="FFFCFCFF"/>
        <color rgb="FF63BE7B"/>
      </colorScale>
    </cfRule>
  </conditionalFormatting>
  <conditionalFormatting sqref="D1:D18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9:D19">
    <cfRule type="colorScale" priority="21">
      <colorScale>
        <cfvo type="min"/>
        <cfvo type="max"/>
        <color rgb="FFFCFCFF"/>
        <color rgb="FF63BE7B"/>
      </colorScale>
    </cfRule>
  </conditionalFormatting>
  <conditionalFormatting sqref="D19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0:D20">
    <cfRule type="colorScale" priority="19">
      <colorScale>
        <cfvo type="min"/>
        <cfvo type="max"/>
        <color rgb="FFFCFCFF"/>
        <color rgb="FF63BE7B"/>
      </colorScale>
    </cfRule>
  </conditionalFormatting>
  <conditionalFormatting sqref="D2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1:D21">
    <cfRule type="colorScale" priority="17">
      <colorScale>
        <cfvo type="min"/>
        <cfvo type="max"/>
        <color rgb="FFFCFCFF"/>
        <color rgb="FF63BE7B"/>
      </colorScale>
    </cfRule>
  </conditionalFormatting>
  <conditionalFormatting sqref="D2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:P6">
    <cfRule type="colorScale" priority="14">
      <colorScale>
        <cfvo type="min"/>
        <cfvo type="num" val="0"/>
        <cfvo type="max"/>
        <color rgb="FFFF0000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:P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P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P6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P5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P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P4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/>
        <cfvo type="num" val="0"/>
        <cfvo type="max"/>
        <color rgb="FFFF0000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6">
    <cfRule type="colorScale" priority="1">
      <colorScale>
        <cfvo type="min"/>
        <cfvo type="max"/>
        <color theme="9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/>
  </sheetViews>
  <sheetFormatPr defaultRowHeight="14.4" x14ac:dyDescent="0.3"/>
  <cols>
    <col min="1" max="1" width="9.6640625" bestFit="1" customWidth="1"/>
    <col min="5" max="5" width="8.88671875" style="1"/>
    <col min="15" max="15" width="62.21875" customWidth="1"/>
    <col min="18" max="18" width="53" customWidth="1"/>
  </cols>
  <sheetData>
    <row r="1" spans="1:18" x14ac:dyDescent="0.3">
      <c r="A1" t="s">
        <v>93</v>
      </c>
      <c r="Q1" t="s">
        <v>123</v>
      </c>
    </row>
    <row r="2" spans="1:18" x14ac:dyDescent="0.3">
      <c r="A2" t="s">
        <v>0</v>
      </c>
      <c r="C2" t="s">
        <v>2</v>
      </c>
      <c r="E2" s="2">
        <v>4.5138888888888888E-2</v>
      </c>
      <c r="F2" t="s">
        <v>15</v>
      </c>
      <c r="Q2">
        <v>1500</v>
      </c>
      <c r="R2" t="s">
        <v>125</v>
      </c>
    </row>
    <row r="3" spans="1:18" x14ac:dyDescent="0.3">
      <c r="A3" t="s">
        <v>1</v>
      </c>
      <c r="Q3">
        <v>237</v>
      </c>
      <c r="R3" t="s">
        <v>122</v>
      </c>
    </row>
    <row r="4" spans="1:18" x14ac:dyDescent="0.3">
      <c r="A4" t="s">
        <v>3</v>
      </c>
      <c r="C4" t="s">
        <v>4</v>
      </c>
      <c r="Q4">
        <v>1689</v>
      </c>
      <c r="R4" t="s">
        <v>126</v>
      </c>
    </row>
    <row r="5" spans="1:18" x14ac:dyDescent="0.3">
      <c r="A5" t="s">
        <v>5</v>
      </c>
      <c r="C5" t="s">
        <v>6</v>
      </c>
      <c r="Q5" t="s">
        <v>127</v>
      </c>
      <c r="R5" t="s">
        <v>128</v>
      </c>
    </row>
    <row r="7" spans="1:18" x14ac:dyDescent="0.3">
      <c r="Q7" t="s">
        <v>124</v>
      </c>
    </row>
    <row r="8" spans="1:18" x14ac:dyDescent="0.3">
      <c r="A8" t="s">
        <v>8</v>
      </c>
      <c r="N8" t="s">
        <v>18</v>
      </c>
      <c r="Q8" t="s">
        <v>129</v>
      </c>
    </row>
    <row r="9" spans="1:18" ht="28.8" x14ac:dyDescent="0.3">
      <c r="A9" t="s">
        <v>7</v>
      </c>
      <c r="C9" t="s">
        <v>9</v>
      </c>
      <c r="D9" s="3" t="s">
        <v>12</v>
      </c>
      <c r="H9" t="s">
        <v>13</v>
      </c>
      <c r="I9" s="3" t="s">
        <v>14</v>
      </c>
      <c r="N9" t="s">
        <v>19</v>
      </c>
      <c r="O9" s="4" t="s">
        <v>22</v>
      </c>
      <c r="Q9" t="s">
        <v>49</v>
      </c>
      <c r="R9" s="84" t="s">
        <v>130</v>
      </c>
    </row>
    <row r="10" spans="1:18" ht="28.8" x14ac:dyDescent="0.3">
      <c r="C10" t="s">
        <v>10</v>
      </c>
      <c r="D10" s="3" t="s">
        <v>11</v>
      </c>
      <c r="H10" t="s">
        <v>16</v>
      </c>
      <c r="I10" s="3" t="s">
        <v>17</v>
      </c>
      <c r="N10" t="s">
        <v>20</v>
      </c>
      <c r="O10" s="4" t="s">
        <v>21</v>
      </c>
      <c r="Q10" t="s">
        <v>131</v>
      </c>
      <c r="R10" s="84" t="s">
        <v>132</v>
      </c>
    </row>
    <row r="11" spans="1:18" x14ac:dyDescent="0.3">
      <c r="N11" t="s">
        <v>23</v>
      </c>
      <c r="O11" t="s">
        <v>24</v>
      </c>
    </row>
    <row r="14" spans="1:18" x14ac:dyDescent="0.3">
      <c r="E14" s="1" t="s">
        <v>25</v>
      </c>
    </row>
    <row r="15" spans="1:18" x14ac:dyDescent="0.3">
      <c r="E15" s="1" t="s">
        <v>26</v>
      </c>
      <c r="G15" t="s">
        <v>29</v>
      </c>
    </row>
    <row r="16" spans="1:18" x14ac:dyDescent="0.3">
      <c r="E16" s="1" t="s">
        <v>27</v>
      </c>
      <c r="G16" t="s">
        <v>30</v>
      </c>
      <c r="I16" t="s">
        <v>31</v>
      </c>
    </row>
    <row r="17" spans="1:8" x14ac:dyDescent="0.3">
      <c r="E17" s="1" t="s">
        <v>28</v>
      </c>
    </row>
    <row r="18" spans="1:8" x14ac:dyDescent="0.3">
      <c r="G18">
        <v>15.5</v>
      </c>
      <c r="H18">
        <f>G18*1.3</f>
        <v>20.150000000000002</v>
      </c>
    </row>
    <row r="19" spans="1:8" x14ac:dyDescent="0.3">
      <c r="C19" t="s">
        <v>32</v>
      </c>
      <c r="D19" s="3" t="s">
        <v>33</v>
      </c>
    </row>
    <row r="20" spans="1:8" x14ac:dyDescent="0.3">
      <c r="C20" t="s">
        <v>34</v>
      </c>
    </row>
    <row r="21" spans="1:8" x14ac:dyDescent="0.3">
      <c r="C21" t="s">
        <v>35</v>
      </c>
    </row>
    <row r="24" spans="1:8" x14ac:dyDescent="0.3">
      <c r="A24" s="138" t="s">
        <v>94</v>
      </c>
      <c r="B24" s="138"/>
    </row>
    <row r="25" spans="1:8" x14ac:dyDescent="0.3">
      <c r="A25" t="s">
        <v>95</v>
      </c>
    </row>
    <row r="26" spans="1:8" x14ac:dyDescent="0.3">
      <c r="A26" s="61" t="s">
        <v>107</v>
      </c>
    </row>
    <row r="27" spans="1:8" x14ac:dyDescent="0.3">
      <c r="A27" s="61" t="s">
        <v>142</v>
      </c>
    </row>
    <row r="28" spans="1:8" x14ac:dyDescent="0.3">
      <c r="A28" s="107" t="s">
        <v>178</v>
      </c>
    </row>
    <row r="29" spans="1:8" x14ac:dyDescent="0.3">
      <c r="A29" s="107" t="s">
        <v>160</v>
      </c>
    </row>
    <row r="30" spans="1:8" x14ac:dyDescent="0.3">
      <c r="A30" s="107" t="s">
        <v>177</v>
      </c>
    </row>
  </sheetData>
  <mergeCells count="1">
    <mergeCell ref="A24:B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showGridLines="0" topLeftCell="A11" workbookViewId="0">
      <selection activeCell="A17" sqref="A17"/>
    </sheetView>
  </sheetViews>
  <sheetFormatPr defaultRowHeight="14.4" x14ac:dyDescent="0.3"/>
  <cols>
    <col min="1" max="2" width="12.77734375" bestFit="1" customWidth="1"/>
    <col min="3" max="3" width="11.33203125" bestFit="1" customWidth="1"/>
    <col min="4" max="4" width="10.33203125" bestFit="1" customWidth="1"/>
    <col min="5" max="5" width="12.109375" bestFit="1" customWidth="1"/>
    <col min="6" max="6" width="10.33203125" bestFit="1" customWidth="1"/>
    <col min="7" max="7" width="12.33203125" bestFit="1" customWidth="1"/>
    <col min="8" max="9" width="15.5546875" bestFit="1" customWidth="1"/>
    <col min="10" max="10" width="12.44140625" bestFit="1" customWidth="1"/>
    <col min="11" max="11" width="8.33203125" bestFit="1" customWidth="1"/>
    <col min="12" max="12" width="8.6640625" bestFit="1" customWidth="1"/>
    <col min="13" max="13" width="12" bestFit="1" customWidth="1"/>
  </cols>
  <sheetData>
    <row r="1" spans="1:15" ht="24.6" x14ac:dyDescent="0.4">
      <c r="A1" s="181" t="s">
        <v>64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</row>
    <row r="2" spans="1:15" ht="15" thickBot="1" x14ac:dyDescent="0.35"/>
    <row r="3" spans="1:15" ht="15" thickBot="1" x14ac:dyDescent="0.35">
      <c r="B3" s="171" t="s">
        <v>36</v>
      </c>
      <c r="C3" s="155" t="s">
        <v>67</v>
      </c>
      <c r="D3" s="155" t="s">
        <v>106</v>
      </c>
      <c r="E3" s="155" t="s">
        <v>196</v>
      </c>
      <c r="F3" s="155" t="s">
        <v>106</v>
      </c>
      <c r="G3" s="155" t="s">
        <v>197</v>
      </c>
      <c r="I3" s="80" t="s">
        <v>202</v>
      </c>
      <c r="J3" s="80">
        <f>SUM(C4:C6)</f>
        <v>55000</v>
      </c>
      <c r="L3" s="108" t="s">
        <v>159</v>
      </c>
      <c r="M3" s="109">
        <f>J3-J4</f>
        <v>55000</v>
      </c>
    </row>
    <row r="4" spans="1:15" x14ac:dyDescent="0.3">
      <c r="B4" s="157">
        <v>43927</v>
      </c>
      <c r="C4" s="74">
        <v>20000</v>
      </c>
      <c r="D4" s="74"/>
      <c r="E4" s="74"/>
      <c r="F4" s="74"/>
      <c r="G4" s="74"/>
      <c r="I4" s="80" t="s">
        <v>158</v>
      </c>
      <c r="J4" s="80"/>
    </row>
    <row r="5" spans="1:15" x14ac:dyDescent="0.3">
      <c r="B5" s="158">
        <v>43934</v>
      </c>
      <c r="C5" s="76">
        <v>15000</v>
      </c>
      <c r="D5" s="76"/>
      <c r="E5" s="76"/>
      <c r="F5" s="76"/>
      <c r="G5" s="76"/>
    </row>
    <row r="6" spans="1:15" x14ac:dyDescent="0.3">
      <c r="B6" s="158">
        <v>43955</v>
      </c>
      <c r="C6" s="76">
        <v>20000</v>
      </c>
      <c r="D6" s="76"/>
      <c r="E6" s="76"/>
      <c r="F6" s="76"/>
      <c r="G6" s="76"/>
    </row>
    <row r="7" spans="1:15" x14ac:dyDescent="0.3">
      <c r="B7" s="158"/>
      <c r="C7" s="76"/>
      <c r="D7" s="76"/>
      <c r="E7" s="76"/>
      <c r="F7" s="76"/>
      <c r="G7" s="76"/>
    </row>
    <row r="12" spans="1:15" ht="24.6" x14ac:dyDescent="0.4">
      <c r="A12" s="175" t="s">
        <v>65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</row>
    <row r="13" spans="1:15" ht="24.6" x14ac:dyDescent="0.4">
      <c r="A13" s="174"/>
      <c r="H13" s="174"/>
      <c r="I13" s="174"/>
      <c r="J13" s="174"/>
      <c r="K13" s="174"/>
      <c r="L13" s="174"/>
      <c r="M13" s="174"/>
      <c r="N13" s="174"/>
      <c r="O13" s="174"/>
    </row>
    <row r="14" spans="1:15" x14ac:dyDescent="0.3">
      <c r="B14" s="171" t="s">
        <v>36</v>
      </c>
      <c r="C14" s="171" t="s">
        <v>67</v>
      </c>
      <c r="D14" s="171" t="s">
        <v>208</v>
      </c>
      <c r="E14" s="171" t="s">
        <v>196</v>
      </c>
      <c r="F14" s="171" t="s">
        <v>106</v>
      </c>
      <c r="G14" s="171" t="s">
        <v>197</v>
      </c>
      <c r="I14" s="80" t="s">
        <v>202</v>
      </c>
      <c r="J14" s="182">
        <f>SUM(C15:C23)</f>
        <v>39696</v>
      </c>
    </row>
    <row r="15" spans="1:15" ht="15" thickBot="1" x14ac:dyDescent="0.35">
      <c r="B15" s="157">
        <v>43922</v>
      </c>
      <c r="C15" s="184">
        <v>10000</v>
      </c>
      <c r="D15" s="184"/>
      <c r="E15" s="184"/>
      <c r="F15" s="184"/>
      <c r="G15" s="74"/>
      <c r="I15" s="80" t="s">
        <v>204</v>
      </c>
      <c r="J15" s="182">
        <f>E31+M31</f>
        <v>39696.425000000003</v>
      </c>
    </row>
    <row r="16" spans="1:15" ht="15" thickBot="1" x14ac:dyDescent="0.35">
      <c r="B16" s="158">
        <v>43955</v>
      </c>
      <c r="C16" s="185">
        <v>15000</v>
      </c>
      <c r="D16" s="185"/>
      <c r="E16" s="185"/>
      <c r="F16" s="185"/>
      <c r="G16" s="76"/>
      <c r="I16" s="80" t="s">
        <v>195</v>
      </c>
      <c r="J16" s="182">
        <f>SUM(E15:E21)</f>
        <v>-8152.87</v>
      </c>
      <c r="L16" s="108" t="s">
        <v>206</v>
      </c>
      <c r="M16" s="183">
        <f>(SUM(D15:D21)-SUM(E15:E21))-(J14-J15)+SUM(E15:E21)-SUM(F15:F21)</f>
        <v>1267.555000000003</v>
      </c>
    </row>
    <row r="17" spans="2:13" x14ac:dyDescent="0.3">
      <c r="B17" s="158">
        <v>43963</v>
      </c>
      <c r="C17" s="185">
        <v>4600</v>
      </c>
      <c r="D17" s="185"/>
      <c r="E17" s="185"/>
      <c r="F17" s="185"/>
      <c r="G17" s="76"/>
      <c r="I17" s="80" t="s">
        <v>209</v>
      </c>
      <c r="J17" s="182">
        <f>SUM(D15:D21)</f>
        <v>2668.13</v>
      </c>
    </row>
    <row r="18" spans="2:13" x14ac:dyDescent="0.3">
      <c r="B18" s="158">
        <v>43965</v>
      </c>
      <c r="C18" s="185">
        <v>8695</v>
      </c>
      <c r="D18" s="185"/>
      <c r="E18" s="185"/>
      <c r="F18" s="185"/>
      <c r="G18" s="76"/>
      <c r="I18" s="80" t="s">
        <v>205</v>
      </c>
      <c r="J18" s="182">
        <f>E31+M31-(SUM(D15:D22)-SUM(E15:E22))</f>
        <v>28875.425000000003</v>
      </c>
    </row>
    <row r="19" spans="2:13" x14ac:dyDescent="0.3">
      <c r="B19" s="158">
        <v>43971</v>
      </c>
      <c r="C19" s="192">
        <v>1401</v>
      </c>
      <c r="D19" s="193">
        <v>1912.88</v>
      </c>
      <c r="E19" s="185">
        <v>511.88</v>
      </c>
      <c r="F19" s="192">
        <v>1401</v>
      </c>
      <c r="G19" s="76" t="s">
        <v>186</v>
      </c>
      <c r="I19" s="80" t="s">
        <v>207</v>
      </c>
      <c r="J19" s="182">
        <f>SUM(F15:F21)</f>
        <v>1401</v>
      </c>
    </row>
    <row r="20" spans="2:13" x14ac:dyDescent="0.3">
      <c r="B20" s="158">
        <v>43973</v>
      </c>
      <c r="C20" s="185"/>
      <c r="D20" s="185">
        <v>530.25</v>
      </c>
      <c r="E20" s="185">
        <v>-5529.75</v>
      </c>
      <c r="F20" s="185"/>
      <c r="G20" s="76" t="s">
        <v>198</v>
      </c>
    </row>
    <row r="21" spans="2:13" x14ac:dyDescent="0.3">
      <c r="B21" s="158">
        <v>43973</v>
      </c>
      <c r="C21" s="185"/>
      <c r="D21" s="185">
        <v>225</v>
      </c>
      <c r="E21" s="185">
        <v>-3135</v>
      </c>
      <c r="F21" s="185"/>
      <c r="G21" s="76" t="s">
        <v>199</v>
      </c>
    </row>
    <row r="22" spans="2:13" x14ac:dyDescent="0.3">
      <c r="B22" s="49"/>
    </row>
    <row r="23" spans="2:13" x14ac:dyDescent="0.3">
      <c r="C23" s="66"/>
      <c r="H23" s="154"/>
      <c r="I23" s="154"/>
      <c r="J23" s="154"/>
      <c r="K23" s="154"/>
      <c r="L23" s="154"/>
      <c r="M23" s="154"/>
    </row>
    <row r="24" spans="2:13" x14ac:dyDescent="0.3">
      <c r="B24" s="176" t="s">
        <v>150</v>
      </c>
      <c r="C24" s="176"/>
      <c r="D24" s="176"/>
      <c r="E24" s="176"/>
      <c r="H24" s="168" t="s">
        <v>149</v>
      </c>
      <c r="I24" s="169"/>
      <c r="J24" s="169"/>
      <c r="K24" s="169"/>
      <c r="L24" s="169"/>
      <c r="M24" s="170"/>
    </row>
    <row r="25" spans="2:13" x14ac:dyDescent="0.3">
      <c r="B25" s="72" t="s">
        <v>111</v>
      </c>
      <c r="C25" s="173" t="s">
        <v>38</v>
      </c>
      <c r="D25" s="167" t="s">
        <v>114</v>
      </c>
      <c r="E25" s="167" t="s">
        <v>115</v>
      </c>
      <c r="F25" s="139"/>
      <c r="H25" s="167" t="s">
        <v>111</v>
      </c>
      <c r="I25" s="167" t="s">
        <v>165</v>
      </c>
      <c r="J25" s="167" t="s">
        <v>154</v>
      </c>
      <c r="K25" s="167" t="s">
        <v>38</v>
      </c>
      <c r="L25" s="167" t="s">
        <v>147</v>
      </c>
      <c r="M25" s="167" t="s">
        <v>115</v>
      </c>
    </row>
    <row r="26" spans="2:13" x14ac:dyDescent="0.3">
      <c r="B26" s="178" t="s">
        <v>113</v>
      </c>
      <c r="C26" s="120">
        <v>25</v>
      </c>
      <c r="D26" s="184">
        <v>140.55000000000001</v>
      </c>
      <c r="E26" s="186">
        <f>D26*C26</f>
        <v>3513.7500000000005</v>
      </c>
      <c r="F26" s="66"/>
      <c r="H26" s="73" t="s">
        <v>151</v>
      </c>
      <c r="I26" s="120" t="s">
        <v>123</v>
      </c>
      <c r="J26" s="105" t="s">
        <v>153</v>
      </c>
      <c r="K26" s="74">
        <v>100</v>
      </c>
      <c r="L26" s="184">
        <v>33.6</v>
      </c>
      <c r="M26" s="186">
        <f>L26*K26</f>
        <v>3360</v>
      </c>
    </row>
    <row r="27" spans="2:13" x14ac:dyDescent="0.3">
      <c r="B27" s="75" t="s">
        <v>44</v>
      </c>
      <c r="C27" s="104">
        <v>55</v>
      </c>
      <c r="D27" s="185">
        <v>30.55</v>
      </c>
      <c r="E27" s="187">
        <f t="shared" ref="E27" si="0">D27*C27</f>
        <v>1680.25</v>
      </c>
      <c r="F27" s="66"/>
      <c r="H27" s="75" t="s">
        <v>82</v>
      </c>
      <c r="I27" s="104" t="s">
        <v>123</v>
      </c>
      <c r="J27" s="104" t="s">
        <v>155</v>
      </c>
      <c r="K27" s="76">
        <v>1515</v>
      </c>
      <c r="L27" s="185">
        <v>4</v>
      </c>
      <c r="M27" s="187">
        <f t="shared" ref="M27:M29" si="1">L27*K27</f>
        <v>6060</v>
      </c>
    </row>
    <row r="28" spans="2:13" x14ac:dyDescent="0.3">
      <c r="B28" s="75" t="s">
        <v>44</v>
      </c>
      <c r="C28" s="104">
        <v>4</v>
      </c>
      <c r="D28" s="185">
        <v>30.65</v>
      </c>
      <c r="E28" s="187">
        <f t="shared" ref="E28:E30" si="2">D28*C28</f>
        <v>122.6</v>
      </c>
      <c r="F28" s="66"/>
      <c r="H28" s="75" t="s">
        <v>152</v>
      </c>
      <c r="I28" s="104" t="s">
        <v>166</v>
      </c>
      <c r="J28" s="104" t="s">
        <v>156</v>
      </c>
      <c r="K28" s="76">
        <v>1200</v>
      </c>
      <c r="L28" s="185">
        <v>3.25</v>
      </c>
      <c r="M28" s="187">
        <f t="shared" si="1"/>
        <v>3900</v>
      </c>
    </row>
    <row r="29" spans="2:13" x14ac:dyDescent="0.3">
      <c r="B29" s="75" t="s">
        <v>45</v>
      </c>
      <c r="C29" s="104">
        <v>25</v>
      </c>
      <c r="D29" s="185">
        <v>187</v>
      </c>
      <c r="E29" s="187">
        <f t="shared" si="2"/>
        <v>4675</v>
      </c>
      <c r="F29" s="66"/>
      <c r="H29" s="75" t="s">
        <v>182</v>
      </c>
      <c r="I29" s="104" t="s">
        <v>123</v>
      </c>
      <c r="J29" s="104" t="s">
        <v>184</v>
      </c>
      <c r="K29" s="76">
        <v>37.5</v>
      </c>
      <c r="L29" s="185">
        <v>37.35</v>
      </c>
      <c r="M29" s="187">
        <f t="shared" si="1"/>
        <v>1400.625</v>
      </c>
    </row>
    <row r="30" spans="2:13" x14ac:dyDescent="0.3">
      <c r="B30" s="177" t="s">
        <v>116</v>
      </c>
      <c r="C30" s="172">
        <v>44</v>
      </c>
      <c r="D30" s="191">
        <v>340.55</v>
      </c>
      <c r="E30" s="188">
        <f t="shared" si="2"/>
        <v>14984.2</v>
      </c>
      <c r="F30" s="66"/>
      <c r="H30" s="75"/>
      <c r="I30" s="104"/>
      <c r="J30" s="104"/>
      <c r="K30" s="76"/>
      <c r="L30" s="185"/>
      <c r="M30" s="187"/>
    </row>
    <row r="31" spans="2:13" x14ac:dyDescent="0.3">
      <c r="B31" s="149" t="s">
        <v>97</v>
      </c>
      <c r="C31" s="150"/>
      <c r="D31" s="149"/>
      <c r="E31" s="189">
        <f>SUM(E26:E30)</f>
        <v>24975.800000000003</v>
      </c>
      <c r="F31" s="140"/>
      <c r="H31" s="79" t="s">
        <v>97</v>
      </c>
      <c r="I31" s="79"/>
      <c r="J31" s="79"/>
      <c r="K31" s="80"/>
      <c r="L31" s="79"/>
      <c r="M31" s="190">
        <f>SUM(M26:M30)</f>
        <v>14720.625</v>
      </c>
    </row>
    <row r="32" spans="2:13" x14ac:dyDescent="0.3">
      <c r="B32" s="166"/>
      <c r="C32" s="165"/>
      <c r="D32" s="165"/>
      <c r="E32" s="140"/>
      <c r="F32" s="140"/>
      <c r="H32" s="140"/>
      <c r="I32" s="140"/>
      <c r="J32" s="140"/>
      <c r="K32" s="66"/>
      <c r="L32" s="140"/>
      <c r="M32" s="140"/>
    </row>
    <row r="33" spans="1:15" x14ac:dyDescent="0.3">
      <c r="B33" s="166"/>
      <c r="C33" s="165"/>
      <c r="D33" s="165"/>
      <c r="E33" s="140"/>
      <c r="F33" s="140"/>
      <c r="H33" s="140"/>
      <c r="I33" s="140"/>
      <c r="J33" s="140"/>
      <c r="K33" s="66"/>
      <c r="L33" s="140"/>
      <c r="M33" s="140"/>
    </row>
    <row r="34" spans="1:15" x14ac:dyDescent="0.3">
      <c r="A34" s="165"/>
      <c r="B34" s="166"/>
      <c r="C34" s="165"/>
      <c r="D34" s="165"/>
      <c r="E34" s="140"/>
      <c r="F34" s="140"/>
      <c r="H34" s="140"/>
      <c r="I34" s="140"/>
      <c r="J34" s="140"/>
      <c r="K34" s="66"/>
      <c r="L34" s="140"/>
      <c r="M34" s="140"/>
    </row>
    <row r="35" spans="1:15" x14ac:dyDescent="0.3">
      <c r="A35" s="165"/>
      <c r="B35" s="166"/>
      <c r="C35" s="165"/>
      <c r="D35" s="165"/>
      <c r="E35" s="140"/>
      <c r="F35" s="140"/>
      <c r="H35" s="140"/>
      <c r="I35" s="140"/>
      <c r="J35" s="140"/>
      <c r="K35" s="66"/>
      <c r="L35" s="140"/>
      <c r="M35" s="140"/>
    </row>
    <row r="36" spans="1:15" x14ac:dyDescent="0.3">
      <c r="A36" s="165"/>
      <c r="B36" s="166"/>
      <c r="C36" s="165"/>
      <c r="D36" s="165"/>
      <c r="E36" s="140"/>
      <c r="F36" s="140"/>
      <c r="H36" s="140"/>
      <c r="I36" s="140"/>
      <c r="J36" s="140"/>
      <c r="K36" s="66"/>
      <c r="L36" s="140"/>
      <c r="M36" s="140"/>
    </row>
    <row r="37" spans="1:15" ht="24.6" x14ac:dyDescent="0.4">
      <c r="A37" s="175" t="s">
        <v>66</v>
      </c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</row>
    <row r="39" spans="1:15" x14ac:dyDescent="0.3">
      <c r="B39" s="80" t="s">
        <v>36</v>
      </c>
      <c r="C39" s="80" t="s">
        <v>67</v>
      </c>
      <c r="D39" s="80" t="s">
        <v>208</v>
      </c>
      <c r="E39" s="80" t="s">
        <v>197</v>
      </c>
    </row>
    <row r="40" spans="1:15" x14ac:dyDescent="0.3">
      <c r="B40" s="156">
        <v>43922</v>
      </c>
      <c r="C40" s="80">
        <v>20000</v>
      </c>
      <c r="D40" s="80"/>
      <c r="E40" s="80"/>
      <c r="H40" s="80" t="s">
        <v>157</v>
      </c>
      <c r="I40" s="80">
        <f>SUM(C40:C51)</f>
        <v>62886</v>
      </c>
    </row>
    <row r="41" spans="1:15" x14ac:dyDescent="0.3">
      <c r="B41" s="156">
        <v>43934</v>
      </c>
      <c r="C41" s="80">
        <v>5000</v>
      </c>
      <c r="D41" s="80"/>
      <c r="E41" s="80"/>
    </row>
    <row r="42" spans="1:15" x14ac:dyDescent="0.3">
      <c r="B42" s="156">
        <v>43936</v>
      </c>
      <c r="C42" s="80">
        <v>2000</v>
      </c>
      <c r="D42" s="80"/>
      <c r="E42" s="80"/>
    </row>
    <row r="43" spans="1:15" x14ac:dyDescent="0.3">
      <c r="B43" s="156">
        <v>43956</v>
      </c>
      <c r="C43" s="80">
        <v>10000</v>
      </c>
      <c r="D43" s="80"/>
      <c r="E43" s="80"/>
    </row>
    <row r="44" spans="1:15" x14ac:dyDescent="0.3">
      <c r="B44" s="156">
        <v>43957</v>
      </c>
      <c r="C44" s="80">
        <v>10000</v>
      </c>
      <c r="D44" s="80"/>
      <c r="E44" s="80"/>
    </row>
    <row r="45" spans="1:15" x14ac:dyDescent="0.3">
      <c r="B45" s="156">
        <v>43964</v>
      </c>
      <c r="C45" s="80">
        <v>3839</v>
      </c>
      <c r="D45" s="80">
        <v>12047</v>
      </c>
      <c r="E45" s="80"/>
    </row>
    <row r="46" spans="1:15" x14ac:dyDescent="0.3">
      <c r="B46" s="156">
        <v>43964</v>
      </c>
      <c r="C46" s="80">
        <v>12047</v>
      </c>
      <c r="D46" s="80"/>
      <c r="E46" s="80" t="s">
        <v>104</v>
      </c>
    </row>
    <row r="54" spans="1:15" ht="24.6" x14ac:dyDescent="0.4">
      <c r="A54" s="175" t="s">
        <v>112</v>
      </c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</row>
    <row r="56" spans="1:15" x14ac:dyDescent="0.3">
      <c r="B56" s="80" t="s">
        <v>36</v>
      </c>
      <c r="C56" s="80" t="s">
        <v>67</v>
      </c>
      <c r="D56" s="155" t="s">
        <v>208</v>
      </c>
      <c r="E56" s="155" t="s">
        <v>196</v>
      </c>
      <c r="F56" s="155" t="s">
        <v>106</v>
      </c>
      <c r="G56" s="155" t="s">
        <v>197</v>
      </c>
      <c r="I56" s="80" t="s">
        <v>202</v>
      </c>
      <c r="J56" s="182">
        <f>SUM(C57:C59)</f>
        <v>30510</v>
      </c>
    </row>
    <row r="57" spans="1:15" ht="15" thickBot="1" x14ac:dyDescent="0.35">
      <c r="B57" s="179">
        <v>43955</v>
      </c>
      <c r="C57" s="184">
        <v>20000</v>
      </c>
      <c r="D57" s="74"/>
      <c r="E57" s="74"/>
      <c r="F57" s="74"/>
      <c r="G57" s="74"/>
      <c r="I57" s="80" t="s">
        <v>204</v>
      </c>
      <c r="J57" s="182">
        <f>E74+L65</f>
        <v>31480.799999999999</v>
      </c>
    </row>
    <row r="58" spans="1:15" ht="15" thickBot="1" x14ac:dyDescent="0.35">
      <c r="B58" s="180">
        <v>43966</v>
      </c>
      <c r="C58" s="185">
        <v>10510</v>
      </c>
      <c r="D58" s="76"/>
      <c r="E58" s="76"/>
      <c r="F58" s="76"/>
      <c r="G58" s="76"/>
      <c r="I58" s="80" t="s">
        <v>195</v>
      </c>
      <c r="J58" s="182">
        <f>SUM(E57:E59)</f>
        <v>0</v>
      </c>
      <c r="L58" s="108" t="s">
        <v>159</v>
      </c>
      <c r="M58" s="183">
        <f>J56-J57</f>
        <v>-970.79999999999927</v>
      </c>
    </row>
    <row r="59" spans="1:15" x14ac:dyDescent="0.3">
      <c r="H59" s="66"/>
      <c r="I59" s="80" t="s">
        <v>209</v>
      </c>
      <c r="J59" s="182">
        <f>SUM(D57:D58)</f>
        <v>0</v>
      </c>
    </row>
    <row r="60" spans="1:15" x14ac:dyDescent="0.3">
      <c r="F60" s="139"/>
      <c r="I60" s="80" t="s">
        <v>205</v>
      </c>
      <c r="J60" s="182">
        <f>E74+M73-(SUM(D57:D59)-SUM(E57:E59))</f>
        <v>31480.799999999999</v>
      </c>
    </row>
    <row r="61" spans="1:15" x14ac:dyDescent="0.3">
      <c r="F61" s="66"/>
      <c r="I61" s="80" t="s">
        <v>207</v>
      </c>
      <c r="J61" s="182">
        <f>SUM(F57:F63)</f>
        <v>0</v>
      </c>
    </row>
    <row r="62" spans="1:15" x14ac:dyDescent="0.3">
      <c r="F62" s="66"/>
    </row>
    <row r="63" spans="1:15" x14ac:dyDescent="0.3">
      <c r="F63" s="66"/>
    </row>
    <row r="64" spans="1:15" x14ac:dyDescent="0.3">
      <c r="F64" s="66"/>
    </row>
    <row r="65" spans="2:6" x14ac:dyDescent="0.3">
      <c r="B65" s="176" t="s">
        <v>150</v>
      </c>
      <c r="C65" s="176"/>
      <c r="D65" s="176"/>
      <c r="E65" s="176"/>
      <c r="F65" s="66"/>
    </row>
    <row r="66" spans="2:6" x14ac:dyDescent="0.3">
      <c r="B66" s="164" t="s">
        <v>111</v>
      </c>
      <c r="C66" s="163" t="s">
        <v>38</v>
      </c>
      <c r="D66" s="163" t="s">
        <v>114</v>
      </c>
      <c r="E66" s="163" t="s">
        <v>115</v>
      </c>
      <c r="F66" s="140"/>
    </row>
    <row r="67" spans="2:6" x14ac:dyDescent="0.3">
      <c r="B67" s="77" t="s">
        <v>116</v>
      </c>
      <c r="C67" s="74">
        <v>26</v>
      </c>
      <c r="D67" s="74">
        <v>344.1</v>
      </c>
      <c r="E67" s="186">
        <f>D67*C67</f>
        <v>8946.6</v>
      </c>
    </row>
    <row r="68" spans="2:6" x14ac:dyDescent="0.3">
      <c r="B68" s="75" t="s">
        <v>120</v>
      </c>
      <c r="C68" s="76">
        <v>30</v>
      </c>
      <c r="D68" s="76">
        <v>164.5</v>
      </c>
      <c r="E68" s="187">
        <f t="shared" ref="E68:E73" si="3">D68*C68</f>
        <v>4935</v>
      </c>
    </row>
    <row r="69" spans="2:6" x14ac:dyDescent="0.3">
      <c r="B69" s="75" t="s">
        <v>118</v>
      </c>
      <c r="C69" s="76">
        <v>50</v>
      </c>
      <c r="D69" s="76">
        <v>77.5</v>
      </c>
      <c r="E69" s="187">
        <f t="shared" si="3"/>
        <v>3875</v>
      </c>
    </row>
    <row r="70" spans="2:6" x14ac:dyDescent="0.3">
      <c r="B70" s="77" t="s">
        <v>117</v>
      </c>
      <c r="C70" s="78">
        <v>10</v>
      </c>
      <c r="D70" s="78">
        <v>219</v>
      </c>
      <c r="E70" s="188">
        <f t="shared" ref="E70:E72" si="4">D70*C70</f>
        <v>2190</v>
      </c>
    </row>
    <row r="71" spans="2:6" x14ac:dyDescent="0.3">
      <c r="B71" s="77" t="s">
        <v>203</v>
      </c>
      <c r="C71" s="78">
        <v>12</v>
      </c>
      <c r="D71" s="78">
        <v>166.85</v>
      </c>
      <c r="E71" s="188">
        <f t="shared" si="4"/>
        <v>2002.1999999999998</v>
      </c>
    </row>
    <row r="72" spans="2:6" x14ac:dyDescent="0.3">
      <c r="B72" s="77" t="s">
        <v>102</v>
      </c>
      <c r="C72" s="78">
        <v>4</v>
      </c>
      <c r="D72" s="78">
        <v>1618</v>
      </c>
      <c r="E72" s="188">
        <f t="shared" si="4"/>
        <v>6472</v>
      </c>
    </row>
    <row r="73" spans="2:6" x14ac:dyDescent="0.3">
      <c r="B73" s="77" t="s">
        <v>45</v>
      </c>
      <c r="C73" s="78">
        <v>20</v>
      </c>
      <c r="D73" s="78">
        <v>153</v>
      </c>
      <c r="E73" s="188">
        <f t="shared" si="3"/>
        <v>3060</v>
      </c>
    </row>
    <row r="74" spans="2:6" x14ac:dyDescent="0.3">
      <c r="B74" s="149" t="s">
        <v>97</v>
      </c>
      <c r="C74" s="150"/>
      <c r="D74" s="149"/>
      <c r="E74" s="189">
        <f>SUM(E67:E73)</f>
        <v>31480.799999999999</v>
      </c>
    </row>
  </sheetData>
  <mergeCells count="7">
    <mergeCell ref="A12:O12"/>
    <mergeCell ref="A54:O54"/>
    <mergeCell ref="A37:O37"/>
    <mergeCell ref="A1:O1"/>
    <mergeCell ref="H24:M24"/>
    <mergeCell ref="B65:E65"/>
    <mergeCell ref="B24:E24"/>
  </mergeCells>
  <conditionalFormatting sqref="L16:M16">
    <cfRule type="cellIs" dxfId="5" priority="8" operator="lessThan">
      <formula>0</formula>
    </cfRule>
  </conditionalFormatting>
  <conditionalFormatting sqref="M16">
    <cfRule type="cellIs" dxfId="4" priority="5" operator="greaterThan">
      <formula>0</formula>
    </cfRule>
  </conditionalFormatting>
  <conditionalFormatting sqref="L3:M3">
    <cfRule type="cellIs" dxfId="3" priority="4" operator="lessThan">
      <formula>0</formula>
    </cfRule>
  </conditionalFormatting>
  <conditionalFormatting sqref="M3">
    <cfRule type="cellIs" dxfId="2" priority="3" operator="greaterThan">
      <formula>0</formula>
    </cfRule>
  </conditionalFormatting>
  <conditionalFormatting sqref="L58:M58">
    <cfRule type="cellIs" dxfId="1" priority="2" operator="lessThan">
      <formula>0</formula>
    </cfRule>
  </conditionalFormatting>
  <conditionalFormatting sqref="M5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Delivery</vt:lpstr>
      <vt:lpstr>Options</vt:lpstr>
      <vt:lpstr>Stats</vt:lpstr>
      <vt:lpstr>Learning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Ishant Sahu</dc:creator>
  <cp:lastModifiedBy>Ishant Sahu</cp:lastModifiedBy>
  <dcterms:created xsi:type="dcterms:W3CDTF">2020-03-30T01:58:54Z</dcterms:created>
  <dcterms:modified xsi:type="dcterms:W3CDTF">2020-05-24T04:09:00Z</dcterms:modified>
</cp:coreProperties>
</file>