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iris\Siris Benchmarking\New Benchmarking\"/>
    </mc:Choice>
  </mc:AlternateContent>
  <xr:revisionPtr revIDLastSave="0" documentId="13_ncr:1_{FF4B0072-CC03-4358-89CC-B05CEAD5FD56}" xr6:coauthVersionLast="45" xr6:coauthVersionMax="45" xr10:uidLastSave="{00000000-0000-0000-0000-000000000000}"/>
  <bookViews>
    <workbookView xWindow="-120" yWindow="-120" windowWidth="20730" windowHeight="11160" firstSheet="3" activeTab="7" xr2:uid="{1D9B0715-B231-46DA-9C62-FAF9D1DB701A}"/>
  </bookViews>
  <sheets>
    <sheet name="Assumptions &amp; Data input" sheetId="14" r:id="rId1"/>
    <sheet name="2018E P&amp;L Summary" sheetId="1" r:id="rId2"/>
    <sheet name="Key Cost &amp; Productivity Metrics" sheetId="7" r:id="rId3"/>
    <sheet name="G&amp;A Metrics" sheetId="5" r:id="rId4"/>
    <sheet name="HCC_LCC Overview" sheetId="6" r:id="rId5"/>
    <sheet name="Span of Control" sheetId="8" r:id="rId6"/>
    <sheet name="Sales Overview Data" sheetId="9" r:id="rId7"/>
    <sheet name="Facilities Overview" sheetId="12" r:id="rId8"/>
    <sheet name="Marketing Overview" sheetId="11" r:id="rId9"/>
    <sheet name="FTE Headcount" sheetId="13" r:id="rId10"/>
    <sheet name="Data Reference" sheetId="2" r:id="rId11"/>
    <sheet name="Data Sheet New Model" sheetId="4" r:id="rId12"/>
  </sheets>
  <externalReferences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5" l="1"/>
  <c r="F10" i="5"/>
  <c r="G10" i="5"/>
  <c r="G10" i="9"/>
  <c r="G11" i="9" s="1"/>
  <c r="H11" i="9"/>
  <c r="I11" i="9"/>
  <c r="V10" i="7" l="1"/>
  <c r="T10" i="7"/>
  <c r="S10" i="7"/>
  <c r="R10" i="7"/>
  <c r="Q10" i="7"/>
  <c r="P10" i="7"/>
  <c r="L10" i="5"/>
  <c r="L11" i="5" s="1"/>
  <c r="F11" i="5"/>
  <c r="E10" i="5"/>
  <c r="E11" i="5" s="1"/>
  <c r="D10" i="5"/>
  <c r="D11" i="5" s="1"/>
  <c r="C11" i="5"/>
  <c r="B10" i="5"/>
  <c r="Q10" i="9"/>
  <c r="P10" i="9"/>
  <c r="O10" i="9"/>
  <c r="N10" i="9"/>
  <c r="J10" i="11"/>
  <c r="H10" i="11"/>
  <c r="G10" i="11"/>
  <c r="E10" i="11"/>
  <c r="D10" i="11"/>
  <c r="G10" i="12"/>
  <c r="E10" i="12"/>
  <c r="C10" i="12"/>
  <c r="B10" i="12"/>
  <c r="C10" i="9"/>
  <c r="E10" i="8"/>
  <c r="D10" i="8"/>
  <c r="C10" i="8"/>
  <c r="B10" i="8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1" i="5"/>
  <c r="P11" i="5"/>
  <c r="O11" i="5"/>
  <c r="N11" i="5"/>
  <c r="M11" i="5"/>
  <c r="J11" i="5"/>
  <c r="K11" i="5"/>
  <c r="I11" i="5"/>
  <c r="H11" i="5"/>
  <c r="G11" i="5"/>
  <c r="B11" i="5"/>
  <c r="L11" i="7"/>
  <c r="J11" i="7"/>
  <c r="I11" i="7"/>
  <c r="H11" i="7"/>
  <c r="G11" i="7"/>
  <c r="F11" i="7"/>
  <c r="E11" i="7"/>
  <c r="D11" i="7"/>
  <c r="C11" i="7"/>
  <c r="B11" i="7"/>
  <c r="E14" i="9"/>
  <c r="D14" i="9"/>
  <c r="D25" i="5"/>
  <c r="E25" i="5" s="1"/>
  <c r="C25" i="5"/>
  <c r="I15" i="7"/>
  <c r="I16" i="7" s="1"/>
  <c r="P13" i="7"/>
  <c r="O13" i="7"/>
  <c r="O14" i="7" s="1"/>
  <c r="P14" i="7" s="1"/>
  <c r="E22" i="5" l="1"/>
  <c r="F22" i="5" s="1"/>
  <c r="E21" i="5"/>
  <c r="F21" i="5" s="1"/>
  <c r="E24" i="5"/>
  <c r="F24" i="5" s="1"/>
  <c r="E20" i="5"/>
  <c r="F20" i="5" s="1"/>
  <c r="E23" i="5"/>
  <c r="F23" i="5" s="1"/>
  <c r="E19" i="5"/>
  <c r="F19" i="5" s="1"/>
  <c r="E34" i="14" l="1"/>
  <c r="F34" i="14" s="1"/>
  <c r="D34" i="14"/>
  <c r="E20" i="14"/>
  <c r="E18" i="14" s="1"/>
  <c r="D20" i="14"/>
  <c r="X10" i="7" l="1"/>
  <c r="E19" i="14"/>
  <c r="Y10" i="7" s="1"/>
  <c r="E17" i="14"/>
  <c r="E16" i="14"/>
  <c r="F11" i="11"/>
  <c r="B11" i="11"/>
  <c r="N11" i="13"/>
  <c r="M11" i="13"/>
  <c r="L11" i="13"/>
  <c r="K11" i="13"/>
  <c r="J11" i="13"/>
  <c r="I11" i="13"/>
  <c r="H11" i="13"/>
  <c r="G11" i="13"/>
  <c r="F11" i="13"/>
  <c r="E11" i="13"/>
  <c r="D11" i="13"/>
  <c r="C11" i="13"/>
  <c r="N11" i="11"/>
  <c r="M11" i="11"/>
  <c r="I11" i="11"/>
  <c r="H11" i="12"/>
  <c r="F11" i="12"/>
  <c r="D11" i="12"/>
  <c r="M11" i="9"/>
  <c r="J11" i="9"/>
  <c r="B11" i="9"/>
  <c r="W10" i="7" l="1"/>
  <c r="S11" i="6"/>
  <c r="B11" i="6"/>
  <c r="K11" i="7"/>
  <c r="O11" i="1" l="1"/>
  <c r="L10" i="13"/>
  <c r="K10" i="13"/>
  <c r="J10" i="13"/>
  <c r="I10" i="13"/>
  <c r="H10" i="13"/>
  <c r="G10" i="13"/>
  <c r="M10" i="13" s="1"/>
  <c r="N10" i="13" s="1"/>
  <c r="F10" i="13"/>
  <c r="E10" i="13"/>
  <c r="D10" i="13"/>
  <c r="C10" i="13"/>
  <c r="B10" i="13"/>
  <c r="J11" i="11"/>
  <c r="H11" i="11"/>
  <c r="G11" i="11"/>
  <c r="G11" i="12"/>
  <c r="E11" i="12"/>
  <c r="C11" i="12"/>
  <c r="B11" i="12"/>
  <c r="Q11" i="9"/>
  <c r="O11" i="9"/>
  <c r="M10" i="9"/>
  <c r="J10" i="9"/>
  <c r="E10" i="9"/>
  <c r="E11" i="9" s="1"/>
  <c r="D10" i="9"/>
  <c r="D11" i="9" s="1"/>
  <c r="E11" i="8"/>
  <c r="D11" i="8"/>
  <c r="C11" i="8"/>
  <c r="B11" i="8"/>
  <c r="N10" i="6"/>
  <c r="L10" i="6"/>
  <c r="K10" i="6"/>
  <c r="F10" i="6"/>
  <c r="E10" i="6"/>
  <c r="D10" i="6"/>
  <c r="Y11" i="7"/>
  <c r="X11" i="7"/>
  <c r="W11" i="7"/>
  <c r="V11" i="7"/>
  <c r="U10" i="7"/>
  <c r="U11" i="7" s="1"/>
  <c r="T11" i="7"/>
  <c r="S11" i="7"/>
  <c r="R11" i="7"/>
  <c r="Q11" i="7"/>
  <c r="P11" i="7"/>
  <c r="O10" i="7"/>
  <c r="O11" i="7" s="1"/>
  <c r="J10" i="7"/>
  <c r="H10" i="7"/>
  <c r="L10" i="7" s="1"/>
  <c r="G10" i="7"/>
  <c r="K10" i="7" s="1"/>
  <c r="W10" i="1"/>
  <c r="V10" i="1"/>
  <c r="O10" i="1"/>
  <c r="M10" i="1"/>
  <c r="K10" i="1"/>
  <c r="L10" i="1" s="1"/>
  <c r="F10" i="1"/>
  <c r="X10" i="1" s="1"/>
  <c r="E10" i="1"/>
  <c r="D10" i="1"/>
  <c r="G10" i="1" s="1"/>
  <c r="M10" i="7" l="1"/>
  <c r="M11" i="7" s="1"/>
  <c r="K10" i="11"/>
  <c r="K11" i="11" s="1"/>
  <c r="D11" i="11"/>
  <c r="P11" i="9"/>
  <c r="N11" i="9"/>
  <c r="F10" i="9"/>
  <c r="F11" i="9" s="1"/>
  <c r="C11" i="9"/>
  <c r="C10" i="11"/>
  <c r="J10" i="1"/>
  <c r="F10" i="8"/>
  <c r="E11" i="11"/>
  <c r="K10" i="9"/>
  <c r="Q10" i="6"/>
  <c r="M10" i="6"/>
  <c r="I10" i="7"/>
  <c r="N10" i="7" s="1"/>
  <c r="N11" i="7" s="1"/>
  <c r="Q10" i="1"/>
  <c r="H10" i="1"/>
  <c r="I10" i="1"/>
  <c r="Q9" i="5"/>
  <c r="Q8" i="5"/>
  <c r="Q7" i="5"/>
  <c r="Q6" i="5"/>
  <c r="Q5" i="5"/>
  <c r="Q4" i="5"/>
  <c r="Q3" i="5"/>
  <c r="Q2" i="5"/>
  <c r="N9" i="13"/>
  <c r="N8" i="13"/>
  <c r="N7" i="13"/>
  <c r="N6" i="13"/>
  <c r="N5" i="13"/>
  <c r="N4" i="13"/>
  <c r="N3" i="13"/>
  <c r="N2" i="13"/>
  <c r="M9" i="13"/>
  <c r="M8" i="13"/>
  <c r="M7" i="13"/>
  <c r="M6" i="13"/>
  <c r="M5" i="13"/>
  <c r="M4" i="13"/>
  <c r="M3" i="13"/>
  <c r="M2" i="13"/>
  <c r="F9" i="13"/>
  <c r="F8" i="13"/>
  <c r="F7" i="13"/>
  <c r="F6" i="13"/>
  <c r="F5" i="13"/>
  <c r="F4" i="13"/>
  <c r="F3" i="13"/>
  <c r="F2" i="13"/>
  <c r="L9" i="13"/>
  <c r="L8" i="13"/>
  <c r="L7" i="13"/>
  <c r="L6" i="13"/>
  <c r="L5" i="13"/>
  <c r="L4" i="13"/>
  <c r="L3" i="13"/>
  <c r="L2" i="13"/>
  <c r="K9" i="13"/>
  <c r="K8" i="13"/>
  <c r="K7" i="13"/>
  <c r="K6" i="13"/>
  <c r="K5" i="13"/>
  <c r="K4" i="13"/>
  <c r="K3" i="13"/>
  <c r="K2" i="13"/>
  <c r="J9" i="13"/>
  <c r="J8" i="13"/>
  <c r="J7" i="13"/>
  <c r="J6" i="13"/>
  <c r="J5" i="13"/>
  <c r="J4" i="13"/>
  <c r="J3" i="13"/>
  <c r="J2" i="13"/>
  <c r="I9" i="13"/>
  <c r="I8" i="13"/>
  <c r="I7" i="13"/>
  <c r="I6" i="13"/>
  <c r="I5" i="13"/>
  <c r="I4" i="13"/>
  <c r="I3" i="13"/>
  <c r="I2" i="13"/>
  <c r="H5" i="13"/>
  <c r="H4" i="13"/>
  <c r="H3" i="13"/>
  <c r="H2" i="13"/>
  <c r="H6" i="13"/>
  <c r="H7" i="13"/>
  <c r="H8" i="13"/>
  <c r="H9" i="13"/>
  <c r="G9" i="13"/>
  <c r="G8" i="13"/>
  <c r="G7" i="13"/>
  <c r="G6" i="13"/>
  <c r="G5" i="13"/>
  <c r="G4" i="13"/>
  <c r="G3" i="13"/>
  <c r="G2" i="13"/>
  <c r="E9" i="13"/>
  <c r="E8" i="13"/>
  <c r="E7" i="13"/>
  <c r="E6" i="13"/>
  <c r="E5" i="13"/>
  <c r="E4" i="13"/>
  <c r="E3" i="13"/>
  <c r="E2" i="13"/>
  <c r="D9" i="13"/>
  <c r="D8" i="13"/>
  <c r="D6" i="13"/>
  <c r="D7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B8" i="13"/>
  <c r="B7" i="13"/>
  <c r="B6" i="13"/>
  <c r="B5" i="13"/>
  <c r="B4" i="13"/>
  <c r="B3" i="13"/>
  <c r="B2" i="13"/>
  <c r="I10" i="9" l="1"/>
  <c r="H10" i="9"/>
  <c r="L10" i="11"/>
  <c r="L11" i="11" s="1"/>
  <c r="C11" i="11"/>
  <c r="L10" i="9"/>
  <c r="L11" i="9" s="1"/>
  <c r="K11" i="9"/>
  <c r="J10" i="8"/>
  <c r="J11" i="8" s="1"/>
  <c r="F11" i="8"/>
  <c r="H10" i="8"/>
  <c r="H11" i="8" s="1"/>
  <c r="G10" i="8"/>
  <c r="G11" i="8" s="1"/>
  <c r="I10" i="8"/>
  <c r="I11" i="8" s="1"/>
  <c r="O10" i="6"/>
  <c r="R10" i="6"/>
  <c r="P10" i="6"/>
  <c r="R10" i="1"/>
  <c r="S10" i="1" s="1"/>
  <c r="B11" i="13"/>
  <c r="T10" i="1" l="1"/>
  <c r="J9" i="7"/>
  <c r="J8" i="7"/>
  <c r="J7" i="7"/>
  <c r="J6" i="7"/>
  <c r="J5" i="7"/>
  <c r="J4" i="7"/>
  <c r="J3" i="7"/>
  <c r="J2" i="7"/>
  <c r="N9" i="11" l="1"/>
  <c r="N8" i="11"/>
  <c r="N5" i="11"/>
  <c r="N4" i="11"/>
  <c r="N3" i="11"/>
  <c r="N2" i="11"/>
  <c r="L9" i="11"/>
  <c r="L8" i="11"/>
  <c r="L5" i="11"/>
  <c r="L4" i="11"/>
  <c r="L3" i="11"/>
  <c r="L2" i="11"/>
  <c r="K9" i="11"/>
  <c r="K8" i="11"/>
  <c r="K5" i="11"/>
  <c r="K4" i="11"/>
  <c r="K3" i="11"/>
  <c r="K2" i="11"/>
  <c r="D9" i="11"/>
  <c r="D8" i="11"/>
  <c r="D7" i="11"/>
  <c r="D6" i="11"/>
  <c r="D5" i="11"/>
  <c r="D4" i="11"/>
  <c r="D3" i="11"/>
  <c r="D2" i="11"/>
  <c r="N8" i="9" l="1"/>
  <c r="P8" i="9" s="1"/>
  <c r="O9" i="9"/>
  <c r="O8" i="9"/>
  <c r="O5" i="9"/>
  <c r="O4" i="9"/>
  <c r="O3" i="9"/>
  <c r="O2" i="9"/>
  <c r="N9" i="9"/>
  <c r="P9" i="9" s="1"/>
  <c r="N7" i="9"/>
  <c r="N6" i="9"/>
  <c r="N5" i="9"/>
  <c r="P5" i="9" s="1"/>
  <c r="N4" i="9"/>
  <c r="P4" i="9" s="1"/>
  <c r="N3" i="9"/>
  <c r="P3" i="9" s="1"/>
  <c r="N2" i="9"/>
  <c r="P2" i="9" s="1"/>
  <c r="E2" i="9"/>
  <c r="E9" i="9"/>
  <c r="E8" i="9"/>
  <c r="E7" i="9"/>
  <c r="E6" i="9"/>
  <c r="E5" i="9"/>
  <c r="E4" i="9"/>
  <c r="E3" i="9"/>
  <c r="L8" i="9"/>
  <c r="L4" i="9"/>
  <c r="L3" i="9"/>
  <c r="L9" i="9"/>
  <c r="L5" i="9"/>
  <c r="F6" i="9"/>
  <c r="F7" i="9"/>
  <c r="F8" i="9"/>
  <c r="H8" i="9" s="1"/>
  <c r="F9" i="9"/>
  <c r="H9" i="9" s="1"/>
  <c r="F3" i="9"/>
  <c r="I3" i="9" s="1"/>
  <c r="F4" i="9"/>
  <c r="H4" i="9" s="1"/>
  <c r="F5" i="9"/>
  <c r="H5" i="9" s="1"/>
  <c r="F2" i="9"/>
  <c r="I2" i="9" s="1"/>
  <c r="L7" i="9"/>
  <c r="L6" i="9"/>
  <c r="H2" i="9" l="1"/>
  <c r="G4" i="9"/>
  <c r="G8" i="9"/>
  <c r="G9" i="9"/>
  <c r="G3" i="9"/>
  <c r="G2" i="9"/>
  <c r="G5" i="9"/>
  <c r="H3" i="9"/>
  <c r="I4" i="9"/>
  <c r="I5" i="9"/>
  <c r="I8" i="9"/>
  <c r="I9" i="9"/>
  <c r="L2" i="9"/>
  <c r="M9" i="7" l="1"/>
  <c r="M8" i="7"/>
  <c r="M7" i="7"/>
  <c r="M6" i="7"/>
  <c r="M5" i="7"/>
  <c r="M4" i="7"/>
  <c r="M3" i="7"/>
  <c r="M2" i="7"/>
  <c r="G9" i="7"/>
  <c r="I9" i="7" s="1"/>
  <c r="G8" i="7"/>
  <c r="I8" i="7" s="1"/>
  <c r="G7" i="7"/>
  <c r="I7" i="7" s="1"/>
  <c r="G6" i="7"/>
  <c r="I6" i="7" s="1"/>
  <c r="G5" i="7"/>
  <c r="G4" i="7"/>
  <c r="I4" i="7" s="1"/>
  <c r="G3" i="7"/>
  <c r="I3" i="7" s="1"/>
  <c r="G2" i="7"/>
  <c r="I2" i="7" s="1"/>
  <c r="I5" i="7" l="1"/>
  <c r="F3" i="8"/>
  <c r="J9" i="8"/>
  <c r="J2" i="8"/>
  <c r="I5" i="8"/>
  <c r="H2" i="8"/>
  <c r="G2" i="8"/>
  <c r="F9" i="8"/>
  <c r="I9" i="8" s="1"/>
  <c r="F8" i="8"/>
  <c r="F7" i="8"/>
  <c r="F6" i="8"/>
  <c r="F5" i="8"/>
  <c r="H5" i="8" s="1"/>
  <c r="F4" i="8"/>
  <c r="G4" i="8" s="1"/>
  <c r="F2" i="8"/>
  <c r="G5" i="8" l="1"/>
  <c r="H9" i="8"/>
  <c r="I4" i="8"/>
  <c r="J5" i="8"/>
  <c r="H4" i="8"/>
  <c r="J4" i="8"/>
  <c r="I2" i="8"/>
  <c r="G9" i="8"/>
  <c r="H3" i="8"/>
  <c r="G3" i="8"/>
  <c r="J3" i="8"/>
  <c r="I3" i="8"/>
  <c r="I8" i="1" l="1"/>
  <c r="L3" i="6"/>
  <c r="L4" i="6"/>
  <c r="L5" i="6"/>
  <c r="L6" i="6"/>
  <c r="L7" i="6"/>
  <c r="L8" i="6"/>
  <c r="L9" i="6"/>
  <c r="L2" i="6"/>
  <c r="K3" i="6"/>
  <c r="K4" i="6"/>
  <c r="K5" i="6"/>
  <c r="K6" i="6"/>
  <c r="M6" i="6" s="1"/>
  <c r="K7" i="6"/>
  <c r="M7" i="6" s="1"/>
  <c r="K8" i="6"/>
  <c r="M8" i="6" s="1"/>
  <c r="K9" i="6"/>
  <c r="K2" i="6"/>
  <c r="D9" i="6"/>
  <c r="D8" i="6"/>
  <c r="D5" i="6"/>
  <c r="D4" i="6"/>
  <c r="D3" i="6"/>
  <c r="D2" i="6"/>
  <c r="E2" i="6" l="1"/>
  <c r="E3" i="6"/>
  <c r="M5" i="6"/>
  <c r="Q5" i="6" s="1"/>
  <c r="M3" i="6"/>
  <c r="P3" i="6" s="1"/>
  <c r="F4" i="6"/>
  <c r="F8" i="6"/>
  <c r="R8" i="6"/>
  <c r="F9" i="6"/>
  <c r="R9" i="6"/>
  <c r="Q3" i="6"/>
  <c r="M9" i="6"/>
  <c r="Q9" i="6" s="1"/>
  <c r="F2" i="6"/>
  <c r="F3" i="6"/>
  <c r="Q8" i="6"/>
  <c r="M4" i="6"/>
  <c r="R4" i="6" s="1"/>
  <c r="M2" i="6"/>
  <c r="R2" i="6" s="1"/>
  <c r="E4" i="6"/>
  <c r="E9" i="6"/>
  <c r="E8" i="6"/>
  <c r="R3" i="6" l="1"/>
  <c r="R5" i="6"/>
  <c r="P5" i="6"/>
  <c r="P8" i="6"/>
  <c r="Q4" i="6"/>
  <c r="P4" i="6"/>
  <c r="P2" i="6"/>
  <c r="P9" i="6"/>
  <c r="Q2" i="6"/>
  <c r="X3" i="1" l="1"/>
  <c r="X4" i="1"/>
  <c r="X5" i="1"/>
  <c r="X8" i="1"/>
  <c r="X9" i="1"/>
  <c r="X2" i="1"/>
  <c r="W3" i="1"/>
  <c r="W4" i="1"/>
  <c r="W5" i="1"/>
  <c r="W8" i="1"/>
  <c r="W9" i="1"/>
  <c r="W2" i="1"/>
  <c r="R3" i="1"/>
  <c r="S3" i="1" s="1"/>
  <c r="R4" i="1"/>
  <c r="S4" i="1" s="1"/>
  <c r="R5" i="1"/>
  <c r="T5" i="1" s="1"/>
  <c r="R6" i="1"/>
  <c r="R7" i="1"/>
  <c r="R8" i="1"/>
  <c r="S8" i="1" s="1"/>
  <c r="R9" i="1"/>
  <c r="T9" i="1" s="1"/>
  <c r="R2" i="1"/>
  <c r="T2" i="1" s="1"/>
  <c r="O3" i="1"/>
  <c r="O4" i="1"/>
  <c r="O5" i="1"/>
  <c r="O6" i="1"/>
  <c r="O7" i="1"/>
  <c r="O8" i="1"/>
  <c r="O9" i="1"/>
  <c r="O2" i="1"/>
  <c r="I3" i="1"/>
  <c r="I4" i="1"/>
  <c r="I5" i="1"/>
  <c r="I6" i="1"/>
  <c r="I9" i="1"/>
  <c r="I2" i="1"/>
  <c r="H3" i="1"/>
  <c r="H4" i="1"/>
  <c r="H5" i="1"/>
  <c r="H6" i="1"/>
  <c r="H8" i="1"/>
  <c r="H9" i="1"/>
  <c r="H2" i="1"/>
  <c r="G3" i="1"/>
  <c r="G4" i="1"/>
  <c r="G5" i="1"/>
  <c r="G6" i="1"/>
  <c r="G8" i="1"/>
  <c r="G9" i="1"/>
  <c r="G2" i="1"/>
  <c r="S5" i="1" l="1"/>
  <c r="T8" i="1"/>
  <c r="S9" i="1"/>
  <c r="T4" i="1"/>
  <c r="T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Sourabh Garg</author>
  </authors>
  <commentList>
    <comment ref="E10" authorId="0" shapeId="0" xr:uid="{C9F72D7C-8FE4-4148-AD2D-1755720E5837}">
      <text>
        <r>
          <rPr>
            <sz val="9"/>
            <color indexed="81"/>
            <rFont val="Tahoma"/>
            <family val="2"/>
          </rPr>
          <t>Excl. Amortisation &amp; Restructuting</t>
        </r>
      </text>
    </comment>
    <comment ref="K10" authorId="0" shapeId="0" xr:uid="{222A1860-43F9-40E5-84E7-8A78DF30180F}">
      <text>
        <r>
          <rPr>
            <b/>
            <sz val="9"/>
            <color indexed="81"/>
            <rFont val="Tahoma"/>
            <family val="2"/>
          </rPr>
          <t>Details not available</t>
        </r>
      </text>
    </comment>
    <comment ref="L10" authorId="0" shapeId="0" xr:uid="{F5815C41-A304-4905-9731-D587DBD1DED4}">
      <text>
        <r>
          <rPr>
            <b/>
            <sz val="9"/>
            <color indexed="81"/>
            <rFont val="Tahoma"/>
            <family val="2"/>
          </rPr>
          <t>Net Purchase of  Capex as per Property &amp; Equipment Schedule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Anilkumar Thekkan Muriyil</author>
  </authors>
  <commentList>
    <comment ref="D5" authorId="0" shapeId="0" xr:uid="{BA060C66-B4F4-4F36-BAAC-9110AF2BDC62}">
      <text>
        <r>
          <rPr>
            <b/>
            <sz val="9"/>
            <color indexed="81"/>
            <rFont val="Tahoma"/>
            <family val="2"/>
          </rPr>
          <t xml:space="preserve">Anilkumar Thekkan Muriyil: </t>
        </r>
        <r>
          <rPr>
            <sz val="9"/>
            <color indexed="81"/>
            <rFont val="Tahoma"/>
            <family val="2"/>
          </rPr>
          <t xml:space="preserve">No value in Rob's Excel
</t>
        </r>
      </text>
    </comment>
    <comment ref="E5" authorId="0" shapeId="0" xr:uid="{E66774C9-7503-41D4-B129-220B93926D26}">
      <text>
        <r>
          <rPr>
            <b/>
            <sz val="9"/>
            <color indexed="81"/>
            <rFont val="Tahoma"/>
            <family val="2"/>
          </rPr>
          <t>Anilkumar Thekkan Muriyil: No value in Rob's Excel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ED0E7FA2-67AA-40C5-AEF5-41132EABC63E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No value is Rob's Excel</t>
        </r>
      </text>
    </comment>
    <comment ref="D11" authorId="0" shapeId="0" xr:uid="{2C0DCEB8-022B-41BF-9406-3A2241C37937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Divided by 5 including PGI</t>
        </r>
      </text>
    </comment>
    <comment ref="E11" authorId="0" shapeId="0" xr:uid="{3A27408A-1DDB-4AE6-A353-F51B8101C28B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20763AE3-4300-4351-820D-6341F565B860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F8F122CF-20F2-4A5E-83EC-A6416B5F475D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B9232A9E-39C1-4F5E-96EA-E44BF3FE1C08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57673EA7-4CF5-4846-8FE0-9CD53503EB13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75DFF3FE-C83C-4717-ACD3-7F262AFA063B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DBC948FC-C5BF-47EC-9441-A7EDE063AC4A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 xr:uid="{E0578185-641D-4964-A9E6-451A5EFEFCAD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Anilkumar Thekkan Muriyil</author>
  </authors>
  <commentList>
    <comment ref="B5" authorId="0" shapeId="0" xr:uid="{51759186-5286-4980-B95D-5A97ABC1D00D}">
      <text>
        <r>
          <rPr>
            <b/>
            <sz val="9"/>
            <color indexed="81"/>
            <rFont val="Tahoma"/>
            <family val="2"/>
          </rPr>
          <t>Anilkumar Thekkan Muriyil: No Value found in Rob's Excel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48223BA3-7678-4200-A96C-79660AE1C6F5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No value found in Rob's excel </t>
        </r>
      </text>
    </comment>
    <comment ref="R5" authorId="0" shapeId="0" xr:uid="{4C58F9B4-0EE9-42DD-A87D-FDCE36FC7B16}">
      <text>
        <r>
          <rPr>
            <b/>
            <sz val="9"/>
            <color indexed="81"/>
            <rFont val="Tahoma"/>
            <family val="2"/>
          </rPr>
          <t>Anilkumar Thekkan Muriyil: Value in report is 105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DC3875F0-B8DE-417F-9332-A1C0AC13AC50}">
      <text>
        <r>
          <rPr>
            <b/>
            <sz val="9"/>
            <color indexed="81"/>
            <rFont val="Tahoma"/>
            <family val="2"/>
          </rPr>
          <t>Anilkumar Thekkan Muriyil: HC 19 added based on Robç comment in Excel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0" shapeId="0" xr:uid="{CD2D30B7-3ACE-4802-80C3-743C17D76042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Divided by 4 excluded DR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Anilkumar Thekkan Muriyil</author>
  </authors>
  <commentList>
    <comment ref="B11" authorId="0" shapeId="0" xr:uid="{3B61DD7F-BD13-4C68-802C-BD319E3DCB9D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5DE49DA-EF45-47A4-9129-51D11036FF09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 xr:uid="{24B46E0D-F4BB-4389-BBC8-76E058F3F36A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F91397F-14EB-4AF9-90CC-B3BD4E142B4F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A33F5B8-AEAC-4560-8CF3-19C5A3D93041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5F18F33B-471D-46AF-9CC1-8F689DFA871B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DDB9959B-D89E-468D-860F-EE2F5E7D7DBD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 xr:uid="{89379A2C-D9B9-4176-AF76-EE51BC8CA1E6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 xr:uid="{895F6B42-836D-4F7A-ACE1-3568EC3B899D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 xr:uid="{DC0D1179-3FF1-407E-9D86-DF8F71F8C890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2D4D640D-9C39-474C-BA21-0753CCD4E66B}">
      <text>
        <r>
          <rPr>
            <b/>
            <sz val="9"/>
            <color indexed="81"/>
            <rFont val="Tahoma"/>
            <family val="2"/>
          </rPr>
          <t>Anilkumar Thekkan Muriyil: Divided by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 xr:uid="{36E2D6F9-B538-4A37-B4CB-4FD2EDA0161F}">
      <text>
        <r>
          <rPr>
            <b/>
            <sz val="9"/>
            <color indexed="81"/>
            <rFont val="Tahoma"/>
            <family val="2"/>
          </rPr>
          <t>Anilkumar Thekkan Muriyil: Total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 xr:uid="{17370B00-AD64-45E4-852C-15EE804F3D84}">
      <text>
        <r>
          <rPr>
            <b/>
            <sz val="9"/>
            <color indexed="81"/>
            <rFont val="Tahoma"/>
            <family val="2"/>
          </rPr>
          <t>Anilkumar Thekkan Muriyil: Total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 xr:uid="{5505B328-2BBA-481E-9A92-852903D70F66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Divided by 5, Value missmach. 22% instead of 18%</t>
        </r>
      </text>
    </comment>
    <comment ref="P11" authorId="0" shapeId="0" xr:uid="{52F93B8A-7CEA-4DC1-A504-5E37886DE803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Divided by 5, Value missmach. 22% instead of 18%</t>
        </r>
      </text>
    </comment>
    <comment ref="Q11" authorId="0" shapeId="0" xr:uid="{318BD768-2FEC-4DAA-9252-3BD0962F50D1}">
      <text>
        <r>
          <rPr>
            <b/>
            <sz val="9"/>
            <color indexed="81"/>
            <rFont val="Tahoma"/>
            <family val="2"/>
          </rPr>
          <t>Anilkumar Thekkan Muriyil:</t>
        </r>
        <r>
          <rPr>
            <sz val="9"/>
            <color indexed="81"/>
            <rFont val="Tahoma"/>
            <family val="2"/>
          </rPr>
          <t xml:space="preserve">
Divided by 5, Value missmach. 22% instead of 18%</t>
        </r>
      </text>
    </comment>
  </commentList>
</comments>
</file>

<file path=xl/sharedStrings.xml><?xml version="1.0" encoding="utf-8"?>
<sst xmlns="http://schemas.openxmlformats.org/spreadsheetml/2006/main" count="598" uniqueCount="291">
  <si>
    <t>PortCo</t>
  </si>
  <si>
    <t>Stratus</t>
  </si>
  <si>
    <t>Mavenir</t>
  </si>
  <si>
    <t>Pulse Secure</t>
  </si>
  <si>
    <t>PGi</t>
  </si>
  <si>
    <t>Intralinks</t>
  </si>
  <si>
    <t>Digital River</t>
  </si>
  <si>
    <t>Web.com</t>
  </si>
  <si>
    <t>TNS</t>
  </si>
  <si>
    <t>CoR</t>
  </si>
  <si>
    <t>Revenue</t>
  </si>
  <si>
    <t>OpEx</t>
  </si>
  <si>
    <t>R16</t>
  </si>
  <si>
    <t>R24</t>
  </si>
  <si>
    <t>R26</t>
  </si>
  <si>
    <t>R44</t>
  </si>
  <si>
    <t>EBITDA</t>
  </si>
  <si>
    <t>GM %</t>
  </si>
  <si>
    <t>OpEx %</t>
  </si>
  <si>
    <t>EBITDA %</t>
  </si>
  <si>
    <t>R48</t>
  </si>
  <si>
    <t>GM</t>
  </si>
  <si>
    <t>OpEx (w/Cap. Labor)</t>
  </si>
  <si>
    <t>Capitalized Labor</t>
  </si>
  <si>
    <t>Non-Labor CapEx</t>
  </si>
  <si>
    <t>FTEs</t>
  </si>
  <si>
    <t>Contractors</t>
  </si>
  <si>
    <t>Total Headcount</t>
  </si>
  <si>
    <t>2017A Revenue</t>
  </si>
  <si>
    <t>2017 EBITDA</t>
  </si>
  <si>
    <t>YoY Revenue. %</t>
  </si>
  <si>
    <t>YoY EBITDA %</t>
  </si>
  <si>
    <t>Timing: $ and HC</t>
  </si>
  <si>
    <t>R87</t>
  </si>
  <si>
    <t>R50</t>
  </si>
  <si>
    <t>R51</t>
  </si>
  <si>
    <t>R64</t>
  </si>
  <si>
    <t>Personal Cost</t>
  </si>
  <si>
    <t>Non- Personal Cost</t>
  </si>
  <si>
    <t>% Personal Cost</t>
  </si>
  <si>
    <t>% Non-Personal Cost</t>
  </si>
  <si>
    <t>R65</t>
  </si>
  <si>
    <t>M+N</t>
  </si>
  <si>
    <t>R288</t>
  </si>
  <si>
    <t>R305</t>
  </si>
  <si>
    <t>P+Q</t>
  </si>
  <si>
    <t>P/R*100</t>
  </si>
  <si>
    <t>Q/R*100</t>
  </si>
  <si>
    <t>Total Cost</t>
  </si>
  <si>
    <t>R16 2017A</t>
  </si>
  <si>
    <t>R48 2017A</t>
  </si>
  <si>
    <t>(B2-U2)/U2</t>
  </si>
  <si>
    <t>FY19E 6+6</t>
  </si>
  <si>
    <t>FY18E 6+6</t>
  </si>
  <si>
    <t>FY18E 9+3</t>
  </si>
  <si>
    <t>FY18E 10+2</t>
  </si>
  <si>
    <t>FY18E 3+9</t>
  </si>
  <si>
    <t>High-Cost Labor</t>
  </si>
  <si>
    <t>Low-Cost Labor</t>
  </si>
  <si>
    <t>% High-Cost Labor</t>
  </si>
  <si>
    <t>% Low-Cost Labor</t>
  </si>
  <si>
    <t>% of Gross R&amp;D¹</t>
  </si>
  <si>
    <t>% of Sales</t>
  </si>
  <si>
    <t>% Marketing</t>
  </si>
  <si>
    <t>% G&amp;A</t>
  </si>
  <si>
    <t>% OpEx (w/ Cap. Labor)</t>
  </si>
  <si>
    <t>Rev. / Total HC</t>
  </si>
  <si>
    <t>Rev. / Sales FTE</t>
  </si>
  <si>
    <t>Non-Recurring Rev. / Sales FTE</t>
  </si>
  <si>
    <t>Rev. / G&amp;A FTE</t>
  </si>
  <si>
    <t>Directors per Execs/VPs</t>
  </si>
  <si>
    <t>Managers per Director</t>
  </si>
  <si>
    <t>Staff per Manager</t>
  </si>
  <si>
    <t>(F2-V2)/V2</t>
  </si>
  <si>
    <t>Hardcoded</t>
  </si>
  <si>
    <t>R227</t>
  </si>
  <si>
    <t>R228</t>
  </si>
  <si>
    <t>J155</t>
  </si>
  <si>
    <t>J163</t>
  </si>
  <si>
    <t>R116</t>
  </si>
  <si>
    <t>R104</t>
  </si>
  <si>
    <t>R105</t>
  </si>
  <si>
    <t>R112</t>
  </si>
  <si>
    <t>R91</t>
  </si>
  <si>
    <t>R92</t>
  </si>
  <si>
    <t>R93</t>
  </si>
  <si>
    <t>R94</t>
  </si>
  <si>
    <t>R232</t>
  </si>
  <si>
    <t>R233</t>
  </si>
  <si>
    <t>R234</t>
  </si>
  <si>
    <t>$M</t>
  </si>
  <si>
    <t>Category</t>
  </si>
  <si>
    <t>R74</t>
  </si>
  <si>
    <t>R78</t>
  </si>
  <si>
    <t>Avg. FTEs</t>
  </si>
  <si>
    <t>Memo</t>
  </si>
  <si>
    <t>Total G&amp;A %</t>
  </si>
  <si>
    <t xml:space="preserve">Finance Revenue % </t>
  </si>
  <si>
    <t xml:space="preserve">IT Revenue % </t>
  </si>
  <si>
    <t>HR Revenue %</t>
  </si>
  <si>
    <t>Memo: Gross Facilities</t>
  </si>
  <si>
    <t>Finance HC</t>
  </si>
  <si>
    <t>IT HC</t>
  </si>
  <si>
    <t>HR HC</t>
  </si>
  <si>
    <t>Legal HC</t>
  </si>
  <si>
    <t>Total G&amp;A</t>
  </si>
  <si>
    <t>R107</t>
  </si>
  <si>
    <t>R108</t>
  </si>
  <si>
    <t>R109</t>
  </si>
  <si>
    <t>Legal Revenue %</t>
  </si>
  <si>
    <t>R110</t>
  </si>
  <si>
    <t>R115</t>
  </si>
  <si>
    <t>R127</t>
  </si>
  <si>
    <t>R128</t>
  </si>
  <si>
    <t>R129</t>
  </si>
  <si>
    <t>R130</t>
  </si>
  <si>
    <t>R131</t>
  </si>
  <si>
    <t>Finance PC Per HC</t>
  </si>
  <si>
    <t>IT PC Per HC</t>
  </si>
  <si>
    <t>HR PC Per HC</t>
  </si>
  <si>
    <t>Legal PC Per HC</t>
  </si>
  <si>
    <t>R282</t>
  </si>
  <si>
    <t>R283</t>
  </si>
  <si>
    <t>R284</t>
  </si>
  <si>
    <t>R285</t>
  </si>
  <si>
    <t>Memo: Gross Facilities %</t>
  </si>
  <si>
    <t>HCC Cost %</t>
  </si>
  <si>
    <t>LCC Cost %</t>
  </si>
  <si>
    <t>HCC Cost</t>
  </si>
  <si>
    <t>LCC Cost</t>
  </si>
  <si>
    <t>Total Comp Exp</t>
  </si>
  <si>
    <t>HCC Headcount %</t>
  </si>
  <si>
    <t>LCC Headcount %</t>
  </si>
  <si>
    <t>Total HCC HC</t>
  </si>
  <si>
    <t>Total LCC HC</t>
  </si>
  <si>
    <t>Total HC</t>
  </si>
  <si>
    <t>Total HCC FTE HC</t>
  </si>
  <si>
    <t>Total HCC Contractor HC</t>
  </si>
  <si>
    <t>Total LCC FTE HC</t>
  </si>
  <si>
    <t>Total LCC Contractor HC</t>
  </si>
  <si>
    <t>High-Cost Labor %</t>
  </si>
  <si>
    <t xml:space="preserve">Low-Cost Labor % </t>
  </si>
  <si>
    <t>Gross R&amp;D¹ %</t>
  </si>
  <si>
    <t>Sales %</t>
  </si>
  <si>
    <t>Marketing %</t>
  </si>
  <si>
    <t>G&amp;A %</t>
  </si>
  <si>
    <t>OpEx (w/ Cap. Labor) %</t>
  </si>
  <si>
    <t>Siris Average</t>
  </si>
  <si>
    <t>Headcount Cost by Location</t>
  </si>
  <si>
    <t>Headcount  by Location</t>
  </si>
  <si>
    <t>Compensation expense</t>
  </si>
  <si>
    <t>HCC Headcount</t>
  </si>
  <si>
    <t>LCC Head count</t>
  </si>
  <si>
    <t>LCC comp</t>
  </si>
  <si>
    <t>Avg Comp</t>
  </si>
  <si>
    <t>H232</t>
  </si>
  <si>
    <t>H233</t>
  </si>
  <si>
    <t>H234</t>
  </si>
  <si>
    <t>H222</t>
  </si>
  <si>
    <t>H223</t>
  </si>
  <si>
    <t>H227</t>
  </si>
  <si>
    <t>H228</t>
  </si>
  <si>
    <t>H229, 219</t>
  </si>
  <si>
    <t>HCC cost%</t>
  </si>
  <si>
    <t>LCC Cost%</t>
  </si>
  <si>
    <t>HCC Comp</t>
  </si>
  <si>
    <t>Total Comp Exp/HC</t>
  </si>
  <si>
    <t>Executives / VP FTEs</t>
  </si>
  <si>
    <t>Managers FTEs</t>
  </si>
  <si>
    <t>Directors FTEs</t>
  </si>
  <si>
    <t>Staff FTEs</t>
  </si>
  <si>
    <t>Total FTEs</t>
  </si>
  <si>
    <t>H235</t>
  </si>
  <si>
    <t>H236</t>
  </si>
  <si>
    <t>Executives / VP FTEs %</t>
  </si>
  <si>
    <t>Directors FTEs %</t>
  </si>
  <si>
    <t>Managers FTEs %</t>
  </si>
  <si>
    <t>Staff FTEs %</t>
  </si>
  <si>
    <t>R&amp;D Cost</t>
  </si>
  <si>
    <t>H28</t>
  </si>
  <si>
    <t>Personal R&amp;D Cost</t>
  </si>
  <si>
    <t>Non-Personal R&amp;D Cost</t>
  </si>
  <si>
    <t>H279</t>
  </si>
  <si>
    <t>H296</t>
  </si>
  <si>
    <t>Gross R&amp;D PC/HC</t>
  </si>
  <si>
    <t>Gross R&amp;D NPC/HC</t>
  </si>
  <si>
    <t>Gross R&amp;D/HC</t>
  </si>
  <si>
    <t>Gross R&amp;D HC</t>
  </si>
  <si>
    <t>R&amp;D Ratio</t>
  </si>
  <si>
    <t>R&amp;D Non-Personnel Cost</t>
  </si>
  <si>
    <t>Gross R&amp;D Personnel Cost</t>
  </si>
  <si>
    <t>R&amp;D Personnel Cost</t>
  </si>
  <si>
    <t>Personnel Cost</t>
  </si>
  <si>
    <t>Non- Personnel Cost</t>
  </si>
  <si>
    <t>Personnel Cost %</t>
  </si>
  <si>
    <t>Non-Personnel Cost %</t>
  </si>
  <si>
    <t>Sales Personnel Cost</t>
  </si>
  <si>
    <t>Sales Non-Personnel Cost</t>
  </si>
  <si>
    <t>Sales Cost/HC</t>
  </si>
  <si>
    <t>Sales FTEs/HC</t>
  </si>
  <si>
    <t>Sales Cost PC/HC</t>
  </si>
  <si>
    <t>Sales Cost NPC/HC</t>
  </si>
  <si>
    <t>Sales HC %</t>
  </si>
  <si>
    <t>Non Sales HC %</t>
  </si>
  <si>
    <t>Total Sales Cost</t>
  </si>
  <si>
    <t>Sales Comm Cost</t>
  </si>
  <si>
    <t>Non-Sales Comm Cost</t>
  </si>
  <si>
    <t>Pers. Cost % of Tot. Sales Cost</t>
  </si>
  <si>
    <t>Sales Commish. % of Tot. Sales Cost</t>
  </si>
  <si>
    <t>Non-Pers. Cost % of Tot. Sales Cost</t>
  </si>
  <si>
    <t>Non Sales FTEs/HC</t>
  </si>
  <si>
    <t>Marketing Personnel Cost</t>
  </si>
  <si>
    <t>Marketing Non-Personnel Cost</t>
  </si>
  <si>
    <t>Total Marketing Cost</t>
  </si>
  <si>
    <t>Marketing % of Rev.</t>
  </si>
  <si>
    <t>Marketing / Adv. % of Non-Pers. Spend</t>
  </si>
  <si>
    <t>Total HC / Marketing HC</t>
  </si>
  <si>
    <t>Marketing HC % of Total HC</t>
  </si>
  <si>
    <t>Siris Avg. Mark. HC % of Total HC</t>
  </si>
  <si>
    <t>Marketing PC per HC</t>
  </si>
  <si>
    <t>Marketing PC %</t>
  </si>
  <si>
    <t>Marketing Non-PC %</t>
  </si>
  <si>
    <t>OpEx (w/ Cap Labor)</t>
  </si>
  <si>
    <t>Marketing Non-Personnel Cost %</t>
  </si>
  <si>
    <t>Gross Facilities % of Rev.</t>
  </si>
  <si>
    <t>Gross Expense per SF</t>
  </si>
  <si>
    <t>Facility Utilization</t>
  </si>
  <si>
    <t>SF per FTE</t>
  </si>
  <si>
    <t>Gross Facility Cost per FTE ($K)</t>
  </si>
  <si>
    <t>Gross Facility Cost per Site ($M)</t>
  </si>
  <si>
    <t>Facility Count</t>
  </si>
  <si>
    <t>Total G&amp;A FTEs</t>
  </si>
  <si>
    <t>R&amp;D HC</t>
  </si>
  <si>
    <t>COR HC</t>
  </si>
  <si>
    <t>Sales HC</t>
  </si>
  <si>
    <t>Marketing HC</t>
  </si>
  <si>
    <t>Facilities HC</t>
  </si>
  <si>
    <t>Others HC</t>
  </si>
  <si>
    <t xml:space="preserve">Siris Average </t>
  </si>
  <si>
    <t>Total S&amp;M HC</t>
  </si>
  <si>
    <t>Total G&amp;A HC</t>
  </si>
  <si>
    <t>G&amp;A PC</t>
  </si>
  <si>
    <t>FY18A</t>
  </si>
  <si>
    <t>ASSUMPTIONS AND DATA SOURCE USED FOR COMPILING INFORMATION</t>
  </si>
  <si>
    <t>(Data in yellow cells are to be validated based on additional details made available.)</t>
  </si>
  <si>
    <t>Source of Information used for - "2018E P&amp;L Summary"</t>
  </si>
  <si>
    <t>1. 2018 form 10K.</t>
  </si>
  <si>
    <t>2. Details for Capitalised labor is not available. Kindly update the same is cell L4 and other workings will get duly updated.</t>
  </si>
  <si>
    <t>Amount in $ in M.</t>
  </si>
  <si>
    <t>3. HC details have been extracted from "EFI - Overview Materials (Sep-18).pdf made available from data room. Please note we have considered Sep 2018 data. Total FTE's considered is 3,628</t>
  </si>
  <si>
    <t>4. As realistic cost of contractors is not available, we have not considered them in numbers tabulated.</t>
  </si>
  <si>
    <t>Source of Information used for - 2018E P&amp;L Summary "Key Cost &amp; Productivity Metrics"</t>
  </si>
  <si>
    <t>1. Break up "Sales and Marketing" expenses isn’t available as part of financial. For representation purpose, we have taken ratio as (Sales : 2, Marketing : 1). Please change the ratio as required here.</t>
  </si>
  <si>
    <t>2. We don't have a break-up of FTE count 3,628 into different level. We have currently used below ratio for the working. Table below is linked to respective working and can be modified</t>
  </si>
  <si>
    <t>Designation</t>
  </si>
  <si>
    <t>Ratio</t>
  </si>
  <si>
    <t>HC</t>
  </si>
  <si>
    <t>Executive</t>
  </si>
  <si>
    <t>Directors</t>
  </si>
  <si>
    <t>Manager</t>
  </si>
  <si>
    <t>Staff</t>
  </si>
  <si>
    <t>Total</t>
  </si>
  <si>
    <t>Source of Information used for - 2018E P&amp;L Summary "G&amp;A Metrics"</t>
  </si>
  <si>
    <t>1. For various sub-G&amp;A functions (Ex Finance, IT etc), we have the personnel cost available, however, similar break-up for non-personnel G&amp;A cost is not available. Hence, we have apportioned it (Non-personnel cost) in ratio of HC.</t>
  </si>
  <si>
    <t>Function</t>
  </si>
  <si>
    <t>PC</t>
  </si>
  <si>
    <t>NPC</t>
  </si>
  <si>
    <t>Facilities</t>
  </si>
  <si>
    <t>G&amp;A</t>
  </si>
  <si>
    <t>2. 37 Count of Excecutives have been considered as part of G&amp;A as we don't have a clarity on which other function they represent.</t>
  </si>
  <si>
    <t>Source of Information used for - 2018E P&amp;L Summary "Sales Overview Data"</t>
  </si>
  <si>
    <t>1. Break-up and total expenses for sales and non-sales commission is not provided. We have considered and worked them in equal ratio.</t>
  </si>
  <si>
    <t>Sales</t>
  </si>
  <si>
    <t>Non-Sales</t>
  </si>
  <si>
    <t>Source of Information used for - 2018E P&amp;L Summary "Facilities Overview "</t>
  </si>
  <si>
    <t>1. Total sq ft area has been captured from spreadsheet named "Lease Matrix 01-07-19.xls"</t>
  </si>
  <si>
    <t>*Amortisation &amp; Restructuring have been excluded from OpEx</t>
  </si>
  <si>
    <t>No Data available for Capitalized Labour</t>
  </si>
  <si>
    <t>Net Purchase of  Capex as per Property &amp; Equipment Schedule considered for Non-Labour CapEx</t>
  </si>
  <si>
    <t>We do not have correct cost of Contractors and hence Contractors have been excluded from HC working.</t>
  </si>
  <si>
    <t>*For EFI, Capitalised Personnel Cost has been considered as NIL</t>
  </si>
  <si>
    <t>Total R&amp;D Cost</t>
  </si>
  <si>
    <t>Non-Personnel Cost</t>
  </si>
  <si>
    <t>*37 Executives have been added in Total G&amp;A and not included in any other heads. Total Personnel Cost related to them is $6.2mn.</t>
  </si>
  <si>
    <t>*We do not have correct cost of Contractors and hence Contractors have been excluded from HC working.</t>
  </si>
  <si>
    <t>Sales &amp; non Sales Commission</t>
  </si>
  <si>
    <t>* Data not available to calculate Facility Utilization</t>
  </si>
  <si>
    <t>Total Sq. Ft.</t>
  </si>
  <si>
    <t>*No Data available for Advertisement expense</t>
  </si>
  <si>
    <t>* Others Includes, 37 Executives</t>
  </si>
  <si>
    <t>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</si>
</sst>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0.0"/>
    <numFmt numFmtId="167" formatCode="0.0%"/>
    <numFmt numFmtId="168" formatCode="[$$-409]#,##0.00"/>
    <numFmt numFmtId="169" formatCode="[$$-409]#,##0.0"/>
    <numFmt numFmtId="170" formatCode="[$$-409]#,##0"/>
    <numFmt numFmtId="171" formatCode="#,##0_ ;\-#,##0\ "/>
    <numFmt numFmtId="172" formatCode="_([$$-409]* #,##0.00_);_([$$-409]* \(#,##0.00\);_([$$-409]* &quot;-&quot;??_);_(@_)"/>
    <numFmt numFmtId="173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Garamond"/>
      <family val="1"/>
    </font>
    <font>
      <sz val="12"/>
      <name val="Arial"/>
      <family val="2"/>
    </font>
    <font>
      <sz val="8"/>
      <color theme="1"/>
      <name val="Arial"/>
      <family val="2"/>
    </font>
    <font>
      <sz val="1"/>
      <color indexed="9"/>
      <name val="Symbol"/>
      <family val="1"/>
      <charset val="2"/>
    </font>
    <font>
      <sz val="12"/>
      <name val="Times New Roman"/>
      <family val="1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2" applyBorder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/>
    <xf numFmtId="0" fontId="4" fillId="0" borderId="0"/>
    <xf numFmtId="0" fontId="8" fillId="0" borderId="0" applyAlignment="0"/>
    <xf numFmtId="43" fontId="1" fillId="0" borderId="0" applyFont="0" applyFill="0" applyBorder="0" applyAlignment="0" applyProtection="0"/>
    <xf numFmtId="0" fontId="4" fillId="0" borderId="0"/>
    <xf numFmtId="0" fontId="9" fillId="0" borderId="0"/>
    <xf numFmtId="0" fontId="1" fillId="0" borderId="0"/>
    <xf numFmtId="0" fontId="10" fillId="0" borderId="0" applyAlignment="0"/>
    <xf numFmtId="0" fontId="11" fillId="0" borderId="0" applyAlignment="0"/>
    <xf numFmtId="0" fontId="12" fillId="3" borderId="0" applyAlignment="0"/>
    <xf numFmtId="0" fontId="13" fillId="4" borderId="0" applyAlignment="0"/>
    <xf numFmtId="0" fontId="14" fillId="5" borderId="0" applyAlignment="0"/>
    <xf numFmtId="0" fontId="15" fillId="6" borderId="0" applyAlignment="0"/>
    <xf numFmtId="0" fontId="16" fillId="0" borderId="0" applyAlignment="0"/>
    <xf numFmtId="0" fontId="17" fillId="0" borderId="0" applyAlignment="0"/>
    <xf numFmtId="0" fontId="18" fillId="0" borderId="0" applyAlignment="0"/>
    <xf numFmtId="0" fontId="19" fillId="0" borderId="0" applyAlignment="0"/>
    <xf numFmtId="0" fontId="20" fillId="0" borderId="0" applyAlignment="0"/>
    <xf numFmtId="0" fontId="19" fillId="0" borderId="0" applyAlignment="0">
      <alignment wrapText="1"/>
    </xf>
    <xf numFmtId="0" fontId="21" fillId="0" borderId="0" applyAlignment="0"/>
    <xf numFmtId="0" fontId="22" fillId="0" borderId="0" applyAlignment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wrapText="1"/>
    </xf>
    <xf numFmtId="164" fontId="0" fillId="0" borderId="0" xfId="0" applyNumberFormat="1"/>
    <xf numFmtId="9" fontId="0" fillId="0" borderId="0" xfId="2" applyFont="1"/>
    <xf numFmtId="1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166" fontId="0" fillId="0" borderId="0" xfId="2" applyNumberFormat="1" applyFont="1"/>
    <xf numFmtId="0" fontId="2" fillId="0" borderId="3" xfId="0" applyFont="1" applyBorder="1" applyAlignment="1">
      <alignment horizontal="center"/>
    </xf>
    <xf numFmtId="167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2" borderId="0" xfId="0" applyNumberFormat="1" applyFill="1"/>
    <xf numFmtId="9" fontId="0" fillId="0" borderId="0" xfId="0" applyNumberFormat="1"/>
    <xf numFmtId="1" fontId="0" fillId="0" borderId="0" xfId="2" applyNumberFormat="1" applyFont="1"/>
    <xf numFmtId="170" fontId="0" fillId="0" borderId="0" xfId="0" applyNumberFormat="1"/>
    <xf numFmtId="171" fontId="0" fillId="0" borderId="0" xfId="1" applyNumberFormat="1" applyFont="1"/>
    <xf numFmtId="9" fontId="0" fillId="0" borderId="0" xfId="1" applyNumberFormat="1" applyFont="1"/>
    <xf numFmtId="167" fontId="0" fillId="0" borderId="0" xfId="2" applyNumberFormat="1" applyFont="1"/>
    <xf numFmtId="166" fontId="0" fillId="0" borderId="0" xfId="1" applyNumberFormat="1" applyFont="1"/>
    <xf numFmtId="1" fontId="0" fillId="0" borderId="0" xfId="1" applyNumberFormat="1" applyFont="1"/>
    <xf numFmtId="1" fontId="0" fillId="0" borderId="0" xfId="0" applyNumberFormat="1" applyAlignment="1">
      <alignment horizontal="right"/>
    </xf>
    <xf numFmtId="37" fontId="0" fillId="0" borderId="0" xfId="0" applyNumberFormat="1"/>
    <xf numFmtId="0" fontId="2" fillId="0" borderId="7" xfId="0" applyFont="1" applyBorder="1"/>
    <xf numFmtId="0" fontId="2" fillId="2" borderId="1" xfId="0" applyFont="1" applyFill="1" applyBorder="1"/>
    <xf numFmtId="168" fontId="0" fillId="2" borderId="0" xfId="0" applyNumberFormat="1" applyFill="1"/>
    <xf numFmtId="0" fontId="0" fillId="2" borderId="0" xfId="0" applyFill="1"/>
    <xf numFmtId="166" fontId="0" fillId="7" borderId="0" xfId="2" applyNumberFormat="1" applyFont="1" applyFill="1"/>
    <xf numFmtId="167" fontId="0" fillId="7" borderId="0" xfId="0" applyNumberFormat="1" applyFill="1"/>
    <xf numFmtId="1" fontId="0" fillId="7" borderId="0" xfId="0" applyNumberFormat="1" applyFill="1"/>
    <xf numFmtId="164" fontId="0" fillId="7" borderId="0" xfId="1" applyNumberFormat="1" applyFont="1" applyFill="1"/>
    <xf numFmtId="9" fontId="0" fillId="2" borderId="0" xfId="1" applyNumberFormat="1" applyFont="1" applyFill="1"/>
    <xf numFmtId="0" fontId="2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7" fillId="0" borderId="0" xfId="0" applyFont="1"/>
    <xf numFmtId="172" fontId="2" fillId="0" borderId="1" xfId="0" applyNumberFormat="1" applyFont="1" applyBorder="1"/>
    <xf numFmtId="0" fontId="0" fillId="0" borderId="1" xfId="0" applyBorder="1"/>
    <xf numFmtId="173" fontId="0" fillId="2" borderId="1" xfId="34" applyNumberFormat="1" applyFont="1" applyFill="1" applyBorder="1"/>
    <xf numFmtId="43" fontId="0" fillId="2" borderId="1" xfId="34" applyFont="1" applyFill="1" applyBorder="1"/>
    <xf numFmtId="43" fontId="2" fillId="0" borderId="1" xfId="34" applyFont="1" applyBorder="1"/>
    <xf numFmtId="17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164" fontId="0" fillId="0" borderId="1" xfId="0" applyNumberFormat="1" applyBorder="1"/>
    <xf numFmtId="172" fontId="0" fillId="0" borderId="1" xfId="0" applyNumberFormat="1" applyBorder="1"/>
    <xf numFmtId="43" fontId="0" fillId="0" borderId="1" xfId="34" applyFont="1" applyBorder="1"/>
    <xf numFmtId="169" fontId="0" fillId="8" borderId="0" xfId="0" applyNumberFormat="1" applyFill="1"/>
    <xf numFmtId="9" fontId="0" fillId="8" borderId="0" xfId="0" applyNumberFormat="1" applyFill="1"/>
    <xf numFmtId="167" fontId="0" fillId="8" borderId="0" xfId="0" applyNumberFormat="1" applyFill="1"/>
    <xf numFmtId="9" fontId="0" fillId="8" borderId="0" xfId="2" applyFont="1" applyFill="1"/>
    <xf numFmtId="164" fontId="0" fillId="8" borderId="0" xfId="1" applyNumberFormat="1" applyFont="1" applyFill="1"/>
    <xf numFmtId="9" fontId="0" fillId="8" borderId="0" xfId="1" applyNumberFormat="1" applyFont="1" applyFill="1"/>
    <xf numFmtId="1" fontId="25" fillId="0" borderId="0" xfId="2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8">
    <cellStyle name="c" xfId="3" xr:uid="{335678C9-E704-4098-AD3D-1B4243462FE4}"/>
    <cellStyle name="ChartingText" xfId="29" xr:uid="{BED255C2-CE0F-4414-9414-493A9F4CEC64}"/>
    <cellStyle name="CHPAboveAverage" xfId="30" xr:uid="{3CBF0E1B-C784-4A3A-8D73-0352267DC28B}"/>
    <cellStyle name="CHPBelowAverage" xfId="30" xr:uid="{E89ABEA6-D345-40AE-9BDB-2CE7FC59B05A}"/>
    <cellStyle name="CHPBottom" xfId="30" xr:uid="{DD2BC7A0-E03A-4745-94C5-DB696F6DD800}"/>
    <cellStyle name="CHPTop" xfId="30" xr:uid="{7EBCE5D2-0A5B-4C00-9740-8CCC16B76231}"/>
    <cellStyle name="ColumnHeaderNormal" xfId="22" xr:uid="{663D6B47-6B93-4D83-BB1B-AB1EA2B1F34E}"/>
    <cellStyle name="Comma" xfId="34" builtinId="3"/>
    <cellStyle name="Comma 2" xfId="6" xr:uid="{36FD6152-7A6D-4D06-A94A-EE19901CAD04}"/>
    <cellStyle name="Comma 2 2" xfId="13" xr:uid="{41B04580-F02C-4D51-92D6-DBB4730BE3B3}"/>
    <cellStyle name="Currency" xfId="1" builtinId="4"/>
    <cellStyle name="Invisible" xfId="12" xr:uid="{93D2BE4D-99DA-470B-BEC9-7FFFF9FD01DC}"/>
    <cellStyle name="NewColumnHeaderNormal" xfId="20" xr:uid="{6A5C81B5-9357-431D-9463-84BD931618B6}"/>
    <cellStyle name="NewSectionHeaderNormal" xfId="19" xr:uid="{904A954F-2CED-4D42-ACDB-01105CF6DA8B}"/>
    <cellStyle name="NewTitleNormal" xfId="18" xr:uid="{17D8C819-4932-4A2C-AF10-585BACCAA341}"/>
    <cellStyle name="Normal" xfId="0" builtinId="0"/>
    <cellStyle name="Normal 11" xfId="16" xr:uid="{39DDEACC-0E92-4F25-ADE1-06DF46F6FC83}"/>
    <cellStyle name="Normal 2" xfId="5" xr:uid="{043E1AEC-2391-45A2-970A-D9D88BA2EEA6}"/>
    <cellStyle name="Normal 2 2" xfId="10" xr:uid="{3A355C95-920A-4CEB-A0EC-37A1B516DCDD}"/>
    <cellStyle name="Normal 3" xfId="7" xr:uid="{7545F205-AA7B-41A9-BBC1-C0B8D06642B1}"/>
    <cellStyle name="Normal 3 10" xfId="14" xr:uid="{E0FBBFE4-7124-47D2-883C-A019540D0AF8}"/>
    <cellStyle name="Normal 3 2" xfId="11" xr:uid="{E83BA2BC-E954-4DC5-B419-E63ED04524C9}"/>
    <cellStyle name="Normal 36" xfId="32" xr:uid="{3CACD175-F9F1-45F7-A5D0-9B6C195C5E64}"/>
    <cellStyle name="Normal 37" xfId="31" xr:uid="{3AC47A0C-A6C8-4218-AAA8-89DBC85DDFBE}"/>
    <cellStyle name="Normal 4" xfId="4" xr:uid="{895B31AE-93A1-4214-9B47-26FEBA0A75A9}"/>
    <cellStyle name="Normal 4 2" xfId="8" xr:uid="{8069E8D0-1DBD-49E3-8BA0-D42CD34B3D7C}"/>
    <cellStyle name="Normal 5" xfId="15" xr:uid="{29EF2FAE-02DE-4393-97BB-AA28AA0AAA53}"/>
    <cellStyle name="Percent" xfId="2" builtinId="5"/>
    <cellStyle name="Percent 4" xfId="33" xr:uid="{DA108A3E-D1A4-4F18-8440-0749922B1543}"/>
    <cellStyle name="SectionHeaderNormal" xfId="21" xr:uid="{57A38C2B-D0C1-4B8F-BCA0-7B233D2036E2}"/>
    <cellStyle name="Style 1 3" xfId="9" xr:uid="{E8B145C3-6870-445B-9A1E-8B9C7EC7C81B}"/>
    <cellStyle name="SubScript" xfId="25" xr:uid="{35EB907B-F5EF-4F7D-A678-A467CAE59941}"/>
    <cellStyle name="SuperScript" xfId="24" xr:uid="{006C8C20-0880-49C6-9616-9814E0A46394}"/>
    <cellStyle name="TextBold" xfId="26" xr:uid="{742E615F-AE1D-4B44-8060-D67E9A4E2F82}"/>
    <cellStyle name="TextItalic" xfId="27" xr:uid="{FA4A9221-171A-424A-B918-5876F2E5B5BF}"/>
    <cellStyle name="TextNormal" xfId="23" xr:uid="{6A0B3EA1-F727-4CB2-8F1D-39267709FA59}"/>
    <cellStyle name="TitleNormal" xfId="17" xr:uid="{DA4F1DD2-5CA6-40FA-A34F-EAC6782CEF7A}"/>
    <cellStyle name="Total 2" xfId="28" xr:uid="{7AAD6B38-870E-4E03-913B-59202981C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l.ThekkanMuriyil\AppData\Local\Microsoft\Windows\INetCache\Content.Outlook\3VKA4SL3\Copy%20of%20Data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ris%20-%20Functional%20Cost%20and%20HC%20Benchmarking%20Template%20-%20Master%20Version%20(Jan%202019%20-%20Provided%20to%20Aeries)_An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ris%20-%20Functional%20Cost%20and%20HC%20Benchmarking%20Template%20-%20Master%20Version%20(Jan%202019%20-%20Provided%20to%20Aer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&amp; Data input"/>
      <sheetName val="2018E P&amp;L Summary"/>
      <sheetName val="Key Cost &amp; Productivity Metrics"/>
      <sheetName val="G&amp;A Metrics"/>
      <sheetName val="HCC_LCC Overview"/>
      <sheetName val="Span of Control"/>
      <sheetName val="Sales Overview Data"/>
      <sheetName val="Facilities Overview"/>
      <sheetName val="Marketing Overview"/>
      <sheetName val="FTE Headcount"/>
      <sheetName val="Data Reference"/>
      <sheetName val="Data Sheet New Model"/>
    </sheetNames>
    <sheetDataSet>
      <sheetData sheetId="0">
        <row r="13">
          <cell r="B13" t="str">
            <v>1. Break up "Sales and Marketing" expenses isn’t available as part of financial. For representation purpose, we have taken ratio as (Sales : 2, Marketing : 1). Please change the ratio as required here.</v>
          </cell>
        </row>
        <row r="42">
          <cell r="C42">
            <v>1</v>
          </cell>
          <cell r="D42">
            <v>1</v>
          </cell>
        </row>
      </sheetData>
      <sheetData sheetId="1">
        <row r="10">
          <cell r="B10">
            <v>1015.02</v>
          </cell>
          <cell r="M10">
            <v>3628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A"/>
      <sheetName val="2018E"/>
      <sheetName val="CIQ_LinkingNames"/>
      <sheetName val="Framework Overview"/>
      <sheetName val="PPT Outputs - Cost"/>
      <sheetName val="PPT Outputs - Org. Structure"/>
      <sheetName val="PPT Outputs - PortCo Overivew"/>
      <sheetName val="PPT Outputs - Revenue"/>
      <sheetName val="PGi Outputs--&gt;"/>
      <sheetName val="PGi Analysis"/>
      <sheetName val="PPT Outputs - Profitability"/>
      <sheetName val="Pulse"/>
      <sheetName val="Stratus - Overview"/>
      <sheetName val="Stratus - FTE by Job Level"/>
      <sheetName val="Stratus - Facilities"/>
      <sheetName val="Intralinks - Overview"/>
      <sheetName val="2018E-Tableau"/>
    </sheetNames>
    <sheetDataSet>
      <sheetData sheetId="0"/>
      <sheetData sheetId="1">
        <row r="265">
          <cell r="I265">
            <v>113.91666666666667</v>
          </cell>
          <cell r="M265">
            <v>1509</v>
          </cell>
          <cell r="Q265">
            <v>251</v>
          </cell>
          <cell r="U265">
            <v>204.33333333333334</v>
          </cell>
          <cell r="Y265">
            <v>0</v>
          </cell>
          <cell r="AC265">
            <v>0</v>
          </cell>
          <cell r="AG265">
            <v>172.34999999999997</v>
          </cell>
          <cell r="AK265">
            <v>420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rom PortCo--&gt;"/>
      <sheetName val="2017A"/>
      <sheetName val="2018E"/>
      <sheetName val="CIQ_LinkingNames"/>
      <sheetName val="Framework Overview"/>
      <sheetName val="PPT Outputs --&gt;"/>
      <sheetName val="PPT Outputs - Cost"/>
      <sheetName val="PPT Outputs - Org. Structure"/>
      <sheetName val="PPT Outputs - PortCo Overivew"/>
      <sheetName val="PPT Outputs - Revenue"/>
      <sheetName val="PGi Outputs--&gt;"/>
      <sheetName val="PGi Analysis"/>
      <sheetName val="PPT Outputs - Profitability"/>
      <sheetName val="Inputs--&gt;"/>
      <sheetName val="Pulse"/>
      <sheetName val="Stratus - Overview"/>
      <sheetName val="Stratus - FTE by Job Level"/>
      <sheetName val="Stratus - Facilities"/>
      <sheetName val="Intralinks - Overview"/>
    </sheetNames>
    <sheetDataSet>
      <sheetData sheetId="0"/>
      <sheetData sheetId="1"/>
      <sheetData sheetId="2">
        <row r="24">
          <cell r="I24">
            <v>181.41666666666666</v>
          </cell>
          <cell r="J24">
            <v>91.666666666666671</v>
          </cell>
          <cell r="M24">
            <v>501</v>
          </cell>
          <cell r="N24">
            <v>27</v>
          </cell>
          <cell r="Q24">
            <v>51</v>
          </cell>
          <cell r="R24">
            <v>66</v>
          </cell>
          <cell r="U24">
            <v>682.83333333333337</v>
          </cell>
          <cell r="V24">
            <v>0</v>
          </cell>
          <cell r="Y24">
            <v>0</v>
          </cell>
          <cell r="Z24">
            <v>0</v>
          </cell>
          <cell r="AC24">
            <v>0</v>
          </cell>
          <cell r="AD24">
            <v>0</v>
          </cell>
          <cell r="AG24">
            <v>158.815</v>
          </cell>
          <cell r="AH24">
            <v>0</v>
          </cell>
          <cell r="AK24">
            <v>274</v>
          </cell>
          <cell r="AL24">
            <v>295</v>
          </cell>
        </row>
        <row r="28">
          <cell r="I28">
            <v>82.916666666666671</v>
          </cell>
          <cell r="J28">
            <v>31</v>
          </cell>
          <cell r="M28">
            <v>1459</v>
          </cell>
          <cell r="N28">
            <v>50</v>
          </cell>
          <cell r="Q28">
            <v>251</v>
          </cell>
          <cell r="R28"/>
          <cell r="U28">
            <v>204.33333333333334</v>
          </cell>
          <cell r="V28"/>
          <cell r="Y28"/>
          <cell r="Z28"/>
          <cell r="AC28"/>
          <cell r="AD28"/>
          <cell r="AG28">
            <v>172.34999999999997</v>
          </cell>
          <cell r="AH28"/>
          <cell r="AK28">
            <v>210</v>
          </cell>
          <cell r="AL28">
            <v>210</v>
          </cell>
        </row>
        <row r="30">
          <cell r="I30">
            <v>80.25</v>
          </cell>
          <cell r="J30">
            <v>4</v>
          </cell>
          <cell r="M30">
            <v>140</v>
          </cell>
          <cell r="N30">
            <v>17</v>
          </cell>
          <cell r="Q30">
            <v>180</v>
          </cell>
          <cell r="R30">
            <v>13</v>
          </cell>
          <cell r="U30">
            <v>379.41666666666669</v>
          </cell>
          <cell r="V30"/>
          <cell r="Y30"/>
          <cell r="Z30"/>
          <cell r="AC30"/>
          <cell r="AD30"/>
          <cell r="AG30">
            <v>287.47166666667084</v>
          </cell>
          <cell r="AH30"/>
          <cell r="AK30">
            <v>126</v>
          </cell>
          <cell r="AL30">
            <v>20</v>
          </cell>
        </row>
        <row r="31">
          <cell r="I31">
            <v>27.416666666666668</v>
          </cell>
          <cell r="J31">
            <v>7.833333333333333</v>
          </cell>
          <cell r="M31">
            <v>8</v>
          </cell>
          <cell r="N31">
            <v>0</v>
          </cell>
          <cell r="Q31">
            <v>19</v>
          </cell>
          <cell r="R31">
            <v>16</v>
          </cell>
          <cell r="U31">
            <v>55.5</v>
          </cell>
          <cell r="V31"/>
          <cell r="Y31"/>
          <cell r="Z31"/>
          <cell r="AC31"/>
          <cell r="AD31"/>
          <cell r="AG31">
            <v>36</v>
          </cell>
          <cell r="AH31"/>
          <cell r="AK31">
            <v>15</v>
          </cell>
          <cell r="AL31">
            <v>1</v>
          </cell>
        </row>
        <row r="32">
          <cell r="I32">
            <v>107.66666666666667</v>
          </cell>
          <cell r="J32">
            <v>11.833333333333332</v>
          </cell>
          <cell r="M32">
            <v>148</v>
          </cell>
          <cell r="N32">
            <v>17</v>
          </cell>
          <cell r="Q32">
            <v>199</v>
          </cell>
          <cell r="R32">
            <v>29</v>
          </cell>
          <cell r="U32">
            <v>434.91666666666669</v>
          </cell>
          <cell r="V32">
            <v>0</v>
          </cell>
          <cell r="Y32">
            <v>0</v>
          </cell>
          <cell r="Z32">
            <v>0</v>
          </cell>
          <cell r="AC32">
            <v>0</v>
          </cell>
          <cell r="AD32">
            <v>0</v>
          </cell>
          <cell r="AG32">
            <v>323.47166666667084</v>
          </cell>
          <cell r="AH32">
            <v>0</v>
          </cell>
          <cell r="AK32">
            <v>141</v>
          </cell>
          <cell r="AL32">
            <v>21</v>
          </cell>
        </row>
        <row r="34">
          <cell r="I34">
            <v>28.333333333333332</v>
          </cell>
          <cell r="J34"/>
          <cell r="M34">
            <v>83</v>
          </cell>
          <cell r="N34">
            <v>12</v>
          </cell>
          <cell r="Q34">
            <v>39</v>
          </cell>
          <cell r="R34"/>
          <cell r="U34">
            <v>122.83333333333334</v>
          </cell>
          <cell r="V34"/>
          <cell r="Y34"/>
          <cell r="Z34"/>
          <cell r="AC34"/>
          <cell r="AD34"/>
          <cell r="AG34">
            <v>55.614999999999995</v>
          </cell>
          <cell r="AH34"/>
          <cell r="AK34">
            <v>43</v>
          </cell>
          <cell r="AL34">
            <v>30</v>
          </cell>
        </row>
        <row r="35">
          <cell r="I35">
            <v>14.416666666666666</v>
          </cell>
          <cell r="J35">
            <v>7</v>
          </cell>
          <cell r="M35">
            <v>46</v>
          </cell>
          <cell r="N35">
            <v>4</v>
          </cell>
          <cell r="Q35">
            <v>18</v>
          </cell>
          <cell r="R35">
            <v>4</v>
          </cell>
          <cell r="U35">
            <v>39.416666666666664</v>
          </cell>
          <cell r="V35"/>
          <cell r="Y35"/>
          <cell r="Z35"/>
          <cell r="AC35"/>
          <cell r="AD35"/>
          <cell r="AG35">
            <v>48.965000000000003</v>
          </cell>
          <cell r="AH35"/>
          <cell r="AK35">
            <v>26</v>
          </cell>
          <cell r="AL35">
            <v>11</v>
          </cell>
        </row>
        <row r="36">
          <cell r="I36">
            <v>6</v>
          </cell>
          <cell r="J36">
            <v>1</v>
          </cell>
          <cell r="M36">
            <v>27</v>
          </cell>
          <cell r="N36">
            <v>3</v>
          </cell>
          <cell r="Q36">
            <v>6</v>
          </cell>
          <cell r="R36"/>
          <cell r="U36">
            <v>17.833333333333332</v>
          </cell>
          <cell r="V36"/>
          <cell r="Y36"/>
          <cell r="Z36"/>
          <cell r="AC36"/>
          <cell r="AD36"/>
          <cell r="AG36">
            <v>23.235000000000003</v>
          </cell>
          <cell r="AH36"/>
          <cell r="AK36">
            <v>13</v>
          </cell>
          <cell r="AL36">
            <v>5</v>
          </cell>
        </row>
        <row r="37">
          <cell r="I37">
            <v>3</v>
          </cell>
          <cell r="J37">
            <v>1</v>
          </cell>
          <cell r="M37">
            <v>9</v>
          </cell>
          <cell r="N37">
            <v>1</v>
          </cell>
          <cell r="Q37">
            <v>5</v>
          </cell>
          <cell r="R37"/>
          <cell r="U37">
            <v>6.75</v>
          </cell>
          <cell r="V37"/>
          <cell r="Y37"/>
          <cell r="Z37"/>
          <cell r="AC37"/>
          <cell r="AD37"/>
          <cell r="AG37">
            <v>11.25</v>
          </cell>
          <cell r="AH37"/>
          <cell r="AK37">
            <v>9</v>
          </cell>
          <cell r="AL37">
            <v>3</v>
          </cell>
        </row>
        <row r="38">
          <cell r="I38">
            <v>1</v>
          </cell>
          <cell r="J38"/>
          <cell r="M38">
            <v>13</v>
          </cell>
          <cell r="N38">
            <v>3</v>
          </cell>
          <cell r="Q38">
            <v>8</v>
          </cell>
          <cell r="R38"/>
          <cell r="U38">
            <v>2</v>
          </cell>
          <cell r="V38"/>
          <cell r="Y38"/>
          <cell r="Z38"/>
          <cell r="AC38"/>
          <cell r="AD38"/>
          <cell r="AG38">
            <v>8</v>
          </cell>
          <cell r="AH38"/>
          <cell r="AK38">
            <v>9</v>
          </cell>
          <cell r="AL38">
            <v>6</v>
          </cell>
        </row>
        <row r="39">
          <cell r="I39">
            <v>2</v>
          </cell>
          <cell r="J39"/>
          <cell r="M39">
            <v>15</v>
          </cell>
          <cell r="N39">
            <v>1</v>
          </cell>
          <cell r="Q39">
            <v>25</v>
          </cell>
          <cell r="R39"/>
          <cell r="U39">
            <v>39.666666666666657</v>
          </cell>
          <cell r="V39"/>
          <cell r="Y39"/>
          <cell r="Z39"/>
          <cell r="AC39"/>
          <cell r="AD39"/>
          <cell r="AG39">
            <v>2</v>
          </cell>
          <cell r="AH39"/>
          <cell r="AK39">
            <v>2</v>
          </cell>
          <cell r="AL39">
            <v>0</v>
          </cell>
        </row>
        <row r="40">
          <cell r="I40">
            <v>54.75</v>
          </cell>
          <cell r="J40">
            <v>9</v>
          </cell>
          <cell r="M40">
            <v>193</v>
          </cell>
          <cell r="N40">
            <v>24</v>
          </cell>
          <cell r="Q40">
            <v>101</v>
          </cell>
          <cell r="R40">
            <v>4</v>
          </cell>
          <cell r="U40">
            <v>228.5</v>
          </cell>
          <cell r="V40">
            <v>0</v>
          </cell>
          <cell r="Y40">
            <v>0</v>
          </cell>
          <cell r="Z40">
            <v>0</v>
          </cell>
          <cell r="AC40">
            <v>0</v>
          </cell>
          <cell r="AD40">
            <v>0</v>
          </cell>
          <cell r="AG40">
            <v>149.065</v>
          </cell>
          <cell r="AH40">
            <v>0</v>
          </cell>
          <cell r="AK40">
            <v>102</v>
          </cell>
          <cell r="AL40">
            <v>55</v>
          </cell>
        </row>
        <row r="46">
          <cell r="I46">
            <v>426.75</v>
          </cell>
          <cell r="J46">
            <v>143.5</v>
          </cell>
          <cell r="M46">
            <v>2301</v>
          </cell>
          <cell r="N46">
            <v>118</v>
          </cell>
          <cell r="Q46">
            <v>602</v>
          </cell>
          <cell r="R46">
            <v>99</v>
          </cell>
          <cell r="U46">
            <v>1550.5833333333335</v>
          </cell>
          <cell r="V46">
            <v>0</v>
          </cell>
          <cell r="Y46">
            <v>0</v>
          </cell>
          <cell r="Z46">
            <v>0</v>
          </cell>
          <cell r="AC46">
            <v>0</v>
          </cell>
          <cell r="AD46">
            <v>0</v>
          </cell>
          <cell r="AG46">
            <v>803.70166666667092</v>
          </cell>
          <cell r="AH46">
            <v>0</v>
          </cell>
          <cell r="AK46">
            <v>727</v>
          </cell>
          <cell r="AL46">
            <v>581</v>
          </cell>
        </row>
        <row r="291">
          <cell r="H291">
            <v>9.0709999999999997</v>
          </cell>
          <cell r="L291">
            <v>20.404747577050642</v>
          </cell>
          <cell r="P291">
            <v>9.5410649968371537</v>
          </cell>
          <cell r="T291">
            <v>21.817953944451205</v>
          </cell>
          <cell r="X291">
            <v>0</v>
          </cell>
          <cell r="AB291">
            <v>0</v>
          </cell>
          <cell r="AF291">
            <v>23.163133515830026</v>
          </cell>
          <cell r="AJ291">
            <v>13.9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F162-2011-4AF3-A9C0-100D84301223}">
  <sheetPr codeName="Sheet1"/>
  <dimension ref="A2:M45"/>
  <sheetViews>
    <sheetView topLeftCell="A19" workbookViewId="0">
      <selection activeCell="B24" sqref="B24:J26"/>
    </sheetView>
  </sheetViews>
  <sheetFormatPr defaultRowHeight="15" x14ac:dyDescent="0.25"/>
  <cols>
    <col min="3" max="3" width="12.140625" customWidth="1"/>
  </cols>
  <sheetData>
    <row r="2" spans="1:13" s="38" customFormat="1" x14ac:dyDescent="0.25">
      <c r="B2" s="38" t="s">
        <v>243</v>
      </c>
    </row>
    <row r="3" spans="1:13" x14ac:dyDescent="0.25">
      <c r="B3" t="s">
        <v>244</v>
      </c>
    </row>
    <row r="5" spans="1:13" x14ac:dyDescent="0.25">
      <c r="B5" t="s">
        <v>245</v>
      </c>
    </row>
    <row r="6" spans="1:13" x14ac:dyDescent="0.25">
      <c r="B6" t="s">
        <v>246</v>
      </c>
    </row>
    <row r="7" spans="1:13" x14ac:dyDescent="0.25">
      <c r="B7" s="65" t="s">
        <v>247</v>
      </c>
      <c r="C7" s="65"/>
      <c r="D7" s="65"/>
      <c r="E7" s="65"/>
      <c r="F7" s="65"/>
      <c r="G7" s="65"/>
      <c r="H7" s="65"/>
      <c r="I7" s="65"/>
      <c r="J7" s="65"/>
      <c r="L7" s="32"/>
      <c r="M7" t="s">
        <v>248</v>
      </c>
    </row>
    <row r="8" spans="1:13" x14ac:dyDescent="0.25">
      <c r="B8" s="65"/>
      <c r="C8" s="65"/>
      <c r="D8" s="65"/>
      <c r="E8" s="65"/>
      <c r="F8" s="65"/>
      <c r="G8" s="65"/>
      <c r="H8" s="65"/>
      <c r="I8" s="65"/>
      <c r="J8" s="65"/>
    </row>
    <row r="9" spans="1:13" ht="27" customHeight="1" x14ac:dyDescent="0.25">
      <c r="B9" s="65" t="s">
        <v>249</v>
      </c>
      <c r="C9" s="65"/>
      <c r="D9" s="65"/>
      <c r="E9" s="65"/>
      <c r="F9" s="65"/>
      <c r="G9" s="65"/>
      <c r="H9" s="65"/>
      <c r="I9" s="65"/>
      <c r="J9" s="65"/>
    </row>
    <row r="10" spans="1:13" x14ac:dyDescent="0.25">
      <c r="B10" s="39" t="s">
        <v>250</v>
      </c>
      <c r="C10" s="40"/>
      <c r="D10" s="40"/>
      <c r="E10" s="40"/>
      <c r="F10" s="40"/>
      <c r="G10" s="40"/>
      <c r="H10" s="40"/>
      <c r="I10" s="40"/>
      <c r="J10" s="40"/>
    </row>
    <row r="11" spans="1:13" x14ac:dyDescent="0.25">
      <c r="B11" s="40"/>
      <c r="C11" s="40"/>
      <c r="D11" s="40"/>
      <c r="E11" s="40"/>
      <c r="F11" s="40"/>
      <c r="G11" s="40"/>
      <c r="H11" s="40"/>
      <c r="I11" s="40"/>
      <c r="J11" s="40"/>
    </row>
    <row r="12" spans="1:13" x14ac:dyDescent="0.25">
      <c r="A12" s="41"/>
      <c r="B12" t="s">
        <v>251</v>
      </c>
      <c r="C12" s="40"/>
      <c r="D12" s="40"/>
      <c r="E12" s="40"/>
      <c r="F12" s="40"/>
      <c r="G12" s="40"/>
      <c r="H12" s="40"/>
      <c r="I12" s="40"/>
      <c r="J12" s="40"/>
    </row>
    <row r="13" spans="1:13" ht="50.25" customHeight="1" x14ac:dyDescent="0.25">
      <c r="B13" s="65" t="s">
        <v>252</v>
      </c>
      <c r="C13" s="65"/>
      <c r="D13" s="65"/>
      <c r="E13" s="65"/>
      <c r="F13" s="65"/>
      <c r="G13" s="65"/>
      <c r="H13" s="65"/>
      <c r="I13" s="65"/>
      <c r="J13" s="65"/>
    </row>
    <row r="14" spans="1:13" ht="56.25" customHeight="1" x14ac:dyDescent="0.25">
      <c r="B14" s="65" t="s">
        <v>253</v>
      </c>
      <c r="C14" s="65"/>
      <c r="D14" s="65"/>
      <c r="E14" s="65"/>
      <c r="F14" s="65"/>
      <c r="G14" s="65"/>
      <c r="H14" s="65"/>
      <c r="I14" s="65"/>
      <c r="J14" s="65"/>
    </row>
    <row r="15" spans="1:13" x14ac:dyDescent="0.25">
      <c r="C15" s="1" t="s">
        <v>254</v>
      </c>
      <c r="D15" s="42" t="s">
        <v>255</v>
      </c>
      <c r="E15" s="42" t="s">
        <v>256</v>
      </c>
    </row>
    <row r="16" spans="1:13" x14ac:dyDescent="0.25">
      <c r="C16" s="43" t="s">
        <v>257</v>
      </c>
      <c r="D16" s="43">
        <v>1</v>
      </c>
      <c r="E16" s="44">
        <f>$E$20/$D$20*D16</f>
        <v>82.454545454545453</v>
      </c>
    </row>
    <row r="17" spans="2:10" x14ac:dyDescent="0.25">
      <c r="C17" s="43" t="s">
        <v>258</v>
      </c>
      <c r="D17" s="43">
        <v>3</v>
      </c>
      <c r="E17" s="44">
        <f>$E$20/$D$20*D17</f>
        <v>247.36363636363637</v>
      </c>
    </row>
    <row r="18" spans="2:10" x14ac:dyDescent="0.25">
      <c r="C18" s="43" t="s">
        <v>259</v>
      </c>
      <c r="D18" s="43">
        <v>10</v>
      </c>
      <c r="E18" s="44">
        <f>$E$20/$D$20*D18</f>
        <v>824.5454545454545</v>
      </c>
    </row>
    <row r="19" spans="2:10" x14ac:dyDescent="0.25">
      <c r="C19" s="43" t="s">
        <v>260</v>
      </c>
      <c r="D19" s="43">
        <v>30</v>
      </c>
      <c r="E19" s="44">
        <f>$E$20/$D$20*D19</f>
        <v>2473.6363636363635</v>
      </c>
    </row>
    <row r="20" spans="2:10" x14ac:dyDescent="0.25">
      <c r="C20" s="43" t="s">
        <v>261</v>
      </c>
      <c r="D20" s="43">
        <f>SUM(D16:D19)</f>
        <v>44</v>
      </c>
      <c r="E20" s="43">
        <f>'[1]2018E P&amp;L Summary'!M10</f>
        <v>3628</v>
      </c>
    </row>
    <row r="23" spans="2:10" x14ac:dyDescent="0.25">
      <c r="B23" t="s">
        <v>262</v>
      </c>
    </row>
    <row r="24" spans="2:10" x14ac:dyDescent="0.25">
      <c r="B24" s="64" t="s">
        <v>263</v>
      </c>
      <c r="C24" s="64"/>
      <c r="D24" s="64"/>
      <c r="E24" s="64"/>
      <c r="F24" s="64"/>
      <c r="G24" s="64"/>
      <c r="H24" s="64"/>
      <c r="I24" s="64"/>
      <c r="J24" s="64"/>
    </row>
    <row r="25" spans="2:10" x14ac:dyDescent="0.25">
      <c r="B25" s="64"/>
      <c r="C25" s="64"/>
      <c r="D25" s="64"/>
      <c r="E25" s="64"/>
      <c r="F25" s="64"/>
      <c r="G25" s="64"/>
      <c r="H25" s="64"/>
      <c r="I25" s="64"/>
      <c r="J25" s="64"/>
    </row>
    <row r="26" spans="2:10" x14ac:dyDescent="0.25">
      <c r="B26" s="64"/>
      <c r="C26" s="64"/>
      <c r="D26" s="64"/>
      <c r="E26" s="64"/>
      <c r="F26" s="64"/>
      <c r="G26" s="64"/>
      <c r="H26" s="64"/>
      <c r="I26" s="64"/>
      <c r="J26" s="64"/>
    </row>
    <row r="27" spans="2:10" x14ac:dyDescent="0.25">
      <c r="C27" s="1" t="s">
        <v>264</v>
      </c>
      <c r="D27" s="1" t="s">
        <v>256</v>
      </c>
      <c r="E27" s="1" t="s">
        <v>265</v>
      </c>
      <c r="F27" s="1" t="s">
        <v>266</v>
      </c>
    </row>
    <row r="28" spans="2:10" x14ac:dyDescent="0.25">
      <c r="C28" s="43" t="s">
        <v>101</v>
      </c>
      <c r="D28" s="43">
        <v>232</v>
      </c>
      <c r="E28" s="43">
        <v>14.6</v>
      </c>
      <c r="F28" s="45"/>
    </row>
    <row r="29" spans="2:10" x14ac:dyDescent="0.25">
      <c r="C29" s="43" t="s">
        <v>102</v>
      </c>
      <c r="D29" s="43">
        <v>160</v>
      </c>
      <c r="E29" s="43">
        <v>8.8000000000000007</v>
      </c>
      <c r="F29" s="45"/>
    </row>
    <row r="30" spans="2:10" x14ac:dyDescent="0.25">
      <c r="C30" s="43" t="s">
        <v>103</v>
      </c>
      <c r="D30" s="43">
        <v>56</v>
      </c>
      <c r="E30" s="43">
        <v>4.3</v>
      </c>
      <c r="F30" s="45"/>
    </row>
    <row r="31" spans="2:10" x14ac:dyDescent="0.25">
      <c r="C31" s="43" t="s">
        <v>104</v>
      </c>
      <c r="D31" s="43">
        <v>10</v>
      </c>
      <c r="E31" s="43">
        <v>1.6</v>
      </c>
      <c r="F31" s="45"/>
    </row>
    <row r="32" spans="2:10" x14ac:dyDescent="0.25">
      <c r="C32" s="43" t="s">
        <v>257</v>
      </c>
      <c r="D32" s="43">
        <v>37</v>
      </c>
      <c r="E32" s="43">
        <v>6.2</v>
      </c>
      <c r="F32" s="45"/>
    </row>
    <row r="33" spans="2:10" x14ac:dyDescent="0.25">
      <c r="C33" s="43" t="s">
        <v>267</v>
      </c>
      <c r="D33" s="43">
        <v>58</v>
      </c>
      <c r="E33" s="43">
        <v>2.5</v>
      </c>
      <c r="F33" s="45"/>
    </row>
    <row r="34" spans="2:10" x14ac:dyDescent="0.25">
      <c r="C34" s="1" t="s">
        <v>268</v>
      </c>
      <c r="D34" s="1">
        <f>SUM(D28:D33)</f>
        <v>553</v>
      </c>
      <c r="E34" s="1">
        <f>SUM(E28:E33)</f>
        <v>38</v>
      </c>
      <c r="F34" s="46">
        <f>G34-E34</f>
        <v>-38</v>
      </c>
    </row>
    <row r="35" spans="2:10" x14ac:dyDescent="0.25">
      <c r="B35" s="64" t="s">
        <v>269</v>
      </c>
      <c r="C35" s="64"/>
      <c r="D35" s="64"/>
      <c r="E35" s="64"/>
      <c r="F35" s="64"/>
      <c r="G35" s="64"/>
      <c r="H35" s="64"/>
      <c r="I35" s="64"/>
      <c r="J35" s="64"/>
    </row>
    <row r="36" spans="2:10" x14ac:dyDescent="0.25">
      <c r="B36" s="64"/>
      <c r="C36" s="64"/>
      <c r="D36" s="64"/>
      <c r="E36" s="64"/>
      <c r="F36" s="64"/>
      <c r="G36" s="64"/>
      <c r="H36" s="64"/>
      <c r="I36" s="64"/>
      <c r="J36" s="64"/>
    </row>
    <row r="38" spans="2:10" x14ac:dyDescent="0.25">
      <c r="B38" t="s">
        <v>270</v>
      </c>
    </row>
    <row r="39" spans="2:10" x14ac:dyDescent="0.25">
      <c r="B39" s="64" t="s">
        <v>271</v>
      </c>
      <c r="C39" s="64"/>
      <c r="D39" s="64"/>
      <c r="E39" s="64"/>
      <c r="F39" s="64"/>
      <c r="G39" s="64"/>
      <c r="H39" s="64"/>
      <c r="I39" s="64"/>
      <c r="J39" s="64"/>
    </row>
    <row r="40" spans="2:10" x14ac:dyDescent="0.25">
      <c r="B40" s="64"/>
      <c r="C40" s="64"/>
      <c r="D40" s="64"/>
      <c r="E40" s="64"/>
      <c r="F40" s="64"/>
      <c r="G40" s="64"/>
      <c r="H40" s="64"/>
      <c r="I40" s="64"/>
      <c r="J40" s="64"/>
    </row>
    <row r="41" spans="2:10" x14ac:dyDescent="0.25">
      <c r="C41" t="s">
        <v>272</v>
      </c>
      <c r="D41" t="s">
        <v>273</v>
      </c>
    </row>
    <row r="42" spans="2:10" x14ac:dyDescent="0.25">
      <c r="C42" s="32">
        <v>1</v>
      </c>
      <c r="D42" s="32">
        <v>1</v>
      </c>
    </row>
    <row r="44" spans="2:10" x14ac:dyDescent="0.25">
      <c r="B44" t="s">
        <v>274</v>
      </c>
    </row>
    <row r="45" spans="2:10" x14ac:dyDescent="0.25">
      <c r="B45" t="s">
        <v>275</v>
      </c>
    </row>
  </sheetData>
  <mergeCells count="7">
    <mergeCell ref="B39:J40"/>
    <mergeCell ref="B7:J8"/>
    <mergeCell ref="B9:J9"/>
    <mergeCell ref="B13:J13"/>
    <mergeCell ref="B14:J14"/>
    <mergeCell ref="B24:J26"/>
    <mergeCell ref="B35:J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E7AD-586C-4ED4-996F-A97BA2F4A501}">
  <sheetPr codeName="Sheet10"/>
  <dimension ref="A1:P14"/>
  <sheetViews>
    <sheetView workbookViewId="0">
      <selection activeCell="A10" sqref="A10"/>
    </sheetView>
  </sheetViews>
  <sheetFormatPr defaultRowHeight="15" x14ac:dyDescent="0.25"/>
  <cols>
    <col min="1" max="1" width="12.28515625" bestFit="1" customWidth="1"/>
    <col min="2" max="2" width="7.5703125" bestFit="1" customWidth="1"/>
    <col min="3" max="4" width="8.42578125" bestFit="1" customWidth="1"/>
    <col min="5" max="5" width="13.140625" bestFit="1" customWidth="1"/>
    <col min="6" max="6" width="13.140625" customWidth="1"/>
    <col min="7" max="7" width="10.7109375" bestFit="1" customWidth="1"/>
    <col min="8" max="8" width="5.42578125" bestFit="1" customWidth="1"/>
    <col min="9" max="9" width="6.28515625" bestFit="1" customWidth="1"/>
    <col min="10" max="10" width="8.42578125" bestFit="1" customWidth="1"/>
    <col min="11" max="11" width="11.7109375" bestFit="1" customWidth="1"/>
    <col min="12" max="12" width="9.85546875" bestFit="1" customWidth="1"/>
    <col min="13" max="13" width="13.140625" bestFit="1" customWidth="1"/>
  </cols>
  <sheetData>
    <row r="1" spans="1:16" x14ac:dyDescent="0.25">
      <c r="A1" s="1" t="s">
        <v>0</v>
      </c>
      <c r="B1" s="1" t="s">
        <v>233</v>
      </c>
      <c r="C1" s="1" t="s">
        <v>232</v>
      </c>
      <c r="D1" s="1" t="s">
        <v>234</v>
      </c>
      <c r="E1" s="1" t="s">
        <v>235</v>
      </c>
      <c r="F1" s="1" t="s">
        <v>239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236</v>
      </c>
      <c r="L1" s="1" t="s">
        <v>237</v>
      </c>
      <c r="M1" s="29" t="s">
        <v>240</v>
      </c>
      <c r="N1" s="29" t="s">
        <v>135</v>
      </c>
    </row>
    <row r="2" spans="1:16" x14ac:dyDescent="0.25">
      <c r="A2" t="s">
        <v>1</v>
      </c>
      <c r="B2" s="28">
        <f>'[3]2018E'!$I$24+'[3]2018E'!$J$24</f>
        <v>273.08333333333331</v>
      </c>
      <c r="C2" s="28">
        <f>'[3]2018E'!$I$28+'[3]2018E'!$J$28</f>
        <v>113.91666666666667</v>
      </c>
      <c r="D2" s="28">
        <f>'[3]2018E'!$I$30+'[3]2018E'!$J$30</f>
        <v>84.25</v>
      </c>
      <c r="E2" s="28">
        <f>'[3]2018E'!$I$31+'[3]2018E'!$J$31</f>
        <v>35.25</v>
      </c>
      <c r="F2" s="28">
        <f>'[3]2018E'!$I$32+'[3]2018E'!$J$32</f>
        <v>119.5</v>
      </c>
      <c r="G2" s="28">
        <f>'[3]2018E'!$I$34+'[3]2018E'!$J$34</f>
        <v>28.333333333333332</v>
      </c>
      <c r="H2" s="28">
        <f>'[3]2018E'!$I$35+'[3]2018E'!$J$35</f>
        <v>21.416666666666664</v>
      </c>
      <c r="I2" s="28">
        <f>'[3]2018E'!$I$36+'[3]2018E'!$J$36</f>
        <v>7</v>
      </c>
      <c r="J2" s="28">
        <f>'[3]2018E'!$I$37+'[3]2018E'!$J$37</f>
        <v>4</v>
      </c>
      <c r="K2" s="28">
        <f>'[3]2018E'!$I$38+'[3]2018E'!$J$38</f>
        <v>1</v>
      </c>
      <c r="L2" s="28">
        <f>'[3]2018E'!$I$39+'[3]2018E'!$J$39</f>
        <v>2</v>
      </c>
      <c r="M2" s="28">
        <f>'[3]2018E'!$I$40+'[3]2018E'!$J$40</f>
        <v>63.75</v>
      </c>
      <c r="N2" s="28">
        <f>'[3]2018E'!$I$46+'[3]2018E'!$J$46</f>
        <v>570.25</v>
      </c>
    </row>
    <row r="3" spans="1:16" x14ac:dyDescent="0.25">
      <c r="A3" t="s">
        <v>2</v>
      </c>
      <c r="B3" s="28">
        <f>'[3]2018E'!$M$24+'[3]2018E'!$N$24</f>
        <v>528</v>
      </c>
      <c r="C3" s="28">
        <f>'[3]2018E'!$M$28+'[3]2018E'!$N$28</f>
        <v>1509</v>
      </c>
      <c r="D3" s="28">
        <f>'[3]2018E'!$M$30+'[3]2018E'!$N$30</f>
        <v>157</v>
      </c>
      <c r="E3" s="28">
        <f>'[3]2018E'!$M$31+'[3]2018E'!$N$31</f>
        <v>8</v>
      </c>
      <c r="F3" s="28">
        <f>'[3]2018E'!$M$32+'[3]2018E'!$N$32</f>
        <v>165</v>
      </c>
      <c r="G3" s="28">
        <f>'[3]2018E'!$M$34+'[3]2018E'!$N$34</f>
        <v>95</v>
      </c>
      <c r="H3" s="28">
        <f>'[3]2018E'!$M$35+'[3]2018E'!$N$35</f>
        <v>50</v>
      </c>
      <c r="I3" s="28">
        <f>'[3]2018E'!$M$36+'[3]2018E'!$N$36</f>
        <v>30</v>
      </c>
      <c r="J3" s="28">
        <f>'[3]2018E'!$M$37+'[3]2018E'!$N$37</f>
        <v>10</v>
      </c>
      <c r="K3" s="28">
        <f>'[3]2018E'!$M$38+'[3]2018E'!$N$38</f>
        <v>16</v>
      </c>
      <c r="L3" s="28">
        <f>'[3]2018E'!$M$39+'[3]2018E'!$N$39</f>
        <v>16</v>
      </c>
      <c r="M3" s="28">
        <f>'[3]2018E'!$M$40+'[3]2018E'!$N$40</f>
        <v>217</v>
      </c>
      <c r="N3" s="28">
        <f>'[3]2018E'!$M$46+'[3]2018E'!$N$46</f>
        <v>2419</v>
      </c>
    </row>
    <row r="4" spans="1:16" x14ac:dyDescent="0.25">
      <c r="A4" t="s">
        <v>3</v>
      </c>
      <c r="B4" s="28">
        <f>'[3]2018E'!$Q$24+'[3]2018E'!$R$24</f>
        <v>117</v>
      </c>
      <c r="C4" s="28">
        <f>'[3]2018E'!$Q$28+'[3]2018E'!$R$28</f>
        <v>251</v>
      </c>
      <c r="D4" s="28">
        <f>'[3]2018E'!$Q$30+'[3]2018E'!$R$30</f>
        <v>193</v>
      </c>
      <c r="E4" s="28">
        <f>'[3]2018E'!$Q$31+'[3]2018E'!$R$31</f>
        <v>35</v>
      </c>
      <c r="F4" s="28">
        <f>'[3]2018E'!$Q$32+'[3]2018E'!$R$32</f>
        <v>228</v>
      </c>
      <c r="G4" s="28">
        <f>'[3]2018E'!$Q$34+'[3]2018E'!$R$34</f>
        <v>39</v>
      </c>
      <c r="H4" s="28">
        <f>'[3]2018E'!$Q$35+'[3]2018E'!$R$35</f>
        <v>22</v>
      </c>
      <c r="I4" s="28">
        <f>'[3]2018E'!$Q$36+'[3]2018E'!$R$36</f>
        <v>6</v>
      </c>
      <c r="J4" s="28">
        <f>'[3]2018E'!$Q$37+'[3]2018E'!$R$37</f>
        <v>5</v>
      </c>
      <c r="K4" s="28">
        <f>'[3]2018E'!$Q$38+'[3]2018E'!$R$38</f>
        <v>8</v>
      </c>
      <c r="L4" s="28">
        <f>'[3]2018E'!$Q$39+'[3]2018E'!$R$39</f>
        <v>25</v>
      </c>
      <c r="M4" s="28">
        <f>'[3]2018E'!$Q$40+'[3]2018E'!$R$40</f>
        <v>105</v>
      </c>
      <c r="N4" s="28">
        <f>'[3]2018E'!$Q$46+'[3]2018E'!$R$46</f>
        <v>701</v>
      </c>
    </row>
    <row r="5" spans="1:16" x14ac:dyDescent="0.25">
      <c r="A5" t="s">
        <v>4</v>
      </c>
      <c r="B5" s="28">
        <f>'[3]2018E'!$U$24+'[3]2018E'!$V$24</f>
        <v>682.83333333333337</v>
      </c>
      <c r="C5" s="28">
        <f>'[3]2018E'!$U$28+'[3]2018E'!$V$28</f>
        <v>204.33333333333334</v>
      </c>
      <c r="D5" s="28">
        <f>'[3]2018E'!$U$30+'[3]2018E'!$V$30</f>
        <v>379.41666666666669</v>
      </c>
      <c r="E5" s="28">
        <f>'[3]2018E'!$U$31+'[3]2018E'!$V$31</f>
        <v>55.5</v>
      </c>
      <c r="F5" s="28">
        <f>'[3]2018E'!$U$32+'[3]2018E'!$V$32</f>
        <v>434.91666666666669</v>
      </c>
      <c r="G5" s="28">
        <f>'[3]2018E'!$U$34+'[3]2018E'!$V$34</f>
        <v>122.83333333333334</v>
      </c>
      <c r="H5" s="28">
        <f>'[3]2018E'!$U$35+'[3]2018E'!$V$35</f>
        <v>39.416666666666664</v>
      </c>
      <c r="I5" s="28">
        <f>'[3]2018E'!$U$36+'[3]2018E'!$V$36</f>
        <v>17.833333333333332</v>
      </c>
      <c r="J5" s="28">
        <f>'[3]2018E'!$U$37+'[3]2018E'!$V$37</f>
        <v>6.75</v>
      </c>
      <c r="K5" s="28">
        <f>'[3]2018E'!$U$38+'[3]2018E'!$V$38</f>
        <v>2</v>
      </c>
      <c r="L5" s="28">
        <f>'[3]2018E'!$U$39+'[3]2018E'!$V$39</f>
        <v>39.666666666666657</v>
      </c>
      <c r="M5" s="28">
        <f>'[3]2018E'!$U$40+'[3]2018E'!$V$40</f>
        <v>228.5</v>
      </c>
      <c r="N5" s="28">
        <f>'[3]2018E'!$U$46+'[3]2018E'!$V$46</f>
        <v>1550.5833333333335</v>
      </c>
    </row>
    <row r="6" spans="1:16" x14ac:dyDescent="0.25">
      <c r="A6" t="s">
        <v>7</v>
      </c>
      <c r="B6" s="28">
        <f>'[3]2018E'!$Y$24+'[3]2018E'!$Z$24</f>
        <v>0</v>
      </c>
      <c r="C6" s="28">
        <f>'[3]2018E'!$Y$28+'[3]2018E'!$Z$28</f>
        <v>0</v>
      </c>
      <c r="D6" s="28">
        <f>'[3]2018E'!$Y$30+'[3]2018E'!$Z$30</f>
        <v>0</v>
      </c>
      <c r="E6" s="28">
        <f>'[3]2018E'!$Y$31+'[3]2018E'!$Z$31</f>
        <v>0</v>
      </c>
      <c r="F6" s="28">
        <f>'[3]2018E'!$Y$32+'[3]2018E'!$Z$32</f>
        <v>0</v>
      </c>
      <c r="G6" s="28">
        <f>'[3]2018E'!$Y$34+'[3]2018E'!$Z$34</f>
        <v>0</v>
      </c>
      <c r="H6" s="28">
        <f>'[3]2018E'!$Y$35+'[3]2018E'!$Z$35</f>
        <v>0</v>
      </c>
      <c r="I6" s="28">
        <f>'[3]2018E'!$Y$36+'[3]2018E'!$Z$36</f>
        <v>0</v>
      </c>
      <c r="J6" s="28">
        <f>'[3]2018E'!$Y$37+'[3]2018E'!$Z$37</f>
        <v>0</v>
      </c>
      <c r="K6" s="28">
        <f>'[3]2018E'!$Y$38+'[3]2018E'!$Z$38</f>
        <v>0</v>
      </c>
      <c r="L6" s="28">
        <f>'[3]2018E'!$Y$39+'[3]2018E'!$Z$39</f>
        <v>0</v>
      </c>
      <c r="M6" s="28">
        <f>'[3]2018E'!$Y$40+'[3]2018E'!$Z$40</f>
        <v>0</v>
      </c>
      <c r="N6" s="28">
        <f>'[3]2018E'!$Y$46+'[3]2018E'!$Z$46</f>
        <v>0</v>
      </c>
    </row>
    <row r="7" spans="1:16" x14ac:dyDescent="0.25">
      <c r="A7" t="s">
        <v>8</v>
      </c>
      <c r="B7" s="28">
        <f>'[3]2018E'!$AC$24+'[3]2018E'!$AD$24</f>
        <v>0</v>
      </c>
      <c r="C7" s="28">
        <f>'[3]2018E'!$AC$28+'[3]2018E'!$AD$28</f>
        <v>0</v>
      </c>
      <c r="D7" s="28">
        <f>'[3]2018E'!$AC$30+'[3]2018E'!$AD$30</f>
        <v>0</v>
      </c>
      <c r="E7" s="28">
        <f>'[3]2018E'!$AC$31+'[3]2018E'!$AD$31</f>
        <v>0</v>
      </c>
      <c r="F7" s="28">
        <f>'[3]2018E'!$AC$32+'[3]2018E'!$AD$32</f>
        <v>0</v>
      </c>
      <c r="G7" s="28">
        <f>'[3]2018E'!$AC$34+'[3]2018E'!$AD$34</f>
        <v>0</v>
      </c>
      <c r="H7" s="28">
        <f>'[3]2018E'!$AC$35+'[3]2018E'!$AD$35</f>
        <v>0</v>
      </c>
      <c r="I7" s="28">
        <f>'[3]2018E'!$AC$36+'[3]2018E'!$AD$36</f>
        <v>0</v>
      </c>
      <c r="J7" s="28">
        <f>'[3]2018E'!$AC$37+'[3]2018E'!$AD$37</f>
        <v>0</v>
      </c>
      <c r="K7" s="28">
        <f>'[3]2018E'!$AC$38+'[3]2018E'!$AD$38</f>
        <v>0</v>
      </c>
      <c r="L7" s="28">
        <f>'[3]2018E'!$AC$39+'[3]2018E'!$AD$39</f>
        <v>0</v>
      </c>
      <c r="M7" s="28">
        <f>'[3]2018E'!$AC$40+'[3]2018E'!$AD$40</f>
        <v>0</v>
      </c>
      <c r="N7" s="28">
        <f>'[3]2018E'!$AC$46+'[3]2018E'!$AD$46</f>
        <v>0</v>
      </c>
    </row>
    <row r="8" spans="1:16" x14ac:dyDescent="0.25">
      <c r="A8" t="s">
        <v>5</v>
      </c>
      <c r="B8" s="28">
        <f>'[3]2018E'!$AG$24+'[3]2018E'!$AH$24</f>
        <v>158.815</v>
      </c>
      <c r="C8" s="28">
        <f>'[3]2018E'!$AG$28+'[3]2018E'!$AH$28</f>
        <v>172.34999999999997</v>
      </c>
      <c r="D8" s="28">
        <f>'[3]2018E'!$AG$30+'[3]2018E'!$AH$30</f>
        <v>287.47166666667084</v>
      </c>
      <c r="E8" s="28">
        <f>'[3]2018E'!$AG$31+'[3]2018E'!$AH$31</f>
        <v>36</v>
      </c>
      <c r="F8" s="28">
        <f>'[3]2018E'!$AG$32+'[3]2018E'!$AH$32</f>
        <v>323.47166666667084</v>
      </c>
      <c r="G8" s="28">
        <f>'[3]2018E'!$AG$34+'[3]2018E'!$AH$34</f>
        <v>55.614999999999995</v>
      </c>
      <c r="H8" s="28">
        <f>'[3]2018E'!$AG$35+'[3]2018E'!$AH$35</f>
        <v>48.965000000000003</v>
      </c>
      <c r="I8" s="28">
        <f>'[3]2018E'!$AG$36+'[3]2018E'!$AH$36</f>
        <v>23.235000000000003</v>
      </c>
      <c r="J8" s="28">
        <f>'[3]2018E'!$AG$37+'[3]2018E'!$AH$37</f>
        <v>11.25</v>
      </c>
      <c r="K8" s="28">
        <f>'[3]2018E'!$AG$38+'[3]2018E'!$AH$38</f>
        <v>8</v>
      </c>
      <c r="L8" s="28">
        <f>'[3]2018E'!$AG$39+'[3]2018E'!$AH$39</f>
        <v>2</v>
      </c>
      <c r="M8" s="28">
        <f>'[3]2018E'!$AG$40+'[3]2018E'!$AH$40</f>
        <v>149.065</v>
      </c>
      <c r="N8" s="28">
        <f>'[3]2018E'!$AG$46+'[3]2018E'!$AH$46</f>
        <v>803.70166666667092</v>
      </c>
    </row>
    <row r="9" spans="1:16" x14ac:dyDescent="0.25">
      <c r="A9" t="s">
        <v>6</v>
      </c>
      <c r="B9" s="28">
        <f>'[3]2018E'!$AK$24+'[3]2018E'!$AL$24</f>
        <v>569</v>
      </c>
      <c r="C9" s="28">
        <f>'[3]2018E'!$AK$28+'[3]2018E'!$AL$28</f>
        <v>420</v>
      </c>
      <c r="D9" s="28">
        <f>'[3]2018E'!$AK$30+'[3]2018E'!$AL$30</f>
        <v>146</v>
      </c>
      <c r="E9" s="28">
        <f>'[3]2018E'!$AK$31+'[3]2018E'!$AL$31</f>
        <v>16</v>
      </c>
      <c r="F9" s="28">
        <f>'[3]2018E'!$AK$32+'[3]2018E'!$AL$32</f>
        <v>162</v>
      </c>
      <c r="G9" s="28">
        <f>'[3]2018E'!$AK$34+'[3]2018E'!$AL$34</f>
        <v>73</v>
      </c>
      <c r="H9" s="28">
        <f>'[3]2018E'!$AK$35+'[3]2018E'!$AL$35</f>
        <v>37</v>
      </c>
      <c r="I9" s="28">
        <f>'[3]2018E'!$AK$36+'[3]2018E'!$AL$36</f>
        <v>18</v>
      </c>
      <c r="J9" s="28">
        <f>'[3]2018E'!$AK$37+'[3]2018E'!$AL$37</f>
        <v>12</v>
      </c>
      <c r="K9" s="28">
        <f>'[3]2018E'!$AK$38+'[3]2018E'!$AL$38</f>
        <v>15</v>
      </c>
      <c r="L9" s="28">
        <f>'[3]2018E'!$AK$39+'[3]2018E'!$AL$39</f>
        <v>2</v>
      </c>
      <c r="M9" s="28">
        <f>'[3]2018E'!$AK$40+'[3]2018E'!$AL$40</f>
        <v>157</v>
      </c>
      <c r="N9" s="28">
        <f>'[3]2018E'!$AK$46+'[3]2018E'!$AL$46</f>
        <v>1308</v>
      </c>
    </row>
    <row r="10" spans="1:16" x14ac:dyDescent="0.25">
      <c r="A10" t="s">
        <v>290</v>
      </c>
      <c r="B10" s="28">
        <f>1261</f>
        <v>1261</v>
      </c>
      <c r="C10" s="28">
        <f>1262</f>
        <v>1262</v>
      </c>
      <c r="D10" s="28">
        <f>403</f>
        <v>403</v>
      </c>
      <c r="E10" s="28">
        <f>149</f>
        <v>149</v>
      </c>
      <c r="F10" s="28">
        <f>SUM(D10:E10)</f>
        <v>552</v>
      </c>
      <c r="G10" s="28">
        <f>232</f>
        <v>232</v>
      </c>
      <c r="H10" s="28">
        <f>160</f>
        <v>160</v>
      </c>
      <c r="I10" s="28">
        <f>56</f>
        <v>56</v>
      </c>
      <c r="J10" s="28">
        <f>10</f>
        <v>10</v>
      </c>
      <c r="K10" s="28">
        <f>58</f>
        <v>58</v>
      </c>
      <c r="L10" s="28">
        <f>37</f>
        <v>37</v>
      </c>
      <c r="M10" s="28">
        <f>SUM(G10:L10)</f>
        <v>553</v>
      </c>
      <c r="N10" s="28">
        <f>B10+C10+F10+M10</f>
        <v>3628</v>
      </c>
      <c r="P10" s="28"/>
    </row>
    <row r="11" spans="1:16" x14ac:dyDescent="0.25">
      <c r="A11" t="s">
        <v>238</v>
      </c>
      <c r="B11" s="28">
        <f>SUM(B2:B9)</f>
        <v>2328.7316666666666</v>
      </c>
      <c r="C11" s="28">
        <f t="shared" ref="C11:N11" si="0">SUM(C2:C10)</f>
        <v>3932.6</v>
      </c>
      <c r="D11" s="28">
        <f t="shared" si="0"/>
        <v>1650.1383333333376</v>
      </c>
      <c r="E11" s="28">
        <f t="shared" si="0"/>
        <v>334.75</v>
      </c>
      <c r="F11" s="28">
        <f t="shared" si="0"/>
        <v>1984.8883333333376</v>
      </c>
      <c r="G11" s="28">
        <f t="shared" si="0"/>
        <v>645.78166666666664</v>
      </c>
      <c r="H11" s="28">
        <f t="shared" si="0"/>
        <v>378.79833333333329</v>
      </c>
      <c r="I11" s="28">
        <f t="shared" si="0"/>
        <v>158.06833333333333</v>
      </c>
      <c r="J11" s="28">
        <f t="shared" si="0"/>
        <v>59</v>
      </c>
      <c r="K11" s="28">
        <f t="shared" si="0"/>
        <v>108</v>
      </c>
      <c r="L11" s="28">
        <f t="shared" si="0"/>
        <v>123.66666666666666</v>
      </c>
      <c r="M11" s="28">
        <f t="shared" si="0"/>
        <v>1473.3150000000001</v>
      </c>
      <c r="N11" s="28">
        <f t="shared" si="0"/>
        <v>10980.535000000005</v>
      </c>
    </row>
    <row r="14" spans="1:16" x14ac:dyDescent="0.25">
      <c r="A14" t="s">
        <v>289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648C-5F97-47B4-B7E5-8D1A9E7A853E}">
  <sheetPr codeName="Sheet11"/>
  <dimension ref="A1:BZ3"/>
  <sheetViews>
    <sheetView workbookViewId="0">
      <selection activeCell="C2" sqref="C2"/>
    </sheetView>
  </sheetViews>
  <sheetFormatPr defaultRowHeight="15" x14ac:dyDescent="0.25"/>
  <cols>
    <col min="1" max="1" width="7" bestFit="1" customWidth="1"/>
    <col min="2" max="2" width="8.85546875" bestFit="1" customWidth="1"/>
    <col min="3" max="3" width="4.42578125" bestFit="1" customWidth="1"/>
    <col min="4" max="4" width="4.28515625" bestFit="1" customWidth="1"/>
    <col min="5" max="5" width="5.5703125" bestFit="1" customWidth="1"/>
    <col min="6" max="6" width="7.28515625" bestFit="1" customWidth="1"/>
    <col min="7" max="7" width="11.7109375" bestFit="1" customWidth="1"/>
    <col min="8" max="9" width="11.42578125" bestFit="1" customWidth="1"/>
    <col min="10" max="10" width="19.28515625" bestFit="1" customWidth="1"/>
    <col min="11" max="11" width="16.28515625" bestFit="1" customWidth="1"/>
    <col min="12" max="12" width="16.140625" bestFit="1" customWidth="1"/>
    <col min="13" max="13" width="4.85546875" bestFit="1" customWidth="1"/>
    <col min="14" max="14" width="11.140625" bestFit="1" customWidth="1"/>
    <col min="15" max="15" width="15.5703125" bestFit="1" customWidth="1"/>
    <col min="16" max="16" width="13.140625" bestFit="1" customWidth="1"/>
    <col min="17" max="17" width="18.140625" bestFit="1" customWidth="1"/>
    <col min="18" max="18" width="9.7109375" bestFit="1" customWidth="1"/>
    <col min="19" max="19" width="15.140625" bestFit="1" customWidth="1"/>
    <col min="20" max="20" width="19.7109375" bestFit="1" customWidth="1"/>
    <col min="21" max="21" width="14.7109375" bestFit="1" customWidth="1"/>
    <col min="22" max="22" width="11.7109375" bestFit="1" customWidth="1"/>
    <col min="23" max="23" width="15.42578125" bestFit="1" customWidth="1"/>
    <col min="24" max="24" width="13.28515625" bestFit="1" customWidth="1"/>
    <col min="25" max="25" width="15.7109375" bestFit="1" customWidth="1"/>
    <col min="26" max="26" width="17" bestFit="1" customWidth="1"/>
    <col min="27" max="27" width="16.5703125" bestFit="1" customWidth="1"/>
    <col min="28" max="28" width="15" bestFit="1" customWidth="1"/>
    <col min="29" max="29" width="14.5703125" bestFit="1" customWidth="1"/>
    <col min="30" max="30" width="15.42578125" bestFit="1" customWidth="1"/>
    <col min="31" max="31" width="9.85546875" bestFit="1" customWidth="1"/>
    <col min="32" max="32" width="12.140625" bestFit="1" customWidth="1"/>
    <col min="33" max="33" width="7.28515625" bestFit="1" customWidth="1"/>
    <col min="34" max="34" width="21.85546875" bestFit="1" customWidth="1"/>
    <col min="35" max="35" width="14" bestFit="1" customWidth="1"/>
    <col min="36" max="36" width="14.7109375" bestFit="1" customWidth="1"/>
    <col min="37" max="37" width="28.42578125" bestFit="1" customWidth="1"/>
    <col min="38" max="38" width="14.42578125" bestFit="1" customWidth="1"/>
    <col min="39" max="39" width="22.28515625" bestFit="1" customWidth="1"/>
    <col min="40" max="40" width="21" bestFit="1" customWidth="1"/>
    <col min="41" max="41" width="17" bestFit="1" customWidth="1"/>
    <col min="42" max="42" width="15.28515625" bestFit="1" customWidth="1"/>
    <col min="45" max="45" width="15.140625" bestFit="1" customWidth="1"/>
    <col min="47" max="47" width="19.7109375" bestFit="1" customWidth="1"/>
    <col min="52" max="52" width="9.5703125" bestFit="1" customWidth="1"/>
    <col min="53" max="53" width="17" bestFit="1" customWidth="1"/>
    <col min="58" max="58" width="11.5703125" customWidth="1"/>
    <col min="59" max="59" width="13.5703125" customWidth="1"/>
    <col min="60" max="60" width="14.7109375" bestFit="1" customWidth="1"/>
    <col min="64" max="64" width="9.85546875" bestFit="1" customWidth="1"/>
    <col min="69" max="69" width="19.140625" bestFit="1" customWidth="1"/>
    <col min="70" max="70" width="13.42578125" bestFit="1" customWidth="1"/>
    <col min="71" max="71" width="14.140625" bestFit="1" customWidth="1"/>
    <col min="76" max="76" width="17.7109375" bestFit="1" customWidth="1"/>
  </cols>
  <sheetData>
    <row r="1" spans="1:78" s="1" customFormat="1" x14ac:dyDescent="0.25">
      <c r="A1" s="1" t="s">
        <v>0</v>
      </c>
      <c r="B1" s="1" t="s">
        <v>10</v>
      </c>
      <c r="C1" s="1" t="s">
        <v>9</v>
      </c>
      <c r="D1" s="1" t="s">
        <v>21</v>
      </c>
      <c r="E1" s="1" t="s">
        <v>11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37</v>
      </c>
      <c r="Q1" s="1" t="s">
        <v>38</v>
      </c>
      <c r="R1" s="1" t="s">
        <v>48</v>
      </c>
      <c r="S1" s="1" t="s">
        <v>39</v>
      </c>
      <c r="T1" s="1" t="s">
        <v>40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59</v>
      </c>
      <c r="AA1" s="1" t="s">
        <v>60</v>
      </c>
      <c r="AB1" s="1" t="s">
        <v>57</v>
      </c>
      <c r="AC1" s="1" t="s">
        <v>58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97</v>
      </c>
      <c r="AQ1" s="1" t="s">
        <v>98</v>
      </c>
      <c r="AR1" s="1" t="s">
        <v>99</v>
      </c>
      <c r="AS1" s="1" t="s">
        <v>109</v>
      </c>
      <c r="AT1" s="1" t="s">
        <v>96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117</v>
      </c>
      <c r="BB1" s="1" t="s">
        <v>118</v>
      </c>
      <c r="BC1" s="1" t="s">
        <v>119</v>
      </c>
      <c r="BD1" s="1" t="s">
        <v>120</v>
      </c>
      <c r="BF1" s="66" t="s">
        <v>148</v>
      </c>
      <c r="BG1" s="67"/>
      <c r="BH1" s="66" t="s">
        <v>149</v>
      </c>
      <c r="BI1" s="67"/>
      <c r="BJ1" s="66" t="s">
        <v>150</v>
      </c>
      <c r="BK1" s="68"/>
      <c r="BL1" s="67"/>
      <c r="BQ1" s="1" t="s">
        <v>167</v>
      </c>
      <c r="BR1" s="1" t="s">
        <v>169</v>
      </c>
      <c r="BS1" s="1" t="s">
        <v>168</v>
      </c>
      <c r="BT1" s="1" t="s">
        <v>170</v>
      </c>
      <c r="BU1" s="1" t="s">
        <v>171</v>
      </c>
      <c r="BX1" s="1" t="s">
        <v>180</v>
      </c>
      <c r="BY1" s="1" t="s">
        <v>181</v>
      </c>
      <c r="BZ1" s="1" t="s">
        <v>178</v>
      </c>
    </row>
    <row r="2" spans="1:78" x14ac:dyDescent="0.25">
      <c r="B2" t="s">
        <v>12</v>
      </c>
      <c r="C2" t="s">
        <v>13</v>
      </c>
      <c r="D2" t="s">
        <v>14</v>
      </c>
      <c r="E2" t="s">
        <v>15</v>
      </c>
      <c r="F2" t="s">
        <v>20</v>
      </c>
      <c r="G2" t="s">
        <v>92</v>
      </c>
      <c r="H2" t="s">
        <v>33</v>
      </c>
      <c r="I2" t="s">
        <v>93</v>
      </c>
      <c r="J2" t="s">
        <v>33</v>
      </c>
      <c r="K2" t="s">
        <v>34</v>
      </c>
      <c r="L2" t="s">
        <v>35</v>
      </c>
      <c r="M2" t="s">
        <v>36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49</v>
      </c>
      <c r="V2" t="s">
        <v>50</v>
      </c>
      <c r="W2" t="s">
        <v>51</v>
      </c>
      <c r="X2" t="s">
        <v>73</v>
      </c>
      <c r="Y2" t="s">
        <v>74</v>
      </c>
      <c r="Z2" s="6" t="s">
        <v>77</v>
      </c>
      <c r="AA2" s="6" t="s">
        <v>78</v>
      </c>
      <c r="AB2" t="s">
        <v>75</v>
      </c>
      <c r="AC2" t="s">
        <v>76</v>
      </c>
      <c r="AD2" t="s">
        <v>79</v>
      </c>
      <c r="AE2" t="s">
        <v>80</v>
      </c>
      <c r="AF2" t="s">
        <v>81</v>
      </c>
      <c r="AG2" t="s">
        <v>82</v>
      </c>
      <c r="AH2" t="s">
        <v>33</v>
      </c>
      <c r="AI2" t="s">
        <v>83</v>
      </c>
      <c r="AJ2" t="s">
        <v>84</v>
      </c>
      <c r="AK2" t="s">
        <v>85</v>
      </c>
      <c r="AL2" t="s">
        <v>86</v>
      </c>
      <c r="AM2" t="s">
        <v>87</v>
      </c>
      <c r="AN2" t="s">
        <v>88</v>
      </c>
      <c r="AO2" t="s">
        <v>89</v>
      </c>
      <c r="AP2" t="s">
        <v>106</v>
      </c>
      <c r="AQ2" t="s">
        <v>107</v>
      </c>
      <c r="AR2" t="s">
        <v>108</v>
      </c>
      <c r="AS2" t="s">
        <v>110</v>
      </c>
      <c r="AT2" t="s">
        <v>82</v>
      </c>
      <c r="AU2" t="s">
        <v>111</v>
      </c>
      <c r="AV2" t="s">
        <v>112</v>
      </c>
      <c r="AW2" t="s">
        <v>113</v>
      </c>
      <c r="AX2" t="s">
        <v>114</v>
      </c>
      <c r="AY2" t="s">
        <v>115</v>
      </c>
      <c r="AZ2" t="s">
        <v>116</v>
      </c>
      <c r="BA2" t="s">
        <v>121</v>
      </c>
      <c r="BB2" t="s">
        <v>122</v>
      </c>
      <c r="BC2" t="s">
        <v>123</v>
      </c>
      <c r="BD2" t="s">
        <v>124</v>
      </c>
      <c r="BF2" t="s">
        <v>163</v>
      </c>
      <c r="BG2" t="s">
        <v>164</v>
      </c>
      <c r="BH2" t="s">
        <v>151</v>
      </c>
      <c r="BI2" t="s">
        <v>152</v>
      </c>
      <c r="BJ2" t="s">
        <v>165</v>
      </c>
      <c r="BK2" t="s">
        <v>153</v>
      </c>
      <c r="BL2" t="s">
        <v>154</v>
      </c>
      <c r="BQ2" t="s">
        <v>155</v>
      </c>
      <c r="BR2" t="s">
        <v>156</v>
      </c>
      <c r="BS2" t="s">
        <v>157</v>
      </c>
      <c r="BT2" t="s">
        <v>172</v>
      </c>
      <c r="BU2" t="s">
        <v>173</v>
      </c>
      <c r="BX2" t="s">
        <v>182</v>
      </c>
      <c r="BY2" t="s">
        <v>183</v>
      </c>
      <c r="BZ2" t="s">
        <v>179</v>
      </c>
    </row>
    <row r="3" spans="1:78" x14ac:dyDescent="0.25">
      <c r="BF3" t="s">
        <v>158</v>
      </c>
      <c r="BG3" t="s">
        <v>159</v>
      </c>
      <c r="BH3" t="s">
        <v>77</v>
      </c>
      <c r="BI3" t="s">
        <v>78</v>
      </c>
      <c r="BJ3" t="s">
        <v>160</v>
      </c>
      <c r="BK3" t="s">
        <v>161</v>
      </c>
      <c r="BL3" t="s">
        <v>162</v>
      </c>
    </row>
  </sheetData>
  <mergeCells count="3">
    <mergeCell ref="BF1:BG1"/>
    <mergeCell ref="BH1:BI1"/>
    <mergeCell ref="BJ1:B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5F58-2A33-443A-A86B-5F8EFFA8B153}">
  <sheetPr codeName="Sheet12"/>
  <dimension ref="A1:AE73"/>
  <sheetViews>
    <sheetView workbookViewId="0">
      <pane ySplit="1" topLeftCell="A32" activePane="bottomLeft" state="frozen"/>
      <selection pane="bottomLeft" activeCell="F38" sqref="F38"/>
    </sheetView>
  </sheetViews>
  <sheetFormatPr defaultRowHeight="15" x14ac:dyDescent="0.25"/>
  <cols>
    <col min="1" max="1" width="12.28515625" bestFit="1" customWidth="1"/>
    <col min="2" max="2" width="18" bestFit="1" customWidth="1"/>
    <col min="3" max="3" width="19" customWidth="1"/>
    <col min="4" max="4" width="11.140625" bestFit="1" customWidth="1"/>
    <col min="5" max="5" width="15.5703125" bestFit="1" customWidth="1"/>
    <col min="6" max="6" width="13.140625" bestFit="1" customWidth="1"/>
    <col min="7" max="7" width="18.140625" bestFit="1" customWidth="1"/>
    <col min="8" max="8" width="9.7109375" bestFit="1" customWidth="1"/>
    <col min="9" max="9" width="15.140625" bestFit="1" customWidth="1"/>
    <col min="10" max="10" width="19.7109375" bestFit="1" customWidth="1"/>
    <col min="11" max="11" width="14.7109375" bestFit="1" customWidth="1"/>
    <col min="12" max="12" width="11.7109375" bestFit="1" customWidth="1"/>
    <col min="13" max="13" width="15.42578125" bestFit="1" customWidth="1"/>
    <col min="14" max="14" width="13.28515625" bestFit="1" customWidth="1"/>
    <col min="15" max="15" width="15.7109375" bestFit="1" customWidth="1"/>
    <col min="16" max="16" width="17" bestFit="1" customWidth="1"/>
    <col min="17" max="17" width="16.5703125" bestFit="1" customWidth="1"/>
    <col min="18" max="18" width="15" bestFit="1" customWidth="1"/>
    <col min="19" max="19" width="14.5703125" bestFit="1" customWidth="1"/>
    <col min="20" max="20" width="15.140625" bestFit="1" customWidth="1"/>
    <col min="21" max="21" width="9.85546875" bestFit="1" customWidth="1"/>
    <col min="22" max="22" width="12" bestFit="1" customWidth="1"/>
    <col min="23" max="23" width="7" bestFit="1" customWidth="1"/>
    <col min="24" max="24" width="21.85546875" bestFit="1" customWidth="1"/>
    <col min="25" max="25" width="14" bestFit="1" customWidth="1"/>
    <col min="26" max="26" width="14.7109375" bestFit="1" customWidth="1"/>
    <col min="27" max="27" width="28.42578125" bestFit="1" customWidth="1"/>
    <col min="28" max="28" width="14.140625" bestFit="1" customWidth="1"/>
    <col min="29" max="29" width="22.28515625" bestFit="1" customWidth="1"/>
    <col min="30" max="30" width="20.85546875" bestFit="1" customWidth="1"/>
    <col min="31" max="31" width="16.85546875" bestFit="1" customWidth="1"/>
  </cols>
  <sheetData>
    <row r="1" spans="1:31" s="1" customFormat="1" ht="15.75" thickBot="1" x14ac:dyDescent="0.3">
      <c r="A1" s="1" t="s">
        <v>0</v>
      </c>
      <c r="B1" s="1" t="s">
        <v>91</v>
      </c>
      <c r="C1" s="1" t="s">
        <v>90</v>
      </c>
      <c r="D1" s="13" t="s">
        <v>94</v>
      </c>
    </row>
    <row r="2" spans="1:31" x14ac:dyDescent="0.25">
      <c r="A2" t="s">
        <v>1</v>
      </c>
      <c r="B2" t="s">
        <v>10</v>
      </c>
      <c r="C2" s="4">
        <v>174.548</v>
      </c>
      <c r="D2" s="6"/>
      <c r="E2" s="7"/>
      <c r="F2" s="8"/>
      <c r="G2" s="8"/>
      <c r="H2" s="5"/>
      <c r="I2" s="6"/>
      <c r="J2" s="6"/>
      <c r="K2" s="9"/>
      <c r="L2" s="9"/>
      <c r="M2" s="6"/>
      <c r="N2" s="6"/>
      <c r="P2" s="6"/>
      <c r="Q2" s="6"/>
      <c r="R2" s="10"/>
      <c r="S2" s="10"/>
      <c r="T2" s="6"/>
      <c r="U2" s="6"/>
      <c r="V2" s="6"/>
      <c r="W2" s="6"/>
      <c r="X2" s="6"/>
      <c r="Y2" s="3"/>
      <c r="Z2" s="3"/>
      <c r="AA2" s="3"/>
      <c r="AB2" s="3"/>
      <c r="AC2" s="12"/>
      <c r="AD2" s="12"/>
      <c r="AE2" s="12"/>
    </row>
    <row r="3" spans="1:31" x14ac:dyDescent="0.25">
      <c r="A3" t="s">
        <v>2</v>
      </c>
      <c r="B3" t="s">
        <v>10</v>
      </c>
      <c r="C3" s="4">
        <v>409.9</v>
      </c>
      <c r="D3" s="6"/>
      <c r="E3" s="7"/>
      <c r="F3" s="8"/>
      <c r="G3" s="8"/>
      <c r="H3" s="5"/>
      <c r="I3" s="6"/>
      <c r="J3" s="6"/>
      <c r="K3" s="9"/>
      <c r="L3" s="9"/>
      <c r="M3" s="6"/>
      <c r="N3" s="6"/>
      <c r="P3" s="6"/>
      <c r="Q3" s="6"/>
      <c r="R3" s="10"/>
      <c r="S3" s="10"/>
      <c r="T3" s="6"/>
      <c r="U3" s="6"/>
      <c r="V3" s="6"/>
      <c r="W3" s="6"/>
      <c r="X3" s="6"/>
      <c r="Y3" s="3"/>
      <c r="Z3" s="3"/>
      <c r="AA3" s="3"/>
      <c r="AB3" s="3"/>
      <c r="AC3" s="12"/>
      <c r="AD3" s="12"/>
      <c r="AE3" s="12"/>
    </row>
    <row r="4" spans="1:31" x14ac:dyDescent="0.25">
      <c r="A4" t="s">
        <v>3</v>
      </c>
      <c r="B4" t="s">
        <v>10</v>
      </c>
      <c r="C4" s="4">
        <v>147.83192668860107</v>
      </c>
      <c r="D4" s="6"/>
      <c r="E4" s="7"/>
      <c r="F4" s="8"/>
      <c r="G4" s="8"/>
      <c r="H4" s="5"/>
      <c r="I4" s="6"/>
      <c r="J4" s="6"/>
      <c r="K4" s="9"/>
      <c r="L4" s="9"/>
      <c r="M4" s="6"/>
      <c r="N4" s="6"/>
      <c r="P4" s="6"/>
      <c r="Q4" s="6"/>
      <c r="R4" s="10"/>
      <c r="S4" s="10"/>
      <c r="T4" s="6"/>
      <c r="U4" s="6"/>
      <c r="V4" s="6"/>
      <c r="W4" s="6"/>
      <c r="X4" s="6"/>
      <c r="Y4" s="3"/>
      <c r="Z4" s="3"/>
      <c r="AA4" s="3"/>
      <c r="AB4" s="3"/>
      <c r="AC4" s="12"/>
      <c r="AD4" s="12"/>
      <c r="AE4" s="12"/>
    </row>
    <row r="5" spans="1:31" x14ac:dyDescent="0.25">
      <c r="A5" t="s">
        <v>4</v>
      </c>
      <c r="B5" t="s">
        <v>10</v>
      </c>
      <c r="C5" s="4">
        <v>422.842815850774</v>
      </c>
      <c r="D5" s="6"/>
      <c r="E5" s="7"/>
      <c r="F5" s="8"/>
      <c r="G5" s="8"/>
      <c r="H5" s="5"/>
      <c r="I5" s="6"/>
      <c r="J5" s="6"/>
      <c r="K5" s="9"/>
      <c r="L5" s="9"/>
      <c r="M5" s="6"/>
      <c r="N5" s="6"/>
      <c r="P5" s="6"/>
      <c r="Q5" s="6"/>
      <c r="R5" s="10"/>
      <c r="S5" s="11"/>
      <c r="T5" s="6"/>
      <c r="U5" s="6"/>
      <c r="V5" s="6"/>
      <c r="W5" s="6"/>
      <c r="X5" s="6"/>
      <c r="Y5" s="3"/>
      <c r="Z5" s="3"/>
      <c r="AA5" s="3"/>
      <c r="AB5" s="3"/>
      <c r="AC5" s="12"/>
      <c r="AD5" s="12"/>
      <c r="AE5" s="12"/>
    </row>
    <row r="6" spans="1:31" x14ac:dyDescent="0.25">
      <c r="A6" t="s">
        <v>7</v>
      </c>
      <c r="B6" t="s">
        <v>10</v>
      </c>
      <c r="C6" s="4">
        <v>733.2</v>
      </c>
      <c r="D6" s="6"/>
      <c r="E6" s="7"/>
      <c r="F6" s="8"/>
      <c r="G6" s="8"/>
      <c r="H6" s="5"/>
      <c r="I6" s="6"/>
      <c r="J6" s="6"/>
      <c r="K6" s="9"/>
      <c r="L6" s="9"/>
      <c r="M6" s="6"/>
      <c r="N6" s="6"/>
      <c r="P6" s="6"/>
      <c r="Q6" s="6"/>
      <c r="R6" s="10"/>
      <c r="S6" s="10"/>
      <c r="T6" s="6"/>
      <c r="U6" s="6"/>
      <c r="V6" s="6"/>
      <c r="W6" s="6"/>
      <c r="X6" s="6"/>
      <c r="Y6" s="3"/>
      <c r="Z6" s="3"/>
      <c r="AA6" s="3"/>
      <c r="AB6" s="3"/>
      <c r="AC6" s="12"/>
      <c r="AD6" s="12"/>
      <c r="AE6" s="12"/>
    </row>
    <row r="7" spans="1:31" x14ac:dyDescent="0.25">
      <c r="A7" t="s">
        <v>8</v>
      </c>
      <c r="B7" t="s">
        <v>10</v>
      </c>
      <c r="C7" s="4">
        <v>0</v>
      </c>
      <c r="D7" s="6"/>
      <c r="E7" s="7"/>
      <c r="F7" s="8"/>
      <c r="G7" s="8"/>
      <c r="H7" s="5"/>
      <c r="I7" s="6"/>
      <c r="J7" s="6"/>
      <c r="K7" s="9"/>
      <c r="L7" s="9"/>
      <c r="M7" s="6"/>
      <c r="N7" s="6"/>
      <c r="P7" s="6"/>
      <c r="Q7" s="6"/>
      <c r="R7" s="10"/>
      <c r="S7" s="10"/>
      <c r="T7" s="6"/>
      <c r="U7" s="6"/>
      <c r="V7" s="6"/>
      <c r="W7" s="6"/>
      <c r="X7" s="6"/>
      <c r="Y7" s="3"/>
      <c r="Z7" s="3"/>
      <c r="AA7" s="3"/>
      <c r="AB7" s="3"/>
      <c r="AC7" s="12"/>
      <c r="AD7" s="12"/>
      <c r="AE7" s="12"/>
    </row>
    <row r="8" spans="1:31" x14ac:dyDescent="0.25">
      <c r="A8" t="s">
        <v>5</v>
      </c>
      <c r="B8" t="s">
        <v>10</v>
      </c>
      <c r="C8" s="4">
        <v>330.34559367470763</v>
      </c>
      <c r="D8" s="6"/>
      <c r="E8" s="7"/>
      <c r="F8" s="8"/>
      <c r="G8" s="8"/>
      <c r="H8" s="5"/>
      <c r="I8" s="6"/>
      <c r="J8" s="6"/>
      <c r="K8" s="9"/>
      <c r="L8" s="9"/>
      <c r="M8" s="6"/>
      <c r="N8" s="6"/>
      <c r="P8" s="6"/>
      <c r="Q8" s="6"/>
      <c r="R8" s="10"/>
      <c r="S8" s="10"/>
      <c r="T8" s="6"/>
      <c r="U8" s="6"/>
      <c r="V8" s="6"/>
      <c r="W8" s="6"/>
      <c r="X8" s="6"/>
      <c r="Y8" s="3"/>
      <c r="Z8" s="3"/>
      <c r="AA8" s="3"/>
      <c r="AB8" s="3"/>
      <c r="AC8" s="12"/>
      <c r="AD8" s="12"/>
      <c r="AE8" s="12"/>
    </row>
    <row r="9" spans="1:31" x14ac:dyDescent="0.25">
      <c r="A9" t="s">
        <v>6</v>
      </c>
      <c r="B9" t="s">
        <v>10</v>
      </c>
      <c r="C9" s="4">
        <v>225</v>
      </c>
      <c r="D9" s="6"/>
      <c r="E9" s="7"/>
      <c r="F9" s="8"/>
      <c r="G9" s="8"/>
      <c r="H9" s="5"/>
      <c r="I9" s="6"/>
      <c r="J9" s="6"/>
      <c r="K9" s="9"/>
      <c r="L9" s="9"/>
      <c r="M9" s="6"/>
      <c r="N9" s="6"/>
      <c r="P9" s="6"/>
      <c r="Q9" s="6"/>
      <c r="R9" s="10"/>
      <c r="S9" s="11"/>
      <c r="T9" s="6"/>
      <c r="U9" s="6"/>
      <c r="V9" s="6"/>
      <c r="W9" s="6"/>
      <c r="X9" s="6"/>
      <c r="Y9" s="3"/>
      <c r="Z9" s="3"/>
      <c r="AA9" s="3"/>
      <c r="AB9" s="3"/>
      <c r="AC9" s="12"/>
      <c r="AD9" s="12"/>
      <c r="AE9" s="12"/>
    </row>
    <row r="10" spans="1:31" x14ac:dyDescent="0.25">
      <c r="A10" t="s">
        <v>1</v>
      </c>
      <c r="B10" t="s">
        <v>9</v>
      </c>
      <c r="C10" s="4">
        <v>67.885999999999996</v>
      </c>
      <c r="D10" s="6"/>
    </row>
    <row r="11" spans="1:31" x14ac:dyDescent="0.25">
      <c r="A11" t="s">
        <v>2</v>
      </c>
      <c r="B11" t="s">
        <v>9</v>
      </c>
      <c r="C11" s="4">
        <v>131.53244338655193</v>
      </c>
      <c r="D11" s="6"/>
    </row>
    <row r="12" spans="1:31" x14ac:dyDescent="0.25">
      <c r="A12" t="s">
        <v>3</v>
      </c>
      <c r="B12" t="s">
        <v>9</v>
      </c>
      <c r="C12" s="4">
        <v>21.131331259349384</v>
      </c>
      <c r="D12" s="6"/>
    </row>
    <row r="13" spans="1:31" x14ac:dyDescent="0.25">
      <c r="A13" t="s">
        <v>4</v>
      </c>
      <c r="B13" t="s">
        <v>9</v>
      </c>
      <c r="C13" s="4">
        <v>157.11280157393151</v>
      </c>
      <c r="D13" s="6"/>
    </row>
    <row r="14" spans="1:31" x14ac:dyDescent="0.25">
      <c r="A14" t="s">
        <v>7</v>
      </c>
      <c r="B14" t="s">
        <v>9</v>
      </c>
      <c r="C14" s="4">
        <v>281.40000000000003</v>
      </c>
      <c r="D14" s="6"/>
    </row>
    <row r="15" spans="1:31" x14ac:dyDescent="0.25">
      <c r="A15" t="s">
        <v>8</v>
      </c>
      <c r="B15" t="s">
        <v>9</v>
      </c>
      <c r="C15" s="4">
        <v>0</v>
      </c>
      <c r="D15" s="6"/>
    </row>
    <row r="16" spans="1:31" x14ac:dyDescent="0.25">
      <c r="A16" t="s">
        <v>5</v>
      </c>
      <c r="B16" t="s">
        <v>9</v>
      </c>
      <c r="C16" s="4">
        <v>45.07303916553245</v>
      </c>
    </row>
    <row r="17" spans="1:4" x14ac:dyDescent="0.25">
      <c r="A17" t="s">
        <v>6</v>
      </c>
      <c r="B17" t="s">
        <v>9</v>
      </c>
      <c r="C17" s="4">
        <v>814.23561538536524</v>
      </c>
    </row>
    <row r="18" spans="1:4" x14ac:dyDescent="0.25">
      <c r="A18" t="s">
        <v>1</v>
      </c>
      <c r="B18" t="s">
        <v>21</v>
      </c>
      <c r="C18" s="3">
        <v>106.66200000000001</v>
      </c>
      <c r="D18" s="6">
        <v>0.61107546348282427</v>
      </c>
    </row>
    <row r="19" spans="1:4" x14ac:dyDescent="0.25">
      <c r="A19" t="s">
        <v>2</v>
      </c>
      <c r="B19" t="s">
        <v>21</v>
      </c>
      <c r="C19" s="3">
        <v>278.36755661344807</v>
      </c>
      <c r="D19" s="6">
        <v>0.67911089683690673</v>
      </c>
    </row>
    <row r="20" spans="1:4" x14ac:dyDescent="0.25">
      <c r="A20" t="s">
        <v>3</v>
      </c>
      <c r="B20" t="s">
        <v>21</v>
      </c>
      <c r="C20" s="3">
        <v>126.70059542925169</v>
      </c>
      <c r="D20" s="6">
        <v>0.85705840590266247</v>
      </c>
    </row>
    <row r="21" spans="1:4" x14ac:dyDescent="0.25">
      <c r="A21" t="s">
        <v>4</v>
      </c>
      <c r="B21" t="s">
        <v>21</v>
      </c>
      <c r="C21" s="3">
        <v>265.7300142768425</v>
      </c>
      <c r="D21" s="6">
        <v>0.62843686664555187</v>
      </c>
    </row>
    <row r="22" spans="1:4" x14ac:dyDescent="0.25">
      <c r="A22" t="s">
        <v>7</v>
      </c>
      <c r="B22" t="s">
        <v>21</v>
      </c>
      <c r="C22" s="3">
        <v>451.8</v>
      </c>
      <c r="D22" s="6">
        <v>0.61620294599018</v>
      </c>
    </row>
    <row r="23" spans="1:4" x14ac:dyDescent="0.25">
      <c r="A23" t="s">
        <v>8</v>
      </c>
      <c r="B23" t="s">
        <v>21</v>
      </c>
      <c r="C23" s="3">
        <v>0</v>
      </c>
      <c r="D23" s="6">
        <v>0</v>
      </c>
    </row>
    <row r="24" spans="1:4" x14ac:dyDescent="0.25">
      <c r="A24" t="s">
        <v>5</v>
      </c>
      <c r="B24" t="s">
        <v>21</v>
      </c>
      <c r="C24" s="3">
        <v>285.27255450917517</v>
      </c>
      <c r="D24" s="6">
        <v>0.86355792228330419</v>
      </c>
    </row>
    <row r="25" spans="1:4" x14ac:dyDescent="0.25">
      <c r="A25" t="s">
        <v>6</v>
      </c>
      <c r="B25" t="s">
        <v>21</v>
      </c>
      <c r="C25" s="3">
        <v>114.9</v>
      </c>
      <c r="D25" s="6">
        <v>0.51066666666666671</v>
      </c>
    </row>
    <row r="26" spans="1:4" x14ac:dyDescent="0.25">
      <c r="A26" t="s">
        <v>1</v>
      </c>
      <c r="B26" t="s">
        <v>11</v>
      </c>
      <c r="C26" s="3">
        <v>67.722999999999999</v>
      </c>
      <c r="D26" s="6">
        <v>0.38799069596901709</v>
      </c>
    </row>
    <row r="27" spans="1:4" x14ac:dyDescent="0.25">
      <c r="A27" t="s">
        <v>2</v>
      </c>
      <c r="B27" t="s">
        <v>11</v>
      </c>
      <c r="C27" s="3">
        <v>182.33916814922807</v>
      </c>
      <c r="D27" s="6">
        <v>0.44483817552873406</v>
      </c>
    </row>
    <row r="28" spans="1:4" x14ac:dyDescent="0.25">
      <c r="A28" t="s">
        <v>3</v>
      </c>
      <c r="B28" t="s">
        <v>11</v>
      </c>
      <c r="C28" s="3">
        <v>96.525715171483853</v>
      </c>
      <c r="D28" s="6">
        <v>0.65294227934138593</v>
      </c>
    </row>
    <row r="29" spans="1:4" x14ac:dyDescent="0.25">
      <c r="A29" t="s">
        <v>4</v>
      </c>
      <c r="B29" t="s">
        <v>11</v>
      </c>
      <c r="C29" s="3">
        <v>146.57501809023958</v>
      </c>
      <c r="D29" s="6">
        <v>0.346641855071667</v>
      </c>
    </row>
    <row r="30" spans="1:4" x14ac:dyDescent="0.25">
      <c r="A30" t="s">
        <v>7</v>
      </c>
      <c r="B30" t="s">
        <v>11</v>
      </c>
      <c r="C30" s="3">
        <v>263.39999999999998</v>
      </c>
      <c r="D30" s="6">
        <v>0.35924713584288048</v>
      </c>
    </row>
    <row r="31" spans="1:4" x14ac:dyDescent="0.25">
      <c r="A31" t="s">
        <v>8</v>
      </c>
      <c r="B31" t="s">
        <v>11</v>
      </c>
      <c r="C31" s="3">
        <v>0</v>
      </c>
      <c r="D31" s="6">
        <v>0</v>
      </c>
    </row>
    <row r="32" spans="1:4" x14ac:dyDescent="0.25">
      <c r="A32" t="s">
        <v>5</v>
      </c>
      <c r="B32" t="s">
        <v>11</v>
      </c>
      <c r="C32" s="3">
        <v>156.92549567202792</v>
      </c>
      <c r="D32" s="6">
        <v>0.47503432368028786</v>
      </c>
    </row>
    <row r="33" spans="1:4" x14ac:dyDescent="0.25">
      <c r="A33" t="s">
        <v>6</v>
      </c>
      <c r="B33" t="s">
        <v>11</v>
      </c>
      <c r="C33" s="3">
        <v>99.100000000000009</v>
      </c>
      <c r="D33" s="6">
        <v>0.44044444444444447</v>
      </c>
    </row>
    <row r="34" spans="1:4" x14ac:dyDescent="0.25">
      <c r="A34" t="s">
        <v>1</v>
      </c>
      <c r="B34" t="s">
        <v>16</v>
      </c>
      <c r="C34" s="3">
        <v>38.939000000000021</v>
      </c>
      <c r="D34" s="6">
        <v>0.22308476751380721</v>
      </c>
    </row>
    <row r="35" spans="1:4" x14ac:dyDescent="0.25">
      <c r="A35" t="s">
        <v>2</v>
      </c>
      <c r="B35" t="s">
        <v>16</v>
      </c>
      <c r="C35" s="3">
        <v>96.028388464219972</v>
      </c>
      <c r="D35" s="6">
        <v>0.23427272130817267</v>
      </c>
    </row>
    <row r="36" spans="1:4" x14ac:dyDescent="0.25">
      <c r="A36" t="s">
        <v>3</v>
      </c>
      <c r="B36" t="s">
        <v>16</v>
      </c>
      <c r="C36" s="3">
        <v>30.174880257767839</v>
      </c>
      <c r="D36" s="6">
        <v>0.20411612656127645</v>
      </c>
    </row>
    <row r="37" spans="1:4" x14ac:dyDescent="0.25">
      <c r="A37" t="s">
        <v>4</v>
      </c>
      <c r="B37" t="s">
        <v>16</v>
      </c>
      <c r="C37" s="3">
        <v>119.15499618660289</v>
      </c>
      <c r="D37" s="6">
        <v>0.28179501157388476</v>
      </c>
    </row>
    <row r="38" spans="1:4" x14ac:dyDescent="0.25">
      <c r="A38" t="s">
        <v>7</v>
      </c>
      <c r="B38" t="s">
        <v>16</v>
      </c>
      <c r="C38" s="3">
        <v>188.40000000000009</v>
      </c>
      <c r="D38" s="6">
        <v>0.25695581014729962</v>
      </c>
    </row>
    <row r="39" spans="1:4" x14ac:dyDescent="0.25">
      <c r="A39" t="s">
        <v>8</v>
      </c>
      <c r="B39" t="s">
        <v>16</v>
      </c>
      <c r="C39" s="3">
        <v>0</v>
      </c>
      <c r="D39" s="6">
        <v>0</v>
      </c>
    </row>
    <row r="40" spans="1:4" x14ac:dyDescent="0.25">
      <c r="A40" t="s">
        <v>5</v>
      </c>
      <c r="B40" t="s">
        <v>16</v>
      </c>
      <c r="C40" s="3">
        <v>128.34705883714724</v>
      </c>
      <c r="D40" s="6">
        <v>0.38852359860301633</v>
      </c>
    </row>
    <row r="41" spans="1:4" x14ac:dyDescent="0.25">
      <c r="A41" t="s">
        <v>6</v>
      </c>
      <c r="B41" t="s">
        <v>16</v>
      </c>
      <c r="C41" s="3">
        <v>15.800000000000011</v>
      </c>
      <c r="D41" s="6">
        <v>7.0222222222222269E-2</v>
      </c>
    </row>
    <row r="42" spans="1:4" x14ac:dyDescent="0.25">
      <c r="A42" t="s">
        <v>1</v>
      </c>
      <c r="B42" t="s">
        <v>95</v>
      </c>
      <c r="C42" s="6"/>
      <c r="D42" s="6">
        <v>0.38799069596901709</v>
      </c>
    </row>
    <row r="43" spans="1:4" x14ac:dyDescent="0.25">
      <c r="A43" t="s">
        <v>2</v>
      </c>
      <c r="B43" t="s">
        <v>95</v>
      </c>
      <c r="C43" s="6"/>
      <c r="D43" s="6">
        <v>0.44483817552873406</v>
      </c>
    </row>
    <row r="44" spans="1:4" x14ac:dyDescent="0.25">
      <c r="A44" t="s">
        <v>3</v>
      </c>
      <c r="B44" t="s">
        <v>95</v>
      </c>
      <c r="C44" s="6"/>
      <c r="D44" s="6">
        <v>0.65802913721332601</v>
      </c>
    </row>
    <row r="45" spans="1:4" x14ac:dyDescent="0.25">
      <c r="A45" t="s">
        <v>4</v>
      </c>
      <c r="B45" t="s">
        <v>95</v>
      </c>
      <c r="C45" s="6"/>
      <c r="D45" s="6">
        <v>0.39811824242742588</v>
      </c>
    </row>
    <row r="46" spans="1:4" x14ac:dyDescent="0.25">
      <c r="A46" t="s">
        <v>7</v>
      </c>
      <c r="B46" t="s">
        <v>95</v>
      </c>
      <c r="C46" s="6"/>
      <c r="D46" s="6">
        <v>0.35924713584288054</v>
      </c>
    </row>
    <row r="47" spans="1:4" x14ac:dyDescent="0.25">
      <c r="A47" t="s">
        <v>8</v>
      </c>
      <c r="B47" t="s">
        <v>95</v>
      </c>
      <c r="C47" s="6"/>
      <c r="D47" s="6">
        <v>0</v>
      </c>
    </row>
    <row r="48" spans="1:4" x14ac:dyDescent="0.25">
      <c r="A48" t="s">
        <v>5</v>
      </c>
      <c r="B48" t="s">
        <v>95</v>
      </c>
      <c r="C48" s="6"/>
      <c r="D48" s="6">
        <v>0.51220760879482219</v>
      </c>
    </row>
    <row r="49" spans="1:4" x14ac:dyDescent="0.25">
      <c r="A49" t="s">
        <v>6</v>
      </c>
      <c r="B49" t="s">
        <v>95</v>
      </c>
      <c r="C49" s="6"/>
      <c r="D49" s="6">
        <v>0.44044444444444447</v>
      </c>
    </row>
    <row r="50" spans="1:4" x14ac:dyDescent="0.25">
      <c r="A50" t="s">
        <v>1</v>
      </c>
      <c r="B50" t="s">
        <v>22</v>
      </c>
      <c r="C50" s="3">
        <v>0</v>
      </c>
    </row>
    <row r="51" spans="1:4" x14ac:dyDescent="0.25">
      <c r="A51" t="s">
        <v>2</v>
      </c>
      <c r="B51" t="s">
        <v>22</v>
      </c>
      <c r="C51" s="3">
        <v>0</v>
      </c>
    </row>
    <row r="52" spans="1:4" x14ac:dyDescent="0.25">
      <c r="A52" t="s">
        <v>3</v>
      </c>
      <c r="B52" t="s">
        <v>22</v>
      </c>
      <c r="C52" s="3">
        <v>0.752</v>
      </c>
    </row>
    <row r="53" spans="1:4" x14ac:dyDescent="0.25">
      <c r="A53" t="s">
        <v>4</v>
      </c>
      <c r="B53" t="s">
        <v>22</v>
      </c>
      <c r="C53" s="3">
        <v>21.766420579334259</v>
      </c>
    </row>
    <row r="54" spans="1:4" x14ac:dyDescent="0.25">
      <c r="A54" t="s">
        <v>7</v>
      </c>
      <c r="B54" t="s">
        <v>22</v>
      </c>
      <c r="C54" s="3">
        <v>0</v>
      </c>
    </row>
    <row r="55" spans="1:4" x14ac:dyDescent="0.25">
      <c r="A55" t="s">
        <v>8</v>
      </c>
      <c r="B55" t="s">
        <v>22</v>
      </c>
      <c r="C55" s="3">
        <v>0</v>
      </c>
    </row>
    <row r="56" spans="1:4" x14ac:dyDescent="0.25">
      <c r="A56" t="s">
        <v>5</v>
      </c>
      <c r="B56" t="s">
        <v>22</v>
      </c>
      <c r="C56" s="3">
        <v>12.280030940000001</v>
      </c>
    </row>
    <row r="57" spans="1:4" x14ac:dyDescent="0.25">
      <c r="A57" t="s">
        <v>6</v>
      </c>
      <c r="B57" t="s">
        <v>22</v>
      </c>
      <c r="C57" s="3">
        <v>0</v>
      </c>
    </row>
    <row r="58" spans="1:4" x14ac:dyDescent="0.25">
      <c r="A58" t="s">
        <v>1</v>
      </c>
      <c r="B58" t="s">
        <v>23</v>
      </c>
      <c r="C58" s="8">
        <v>3.7519999999999998</v>
      </c>
    </row>
    <row r="59" spans="1:4" x14ac:dyDescent="0.25">
      <c r="A59" t="s">
        <v>2</v>
      </c>
      <c r="B59" t="s">
        <v>23</v>
      </c>
      <c r="C59" s="8">
        <v>14.142799999999999</v>
      </c>
    </row>
    <row r="60" spans="1:4" x14ac:dyDescent="0.25">
      <c r="A60" t="s">
        <v>3</v>
      </c>
      <c r="B60" t="s">
        <v>23</v>
      </c>
      <c r="C60" s="8">
        <v>0.84319699999999997</v>
      </c>
    </row>
    <row r="61" spans="1:4" x14ac:dyDescent="0.25">
      <c r="A61" t="s">
        <v>4</v>
      </c>
      <c r="B61" t="s">
        <v>23</v>
      </c>
      <c r="C61" s="8">
        <v>2.2335794206657402</v>
      </c>
    </row>
    <row r="62" spans="1:4" x14ac:dyDescent="0.25">
      <c r="A62" t="s">
        <v>7</v>
      </c>
      <c r="B62" t="s">
        <v>23</v>
      </c>
      <c r="C62" s="8">
        <v>0</v>
      </c>
    </row>
    <row r="63" spans="1:4" x14ac:dyDescent="0.25">
      <c r="A63" t="s">
        <v>8</v>
      </c>
      <c r="B63" t="s">
        <v>23</v>
      </c>
      <c r="C63" s="8">
        <v>0</v>
      </c>
    </row>
    <row r="64" spans="1:4" x14ac:dyDescent="0.25">
      <c r="A64" t="s">
        <v>5</v>
      </c>
      <c r="B64" t="s">
        <v>23</v>
      </c>
      <c r="C64" s="8">
        <v>5</v>
      </c>
    </row>
    <row r="65" spans="1:3" x14ac:dyDescent="0.25">
      <c r="A65" t="s">
        <v>6</v>
      </c>
      <c r="B65" t="s">
        <v>23</v>
      </c>
      <c r="C65" s="8">
        <v>3.5</v>
      </c>
    </row>
    <row r="66" spans="1:3" x14ac:dyDescent="0.25">
      <c r="B66" t="s">
        <v>24</v>
      </c>
    </row>
    <row r="67" spans="1:3" x14ac:dyDescent="0.25">
      <c r="B67" t="s">
        <v>24</v>
      </c>
    </row>
    <row r="68" spans="1:3" x14ac:dyDescent="0.25">
      <c r="B68" t="s">
        <v>24</v>
      </c>
    </row>
    <row r="69" spans="1:3" x14ac:dyDescent="0.25">
      <c r="B69" t="s">
        <v>24</v>
      </c>
    </row>
    <row r="70" spans="1:3" x14ac:dyDescent="0.25">
      <c r="B70" t="s">
        <v>24</v>
      </c>
    </row>
    <row r="71" spans="1:3" x14ac:dyDescent="0.25">
      <c r="B71" t="s">
        <v>24</v>
      </c>
    </row>
    <row r="72" spans="1:3" x14ac:dyDescent="0.25">
      <c r="B72" t="s">
        <v>24</v>
      </c>
    </row>
    <row r="73" spans="1:3" x14ac:dyDescent="0.25">
      <c r="B73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44F1-8159-4A92-AD67-BCCA96CDDCC7}">
  <sheetPr codeName="Sheet2"/>
  <dimension ref="A1:Y50"/>
  <sheetViews>
    <sheetView workbookViewId="0">
      <pane xSplit="1" topLeftCell="B1" activePane="topRight" state="frozen"/>
      <selection pane="topRight" activeCell="A10" sqref="A10"/>
    </sheetView>
  </sheetViews>
  <sheetFormatPr defaultRowHeight="15" x14ac:dyDescent="0.25"/>
  <cols>
    <col min="1" max="1" width="12.28515625" bestFit="1" customWidth="1"/>
    <col min="2" max="2" width="19" customWidth="1"/>
    <col min="3" max="3" width="8.42578125" bestFit="1" customWidth="1"/>
    <col min="4" max="6" width="8.7109375" bestFit="1" customWidth="1"/>
    <col min="7" max="7" width="6.28515625" bestFit="1" customWidth="1"/>
    <col min="8" max="8" width="7.5703125" bestFit="1" customWidth="1"/>
    <col min="9" max="9" width="9.28515625" bestFit="1" customWidth="1"/>
    <col min="10" max="10" width="19.28515625" bestFit="1" customWidth="1"/>
    <col min="11" max="11" width="16.28515625" bestFit="1" customWidth="1"/>
    <col min="12" max="12" width="16.140625" bestFit="1" customWidth="1"/>
    <col min="13" max="13" width="5" bestFit="1" customWidth="1"/>
    <col min="14" max="14" width="11.140625" bestFit="1" customWidth="1"/>
    <col min="15" max="15" width="15.5703125" bestFit="1" customWidth="1"/>
    <col min="16" max="16" width="13.140625" bestFit="1" customWidth="1"/>
    <col min="17" max="17" width="18.140625" bestFit="1" customWidth="1"/>
    <col min="18" max="18" width="9.7109375" bestFit="1" customWidth="1"/>
    <col min="19" max="19" width="16.42578125" bestFit="1" customWidth="1"/>
    <col min="20" max="20" width="19.7109375" bestFit="1" customWidth="1"/>
    <col min="21" max="21" width="14.7109375" bestFit="1" customWidth="1"/>
    <col min="22" max="22" width="11.7109375" bestFit="1" customWidth="1"/>
    <col min="23" max="23" width="15.42578125" bestFit="1" customWidth="1"/>
    <col min="24" max="24" width="13.28515625" bestFit="1" customWidth="1"/>
    <col min="25" max="25" width="15.7109375" bestFit="1" customWidth="1"/>
  </cols>
  <sheetData>
    <row r="1" spans="1:25" s="1" customFormat="1" x14ac:dyDescent="0.25">
      <c r="A1" s="1" t="s">
        <v>0</v>
      </c>
      <c r="B1" s="1" t="s">
        <v>10</v>
      </c>
      <c r="C1" s="1" t="s">
        <v>9</v>
      </c>
      <c r="D1" s="1" t="s">
        <v>21</v>
      </c>
      <c r="E1" s="1" t="s">
        <v>11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192</v>
      </c>
      <c r="Q1" s="1" t="s">
        <v>193</v>
      </c>
      <c r="R1" s="1" t="s">
        <v>48</v>
      </c>
      <c r="S1" s="1" t="s">
        <v>194</v>
      </c>
      <c r="T1" s="1" t="s">
        <v>195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t="s">
        <v>1</v>
      </c>
      <c r="B2" s="3">
        <v>174.548</v>
      </c>
      <c r="C2" s="4">
        <v>67.885999999999996</v>
      </c>
      <c r="D2" s="3">
        <v>106.66200000000001</v>
      </c>
      <c r="E2" s="3">
        <v>67.722999999999999</v>
      </c>
      <c r="F2" s="3">
        <v>38.939000000000021</v>
      </c>
      <c r="G2" s="6">
        <f>D2/B2</f>
        <v>0.61107546348282427</v>
      </c>
      <c r="H2" s="6">
        <f>E2/B2</f>
        <v>0.38799069596901709</v>
      </c>
      <c r="I2" s="6">
        <f>F2/B2</f>
        <v>0.22308476751380721</v>
      </c>
      <c r="J2" s="6">
        <v>0.38799069596901709</v>
      </c>
      <c r="K2" s="8">
        <v>0</v>
      </c>
      <c r="L2" s="8">
        <v>3.7519999999999998</v>
      </c>
      <c r="M2" s="7">
        <v>426.75</v>
      </c>
      <c r="N2" s="7">
        <v>143.5</v>
      </c>
      <c r="O2" s="7">
        <f>M2+N2</f>
        <v>570.25</v>
      </c>
      <c r="P2" s="8">
        <v>67.635999999999996</v>
      </c>
      <c r="Q2" s="8">
        <v>67.972999999999985</v>
      </c>
      <c r="R2" s="5">
        <f>P2+Q2</f>
        <v>135.60899999999998</v>
      </c>
      <c r="S2" s="6">
        <f>P2/R2</f>
        <v>0.49875745710092995</v>
      </c>
      <c r="T2" s="6">
        <f>Q2/R2</f>
        <v>0.50124254289907011</v>
      </c>
      <c r="U2" s="9">
        <v>167.661</v>
      </c>
      <c r="V2" s="9">
        <v>41.271999999999991</v>
      </c>
      <c r="W2" s="6">
        <f>(B2-U2)/U2</f>
        <v>4.1076935005755662E-2</v>
      </c>
      <c r="X2" s="6">
        <f>(F2-V2)/V2</f>
        <v>-5.6527427796083794E-2</v>
      </c>
      <c r="Y2" t="s">
        <v>52</v>
      </c>
    </row>
    <row r="3" spans="1:25" x14ac:dyDescent="0.25">
      <c r="A3" t="s">
        <v>2</v>
      </c>
      <c r="B3" s="3">
        <v>409.9</v>
      </c>
      <c r="C3" s="4">
        <v>131.53244338655193</v>
      </c>
      <c r="D3" s="3">
        <v>278.36755661344807</v>
      </c>
      <c r="E3" s="3">
        <v>182.33916814922807</v>
      </c>
      <c r="F3" s="3">
        <v>96.028388464219972</v>
      </c>
      <c r="G3" s="6">
        <f>D3/B3</f>
        <v>0.67911089683690673</v>
      </c>
      <c r="H3" s="6">
        <f>E3/B3</f>
        <v>0.44483817552873406</v>
      </c>
      <c r="I3" s="6">
        <f>F3/B3</f>
        <v>0.23427272130817267</v>
      </c>
      <c r="J3" s="6">
        <v>0.44483817552873406</v>
      </c>
      <c r="K3" s="8">
        <v>0</v>
      </c>
      <c r="L3" s="8">
        <v>14.142799999999999</v>
      </c>
      <c r="M3" s="7">
        <v>2301</v>
      </c>
      <c r="N3" s="7">
        <v>118</v>
      </c>
      <c r="O3" s="7">
        <f t="shared" ref="O3:O10" si="0">M3+N3</f>
        <v>2419</v>
      </c>
      <c r="P3" s="8">
        <v>187.17277119005564</v>
      </c>
      <c r="Q3" s="8">
        <v>126.69884034572442</v>
      </c>
      <c r="R3" s="5">
        <f t="shared" ref="R3:R10" si="1">P3+Q3</f>
        <v>313.87161153578006</v>
      </c>
      <c r="S3" s="6">
        <f t="shared" ref="S3:S10" si="2">P3/R3</f>
        <v>0.5963354579097343</v>
      </c>
      <c r="T3" s="6">
        <f t="shared" ref="T3:T10" si="3">Q3/R3</f>
        <v>0.4036645420902657</v>
      </c>
      <c r="U3" s="9">
        <v>431.4</v>
      </c>
      <c r="V3" s="9">
        <v>83.453154266629667</v>
      </c>
      <c r="W3" s="6">
        <f>(B3-U3)/U3</f>
        <v>-4.9837737598516459E-2</v>
      </c>
      <c r="X3" s="6">
        <f t="shared" ref="X3:X10" si="4">(F3-V3)/V3</f>
        <v>0.15068614611513553</v>
      </c>
      <c r="Y3" t="s">
        <v>53</v>
      </c>
    </row>
    <row r="4" spans="1:25" x14ac:dyDescent="0.25">
      <c r="A4" t="s">
        <v>3</v>
      </c>
      <c r="B4" s="3">
        <v>147.83192668860107</v>
      </c>
      <c r="C4" s="4">
        <v>21.131331259349384</v>
      </c>
      <c r="D4" s="3">
        <v>126.70059542925169</v>
      </c>
      <c r="E4" s="3">
        <v>96.525715171483853</v>
      </c>
      <c r="F4" s="3">
        <v>30.174880257767839</v>
      </c>
      <c r="G4" s="6">
        <f>D4/B4</f>
        <v>0.85705840590266247</v>
      </c>
      <c r="H4" s="6">
        <f>E4/B4</f>
        <v>0.65294227934138593</v>
      </c>
      <c r="I4" s="6">
        <f>F4/B4</f>
        <v>0.20411612656127645</v>
      </c>
      <c r="J4" s="6">
        <v>0.65802913721332601</v>
      </c>
      <c r="K4" s="8">
        <v>0.752</v>
      </c>
      <c r="L4" s="8">
        <v>0.84319699999999997</v>
      </c>
      <c r="M4" s="7">
        <v>602</v>
      </c>
      <c r="N4" s="7">
        <v>99</v>
      </c>
      <c r="O4" s="7">
        <f t="shared" si="0"/>
        <v>701</v>
      </c>
      <c r="P4" s="8">
        <v>76.287657748838924</v>
      </c>
      <c r="Q4" s="8">
        <v>41.369388681994323</v>
      </c>
      <c r="R4" s="5">
        <f t="shared" si="1"/>
        <v>117.65704643083325</v>
      </c>
      <c r="S4" s="6">
        <f t="shared" si="2"/>
        <v>0.64839004601127703</v>
      </c>
      <c r="T4" s="6">
        <f t="shared" si="3"/>
        <v>0.35160995398872297</v>
      </c>
      <c r="U4" s="9">
        <v>137.12839113445159</v>
      </c>
      <c r="V4" s="9">
        <v>23.639173140086854</v>
      </c>
      <c r="W4" s="6">
        <f>(B4-U4)/U4</f>
        <v>7.8054846743260367E-2</v>
      </c>
      <c r="X4" s="6">
        <f t="shared" si="4"/>
        <v>0.2764778225934586</v>
      </c>
      <c r="Y4" t="s">
        <v>53</v>
      </c>
    </row>
    <row r="5" spans="1:25" x14ac:dyDescent="0.25">
      <c r="A5" t="s">
        <v>4</v>
      </c>
      <c r="B5" s="3">
        <v>422.842815850774</v>
      </c>
      <c r="C5" s="4">
        <v>157.11280157393151</v>
      </c>
      <c r="D5" s="3">
        <v>265.7300142768425</v>
      </c>
      <c r="E5" s="3">
        <v>146.57501809023958</v>
      </c>
      <c r="F5" s="3">
        <v>119.15499618660289</v>
      </c>
      <c r="G5" s="6">
        <f>D5/B5</f>
        <v>0.62843686664555187</v>
      </c>
      <c r="H5" s="6">
        <f>E5/B5</f>
        <v>0.346641855071667</v>
      </c>
      <c r="I5" s="6">
        <f>F5/B5</f>
        <v>0.28179501157388476</v>
      </c>
      <c r="J5" s="6">
        <v>0.39811824242742588</v>
      </c>
      <c r="K5" s="8">
        <v>21.766420579334259</v>
      </c>
      <c r="L5" s="8">
        <v>2.2335794206657402</v>
      </c>
      <c r="M5" s="7">
        <v>1550.5833333333335</v>
      </c>
      <c r="N5" s="7">
        <v>0</v>
      </c>
      <c r="O5" s="7">
        <f t="shared" si="0"/>
        <v>1550.5833333333335</v>
      </c>
      <c r="P5" s="8">
        <v>150.19432148143153</v>
      </c>
      <c r="Q5" s="8">
        <v>61.733097856098382</v>
      </c>
      <c r="R5" s="5">
        <f t="shared" si="1"/>
        <v>211.9274193375299</v>
      </c>
      <c r="S5" s="6">
        <f t="shared" si="2"/>
        <v>0.70870641444570193</v>
      </c>
      <c r="T5" s="6">
        <f t="shared" si="3"/>
        <v>0.29129358555429813</v>
      </c>
      <c r="U5" s="9">
        <v>511.16315364563604</v>
      </c>
      <c r="V5" s="9">
        <v>136.51097132929681</v>
      </c>
      <c r="W5" s="6">
        <f>(B5-U5)/U5</f>
        <v>-0.17278306772496776</v>
      </c>
      <c r="X5" s="6">
        <f t="shared" si="4"/>
        <v>-0.1271397820533208</v>
      </c>
      <c r="Y5" t="s">
        <v>54</v>
      </c>
    </row>
    <row r="6" spans="1:25" x14ac:dyDescent="0.25">
      <c r="A6" t="s">
        <v>7</v>
      </c>
      <c r="B6" s="3">
        <v>733.2</v>
      </c>
      <c r="C6" s="4">
        <v>281.40000000000003</v>
      </c>
      <c r="D6" s="3">
        <v>451.8</v>
      </c>
      <c r="E6" s="3">
        <v>263.39999999999998</v>
      </c>
      <c r="F6" s="3">
        <v>188.40000000000009</v>
      </c>
      <c r="G6" s="6">
        <f>D6/B6</f>
        <v>0.61620294599018</v>
      </c>
      <c r="H6" s="6">
        <f>E6/B6</f>
        <v>0.35924713584288048</v>
      </c>
      <c r="I6" s="6">
        <f>F6/B6</f>
        <v>0.25695581014729962</v>
      </c>
      <c r="J6" s="6">
        <v>0.35924713584288054</v>
      </c>
      <c r="K6" s="8">
        <v>0</v>
      </c>
      <c r="L6" s="8">
        <v>0</v>
      </c>
      <c r="M6" s="7">
        <v>0</v>
      </c>
      <c r="N6" s="7">
        <v>0</v>
      </c>
      <c r="O6" s="7">
        <f t="shared" si="0"/>
        <v>0</v>
      </c>
      <c r="P6" s="8">
        <v>0</v>
      </c>
      <c r="Q6" s="8">
        <v>0</v>
      </c>
      <c r="R6" s="5">
        <f t="shared" si="1"/>
        <v>0</v>
      </c>
      <c r="S6" s="6">
        <v>0</v>
      </c>
      <c r="T6" s="6">
        <v>0</v>
      </c>
      <c r="U6" s="9">
        <v>0</v>
      </c>
      <c r="V6" s="9">
        <v>0</v>
      </c>
      <c r="W6" s="6">
        <v>0</v>
      </c>
      <c r="X6" s="6">
        <v>0</v>
      </c>
      <c r="Y6" t="s">
        <v>55</v>
      </c>
    </row>
    <row r="7" spans="1:25" x14ac:dyDescent="0.25">
      <c r="A7" t="s">
        <v>8</v>
      </c>
      <c r="B7" s="3">
        <v>0</v>
      </c>
      <c r="C7" s="4">
        <v>0</v>
      </c>
      <c r="D7" s="3">
        <v>0</v>
      </c>
      <c r="E7" s="3">
        <v>0</v>
      </c>
      <c r="F7" s="3">
        <v>0</v>
      </c>
      <c r="G7" s="6">
        <v>0</v>
      </c>
      <c r="H7" s="6">
        <v>0</v>
      </c>
      <c r="I7" s="6">
        <v>0</v>
      </c>
      <c r="J7" s="6">
        <v>0</v>
      </c>
      <c r="K7" s="8">
        <v>0</v>
      </c>
      <c r="L7" s="8">
        <v>0</v>
      </c>
      <c r="M7" s="7">
        <v>0</v>
      </c>
      <c r="N7" s="7">
        <v>0</v>
      </c>
      <c r="O7" s="7">
        <f t="shared" si="0"/>
        <v>0</v>
      </c>
      <c r="P7" s="8">
        <v>0</v>
      </c>
      <c r="Q7" s="8">
        <v>0</v>
      </c>
      <c r="R7" s="5">
        <f t="shared" si="1"/>
        <v>0</v>
      </c>
      <c r="S7" s="6">
        <v>0</v>
      </c>
      <c r="T7" s="6">
        <v>0</v>
      </c>
      <c r="U7" s="9">
        <v>0</v>
      </c>
      <c r="V7" s="9">
        <v>0</v>
      </c>
      <c r="W7" s="6">
        <v>0</v>
      </c>
      <c r="X7" s="6">
        <v>0</v>
      </c>
      <c r="Y7" t="s">
        <v>54</v>
      </c>
    </row>
    <row r="8" spans="1:25" x14ac:dyDescent="0.25">
      <c r="A8" t="s">
        <v>5</v>
      </c>
      <c r="B8" s="3">
        <v>330.34559367470763</v>
      </c>
      <c r="C8" s="4">
        <v>45.07303916553245</v>
      </c>
      <c r="D8" s="3">
        <v>285.27255450917517</v>
      </c>
      <c r="E8" s="3">
        <v>156.92549567202792</v>
      </c>
      <c r="F8" s="3">
        <v>128.34705883714724</v>
      </c>
      <c r="G8" s="6">
        <f>D8/B8</f>
        <v>0.86355792228330419</v>
      </c>
      <c r="H8" s="6">
        <f>E8/B8</f>
        <v>0.47503432368028786</v>
      </c>
      <c r="I8" s="6">
        <f>F8/B8</f>
        <v>0.38852359860301633</v>
      </c>
      <c r="J8" s="6">
        <v>0.51220760879482219</v>
      </c>
      <c r="K8" s="8">
        <v>12.280030940000001</v>
      </c>
      <c r="L8" s="8">
        <v>5</v>
      </c>
      <c r="M8" s="7">
        <v>803.70166666667092</v>
      </c>
      <c r="N8" s="7">
        <v>0</v>
      </c>
      <c r="O8" s="7">
        <f t="shared" si="0"/>
        <v>803.70166666667092</v>
      </c>
      <c r="P8" s="8">
        <v>120.04335775046427</v>
      </c>
      <c r="Q8" s="8">
        <v>81.955177087096132</v>
      </c>
      <c r="R8" s="5">
        <f t="shared" si="1"/>
        <v>201.99853483756038</v>
      </c>
      <c r="S8" s="6">
        <f t="shared" si="2"/>
        <v>0.59427835873660473</v>
      </c>
      <c r="T8" s="6">
        <f t="shared" si="3"/>
        <v>0.40572164126339527</v>
      </c>
      <c r="U8" s="9">
        <v>306</v>
      </c>
      <c r="V8" s="9">
        <v>116.2</v>
      </c>
      <c r="W8" s="6">
        <f>(B8-U8)/U8</f>
        <v>7.9560763642835389E-2</v>
      </c>
      <c r="X8" s="6">
        <f t="shared" si="4"/>
        <v>0.10453579033689536</v>
      </c>
      <c r="Y8" t="s">
        <v>56</v>
      </c>
    </row>
    <row r="9" spans="1:25" x14ac:dyDescent="0.25">
      <c r="A9" t="s">
        <v>6</v>
      </c>
      <c r="B9" s="3">
        <v>225</v>
      </c>
      <c r="C9" s="4">
        <v>110.1</v>
      </c>
      <c r="D9" s="3">
        <v>114.9</v>
      </c>
      <c r="E9" s="3">
        <v>99.100000000000009</v>
      </c>
      <c r="F9" s="3">
        <v>15.800000000000011</v>
      </c>
      <c r="G9" s="6">
        <f>D9/B9</f>
        <v>0.51066666666666671</v>
      </c>
      <c r="H9" s="6">
        <f>E9/B9</f>
        <v>0.44044444444444447</v>
      </c>
      <c r="I9" s="6">
        <f>F9/B9</f>
        <v>7.0222222222222269E-2</v>
      </c>
      <c r="J9" s="6">
        <v>0.44044444444444447</v>
      </c>
      <c r="K9" s="8">
        <v>0</v>
      </c>
      <c r="L9" s="8">
        <v>3.5</v>
      </c>
      <c r="M9" s="7">
        <v>727</v>
      </c>
      <c r="N9" s="7">
        <v>581</v>
      </c>
      <c r="O9" s="7">
        <f t="shared" si="0"/>
        <v>1308</v>
      </c>
      <c r="P9" s="8">
        <v>89.999999999999986</v>
      </c>
      <c r="Q9" s="8">
        <v>119.09000000000002</v>
      </c>
      <c r="R9" s="5">
        <f t="shared" si="1"/>
        <v>209.09</v>
      </c>
      <c r="S9" s="6">
        <f t="shared" si="2"/>
        <v>0.43043665407240894</v>
      </c>
      <c r="T9" s="6">
        <f t="shared" si="3"/>
        <v>0.56956334592759106</v>
      </c>
      <c r="U9" s="9">
        <v>277.3</v>
      </c>
      <c r="V9" s="9">
        <v>27.03063727706251</v>
      </c>
      <c r="W9" s="6">
        <f>(B9-U9)/U9</f>
        <v>-0.18860439956725572</v>
      </c>
      <c r="X9" s="6">
        <f t="shared" si="4"/>
        <v>-0.41547808000044911</v>
      </c>
      <c r="Y9" t="s">
        <v>54</v>
      </c>
    </row>
    <row r="10" spans="1:25" x14ac:dyDescent="0.25">
      <c r="A10" t="s">
        <v>290</v>
      </c>
      <c r="B10" s="3">
        <v>1015.02</v>
      </c>
      <c r="C10" s="4">
        <v>516.44799999999998</v>
      </c>
      <c r="D10" s="3">
        <f>B10-C10</f>
        <v>498.572</v>
      </c>
      <c r="E10" s="3">
        <f>478.887-(13.581+45.291)</f>
        <v>420.01499999999999</v>
      </c>
      <c r="F10" s="3">
        <f>D10-E10</f>
        <v>78.557000000000016</v>
      </c>
      <c r="G10" s="6">
        <f>D10/B10</f>
        <v>0.491194262182026</v>
      </c>
      <c r="H10" s="6">
        <f>E10/B10</f>
        <v>0.4137997280841757</v>
      </c>
      <c r="I10" s="6">
        <f>F10/B10</f>
        <v>7.7394534097850312E-2</v>
      </c>
      <c r="J10" s="6">
        <f>(E10+K10)/B10</f>
        <v>0.4137997280841757</v>
      </c>
      <c r="K10" s="8">
        <f>'[1]Assumptions &amp; Data input'!L7</f>
        <v>0</v>
      </c>
      <c r="L10" s="8">
        <f>12.3-K10</f>
        <v>12.3</v>
      </c>
      <c r="M10" s="7">
        <f>2770+858</f>
        <v>3628</v>
      </c>
      <c r="N10" s="7">
        <v>0</v>
      </c>
      <c r="O10" s="7">
        <f t="shared" si="0"/>
        <v>3628</v>
      </c>
      <c r="P10" s="8">
        <v>250.3</v>
      </c>
      <c r="Q10" s="8">
        <f>E10-P10</f>
        <v>169.71499999999997</v>
      </c>
      <c r="R10" s="5">
        <f t="shared" si="1"/>
        <v>420.01499999999999</v>
      </c>
      <c r="S10" s="6">
        <f t="shared" si="2"/>
        <v>0.59593109769889174</v>
      </c>
      <c r="T10" s="6">
        <f t="shared" si="3"/>
        <v>0.40406890230110826</v>
      </c>
      <c r="U10" s="9">
        <v>993.26</v>
      </c>
      <c r="V10" s="9">
        <f>506.456-478.909+47.339+7.562</f>
        <v>82.448000000000022</v>
      </c>
      <c r="W10" s="6">
        <f>(B10-U10)/U10</f>
        <v>2.1907657612306938E-2</v>
      </c>
      <c r="X10" s="6">
        <f t="shared" si="4"/>
        <v>-4.7193382495633665E-2</v>
      </c>
      <c r="Y10" t="s">
        <v>242</v>
      </c>
    </row>
    <row r="11" spans="1:25" x14ac:dyDescent="0.25">
      <c r="A11" t="s">
        <v>147</v>
      </c>
      <c r="B11" s="2"/>
      <c r="O11" s="7">
        <f>SUM(O2:O10)</f>
        <v>10980.535000000005</v>
      </c>
    </row>
    <row r="12" spans="1:25" x14ac:dyDescent="0.25">
      <c r="B12" s="2"/>
      <c r="C12" s="47"/>
    </row>
    <row r="13" spans="1:25" x14ac:dyDescent="0.25">
      <c r="B13" s="2"/>
      <c r="F13" s="47"/>
    </row>
    <row r="14" spans="1:25" x14ac:dyDescent="0.25">
      <c r="A14" t="s">
        <v>276</v>
      </c>
      <c r="B14" s="2"/>
      <c r="E14" s="47"/>
      <c r="Q14" s="47"/>
    </row>
    <row r="15" spans="1:25" x14ac:dyDescent="0.25">
      <c r="A15" t="s">
        <v>277</v>
      </c>
      <c r="B15" s="2"/>
      <c r="E15" s="47"/>
      <c r="Q15" s="47"/>
    </row>
    <row r="16" spans="1:25" x14ac:dyDescent="0.25">
      <c r="A16" t="s">
        <v>278</v>
      </c>
      <c r="B16" s="2"/>
      <c r="E16" s="47"/>
      <c r="Q16" s="47"/>
    </row>
    <row r="17" spans="1:17" x14ac:dyDescent="0.25">
      <c r="A17" t="s">
        <v>279</v>
      </c>
      <c r="B17" s="2"/>
      <c r="E17" s="47"/>
      <c r="Q17" s="47"/>
    </row>
    <row r="18" spans="1:17" x14ac:dyDescent="0.25">
      <c r="B18" s="2"/>
    </row>
    <row r="19" spans="1:17" x14ac:dyDescent="0.25">
      <c r="B19" s="2"/>
    </row>
    <row r="20" spans="1:17" x14ac:dyDescent="0.25">
      <c r="B20" s="2"/>
    </row>
    <row r="21" spans="1:17" x14ac:dyDescent="0.25">
      <c r="B21" s="2"/>
    </row>
    <row r="22" spans="1:17" x14ac:dyDescent="0.25">
      <c r="B22" s="2"/>
    </row>
    <row r="23" spans="1:17" x14ac:dyDescent="0.25">
      <c r="B23" s="2"/>
    </row>
    <row r="24" spans="1:17" x14ac:dyDescent="0.25">
      <c r="B24" s="2"/>
    </row>
    <row r="25" spans="1:17" x14ac:dyDescent="0.25">
      <c r="B25" s="2"/>
    </row>
    <row r="26" spans="1:17" x14ac:dyDescent="0.25">
      <c r="B26" s="2"/>
    </row>
    <row r="27" spans="1:17" x14ac:dyDescent="0.25">
      <c r="B27" s="2"/>
    </row>
    <row r="28" spans="1:17" x14ac:dyDescent="0.25">
      <c r="B28" s="2"/>
    </row>
    <row r="29" spans="1:17" x14ac:dyDescent="0.25">
      <c r="B29" s="2"/>
    </row>
    <row r="30" spans="1:17" x14ac:dyDescent="0.25">
      <c r="B30" s="2"/>
    </row>
    <row r="31" spans="1:17" x14ac:dyDescent="0.25">
      <c r="B31" s="2"/>
    </row>
    <row r="32" spans="1:17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8F3-4E65-4E33-93AF-677DCAF68B42}">
  <sheetPr codeName="Sheet3"/>
  <dimension ref="A1:Y16"/>
  <sheetViews>
    <sheetView workbookViewId="0">
      <pane xSplit="1" ySplit="11" topLeftCell="B12" activePane="bottomRight" state="frozen"/>
      <selection pane="topRight" activeCell="K1" sqref="K1"/>
      <selection pane="bottomLeft" activeCell="A12" sqref="A12"/>
      <selection pane="bottomRight" activeCell="A10" sqref="A10"/>
    </sheetView>
  </sheetViews>
  <sheetFormatPr defaultRowHeight="15" x14ac:dyDescent="0.25"/>
  <cols>
    <col min="1" max="1" width="12.28515625" bestFit="1" customWidth="1"/>
    <col min="2" max="2" width="17" bestFit="1" customWidth="1"/>
    <col min="3" max="3" width="16.5703125" bestFit="1" customWidth="1"/>
    <col min="4" max="4" width="15" bestFit="1" customWidth="1"/>
    <col min="5" max="5" width="14.5703125" bestFit="1" customWidth="1"/>
    <col min="6" max="6" width="19.42578125" customWidth="1"/>
    <col min="7" max="7" width="23.28515625" bestFit="1" customWidth="1"/>
    <col min="8" max="8" width="22.28515625" bestFit="1" customWidth="1"/>
    <col min="9" max="10" width="14.5703125" customWidth="1"/>
    <col min="11" max="11" width="16.5703125" bestFit="1" customWidth="1"/>
    <col min="12" max="12" width="18.140625" bestFit="1" customWidth="1"/>
    <col min="13" max="13" width="16.5703125" customWidth="1"/>
    <col min="14" max="14" width="15.140625" bestFit="1" customWidth="1"/>
    <col min="15" max="15" width="9.85546875" bestFit="1" customWidth="1"/>
    <col min="16" max="16" width="12" bestFit="1" customWidth="1"/>
    <col min="17" max="17" width="7" bestFit="1" customWidth="1"/>
    <col min="18" max="18" width="21.85546875" bestFit="1" customWidth="1"/>
    <col min="19" max="19" width="14" bestFit="1" customWidth="1"/>
    <col min="20" max="20" width="14.7109375" bestFit="1" customWidth="1"/>
    <col min="21" max="21" width="28.42578125" bestFit="1" customWidth="1"/>
    <col min="22" max="22" width="14.140625" bestFit="1" customWidth="1"/>
    <col min="23" max="23" width="22.28515625" bestFit="1" customWidth="1"/>
    <col min="24" max="24" width="20.85546875" bestFit="1" customWidth="1"/>
    <col min="25" max="25" width="16.85546875" bestFit="1" customWidth="1"/>
  </cols>
  <sheetData>
    <row r="1" spans="1:25" s="1" customFormat="1" x14ac:dyDescent="0.25">
      <c r="A1" s="1" t="s">
        <v>0</v>
      </c>
      <c r="B1" s="1" t="s">
        <v>140</v>
      </c>
      <c r="C1" s="1" t="s">
        <v>141</v>
      </c>
      <c r="D1" s="1" t="s">
        <v>57</v>
      </c>
      <c r="E1" s="1" t="s">
        <v>58</v>
      </c>
      <c r="F1" s="1" t="s">
        <v>191</v>
      </c>
      <c r="G1" s="1" t="s">
        <v>190</v>
      </c>
      <c r="H1" s="1" t="s">
        <v>189</v>
      </c>
      <c r="I1" s="1" t="s">
        <v>178</v>
      </c>
      <c r="J1" s="1" t="s">
        <v>232</v>
      </c>
      <c r="K1" s="1" t="s">
        <v>184</v>
      </c>
      <c r="L1" s="1" t="s">
        <v>185</v>
      </c>
      <c r="M1" s="1" t="s">
        <v>186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</row>
    <row r="2" spans="1:25" x14ac:dyDescent="0.25">
      <c r="A2" t="s">
        <v>1</v>
      </c>
      <c r="B2" s="6">
        <v>0.96463539383311403</v>
      </c>
      <c r="C2" s="6">
        <v>3.5364606166885866E-2</v>
      </c>
      <c r="D2" s="10">
        <v>121.22345099227391</v>
      </c>
      <c r="E2" s="10">
        <v>47.305785123966949</v>
      </c>
      <c r="F2" s="10">
        <v>13.38</v>
      </c>
      <c r="G2" s="10">
        <f>'2018E P&amp;L Summary'!K2+F2</f>
        <v>13.38</v>
      </c>
      <c r="H2" s="10">
        <v>6.2389999999999999</v>
      </c>
      <c r="I2" s="10">
        <f t="shared" ref="I2:I10" si="0">SUM(G2+H2)</f>
        <v>19.619</v>
      </c>
      <c r="J2" s="26">
        <f>'[2]2018E'!$I$265</f>
        <v>113.91666666666667</v>
      </c>
      <c r="K2" s="10">
        <v>117</v>
      </c>
      <c r="L2" s="10">
        <v>55</v>
      </c>
      <c r="M2" s="10">
        <f>SUM(K2:L2)</f>
        <v>172</v>
      </c>
      <c r="N2" s="6">
        <v>0.11239888168297546</v>
      </c>
      <c r="O2" s="6">
        <v>0.12223571739578797</v>
      </c>
      <c r="P2" s="6">
        <v>6.0264225313380847E-2</v>
      </c>
      <c r="Q2" s="6">
        <v>9.3091871576872834E-2</v>
      </c>
      <c r="R2" s="6">
        <v>0.38799069596901709</v>
      </c>
      <c r="S2" s="3">
        <v>306.09031126698818</v>
      </c>
      <c r="T2" s="3">
        <v>2175.0529595015578</v>
      </c>
      <c r="U2" s="3">
        <v>776.41121495327081</v>
      </c>
      <c r="V2" s="3">
        <v>3188.0913242009133</v>
      </c>
      <c r="W2" s="12">
        <v>1.7861635220125784</v>
      </c>
      <c r="X2" s="12">
        <v>3.7183098591549304</v>
      </c>
      <c r="Y2" s="12">
        <v>3.4299242424242418</v>
      </c>
    </row>
    <row r="3" spans="1:25" x14ac:dyDescent="0.25">
      <c r="A3" t="s">
        <v>2</v>
      </c>
      <c r="B3" s="6">
        <v>0.36130632492765608</v>
      </c>
      <c r="C3" s="6">
        <v>0.63869367507234398</v>
      </c>
      <c r="D3" s="10">
        <v>126.42459954233409</v>
      </c>
      <c r="E3" s="10">
        <v>30.124147572815538</v>
      </c>
      <c r="F3" s="10">
        <v>86.8</v>
      </c>
      <c r="G3" s="10">
        <f>'2018E P&amp;L Summary'!K3+F3</f>
        <v>86.8</v>
      </c>
      <c r="H3" s="10">
        <v>17.378607998199399</v>
      </c>
      <c r="I3" s="10">
        <f t="shared" si="0"/>
        <v>104.1786079981994</v>
      </c>
      <c r="J3" s="26">
        <f>'[2]2018E'!$M$265</f>
        <v>1509</v>
      </c>
      <c r="K3" s="10">
        <v>57</v>
      </c>
      <c r="L3" s="10">
        <v>12</v>
      </c>
      <c r="M3" s="10">
        <f t="shared" ref="M3:M9" si="1">SUM(K3:L3)</f>
        <v>69</v>
      </c>
      <c r="N3" s="6">
        <v>0.25405893076427122</v>
      </c>
      <c r="O3" s="6">
        <v>8.7525500509890733E-2</v>
      </c>
      <c r="P3" s="6">
        <v>1.3083052638808873E-2</v>
      </c>
      <c r="Q3" s="6">
        <v>9.0170691615763257E-2</v>
      </c>
      <c r="R3" s="6">
        <v>0.44483817552873406</v>
      </c>
      <c r="S3" s="3">
        <v>169.45018602728399</v>
      </c>
      <c r="T3" s="3">
        <v>2927.8571428571427</v>
      </c>
      <c r="U3" s="3">
        <v>2213.4922748385402</v>
      </c>
      <c r="V3" s="3">
        <v>2123.8341968911918</v>
      </c>
      <c r="W3" s="12">
        <v>2.5909090909090908</v>
      </c>
      <c r="X3" s="12">
        <v>1.8070175438596492</v>
      </c>
      <c r="Y3" s="12">
        <v>9.4029126213592225</v>
      </c>
    </row>
    <row r="4" spans="1:25" x14ac:dyDescent="0.25">
      <c r="A4" t="s">
        <v>3</v>
      </c>
      <c r="B4" s="6">
        <v>0.47788873038516405</v>
      </c>
      <c r="C4" s="6">
        <v>0.52211126961483589</v>
      </c>
      <c r="D4" s="10">
        <v>181.47753332925319</v>
      </c>
      <c r="E4" s="10">
        <v>40.175082682826044</v>
      </c>
      <c r="F4" s="10">
        <v>26.6</v>
      </c>
      <c r="G4" s="10">
        <f>'2018E P&amp;L Summary'!K4+F4</f>
        <v>27.352</v>
      </c>
      <c r="H4" s="10">
        <v>3.90385335986642</v>
      </c>
      <c r="I4" s="10">
        <f t="shared" si="0"/>
        <v>31.255853359866421</v>
      </c>
      <c r="J4" s="26">
        <f>'[2]2018E'!$Q$265</f>
        <v>251</v>
      </c>
      <c r="K4" s="10">
        <v>109</v>
      </c>
      <c r="L4" s="10">
        <v>16</v>
      </c>
      <c r="M4" s="10">
        <f t="shared" si="1"/>
        <v>125</v>
      </c>
      <c r="N4" s="6">
        <v>0.21129795932062378</v>
      </c>
      <c r="O4" s="6">
        <v>0.25381633585285579</v>
      </c>
      <c r="P4" s="6">
        <v>5.7902774207199852E-2</v>
      </c>
      <c r="Q4" s="6">
        <v>0.13501206783264671</v>
      </c>
      <c r="R4" s="6">
        <v>0.65802913721332601</v>
      </c>
      <c r="S4" s="3">
        <v>210.88719927047228</v>
      </c>
      <c r="T4" s="3">
        <v>821.28848160333916</v>
      </c>
      <c r="U4" s="3">
        <v>354.00075031472858</v>
      </c>
      <c r="V4" s="3">
        <v>1463.6824424613967</v>
      </c>
      <c r="W4" s="12">
        <v>4.4444444444444446</v>
      </c>
      <c r="X4" s="12">
        <v>1.95</v>
      </c>
      <c r="Y4" s="12">
        <v>6.0897435897435894</v>
      </c>
    </row>
    <row r="5" spans="1:25" x14ac:dyDescent="0.25">
      <c r="A5" t="s">
        <v>4</v>
      </c>
      <c r="B5" s="6">
        <v>0.92583436341161929</v>
      </c>
      <c r="C5" s="6">
        <v>7.4165636588380712E-2</v>
      </c>
      <c r="D5" s="61">
        <v>114</v>
      </c>
      <c r="E5" s="61">
        <v>58</v>
      </c>
      <c r="F5" s="61">
        <v>10.5</v>
      </c>
      <c r="G5" s="10">
        <f>'2018E P&amp;L Summary'!K5+F5</f>
        <v>32.266420579334259</v>
      </c>
      <c r="H5" s="10">
        <v>6.5815943130812302</v>
      </c>
      <c r="I5" s="10">
        <f t="shared" si="0"/>
        <v>38.848014892415492</v>
      </c>
      <c r="J5" s="26">
        <f>'[2]2018E'!$U$265</f>
        <v>204.33333333333334</v>
      </c>
      <c r="K5" s="10">
        <v>158</v>
      </c>
      <c r="L5" s="10">
        <v>32</v>
      </c>
      <c r="M5" s="10">
        <f t="shared" si="1"/>
        <v>190</v>
      </c>
      <c r="N5" s="6">
        <v>9.1808428575735762E-2</v>
      </c>
      <c r="O5" s="6">
        <v>0.17052639927794336</v>
      </c>
      <c r="P5" s="6">
        <v>3.146619016811171E-2</v>
      </c>
      <c r="Q5" s="6">
        <v>0.10431722440563507</v>
      </c>
      <c r="R5" s="6">
        <v>0.39811824242742588</v>
      </c>
      <c r="S5" s="3">
        <v>272.69918795127035</v>
      </c>
      <c r="T5" s="3">
        <v>1114.455038482163</v>
      </c>
      <c r="U5" s="3">
        <v>843.39240148305885</v>
      </c>
      <c r="V5" s="3">
        <v>1850.5156054738468</v>
      </c>
      <c r="W5" s="12">
        <v>1.3263157894736841</v>
      </c>
      <c r="X5" s="12">
        <v>3.2380952380952381</v>
      </c>
      <c r="Y5" s="12">
        <v>2.1200980392156863</v>
      </c>
    </row>
    <row r="6" spans="1:25" x14ac:dyDescent="0.25">
      <c r="A6" t="s">
        <v>7</v>
      </c>
      <c r="B6" s="6">
        <v>0</v>
      </c>
      <c r="C6" s="6">
        <v>0</v>
      </c>
      <c r="D6" s="61">
        <v>0</v>
      </c>
      <c r="E6" s="61">
        <v>0</v>
      </c>
      <c r="F6" s="61">
        <v>0</v>
      </c>
      <c r="G6" s="10">
        <f>'2018E P&amp;L Summary'!K6+F6</f>
        <v>0</v>
      </c>
      <c r="H6" s="10">
        <v>0</v>
      </c>
      <c r="I6" s="10">
        <f t="shared" si="0"/>
        <v>0</v>
      </c>
      <c r="J6" s="26">
        <f>'[2]2018E'!$Y$265</f>
        <v>0</v>
      </c>
      <c r="K6" s="10">
        <v>0</v>
      </c>
      <c r="L6" s="10">
        <v>0</v>
      </c>
      <c r="M6" s="10">
        <f t="shared" si="1"/>
        <v>0</v>
      </c>
      <c r="N6" s="60">
        <v>0</v>
      </c>
      <c r="O6" s="60">
        <v>0</v>
      </c>
      <c r="P6" s="60">
        <v>0</v>
      </c>
      <c r="Q6" s="60">
        <v>7.3240589198035999E-2</v>
      </c>
      <c r="R6" s="60">
        <v>0.35924713584288054</v>
      </c>
      <c r="S6" s="3">
        <v>0</v>
      </c>
      <c r="T6" s="3">
        <v>0</v>
      </c>
      <c r="U6" s="3">
        <v>0</v>
      </c>
      <c r="V6" s="3">
        <v>0</v>
      </c>
      <c r="W6" s="12">
        <v>0</v>
      </c>
      <c r="X6" s="12">
        <v>0</v>
      </c>
      <c r="Y6" s="12">
        <v>0</v>
      </c>
    </row>
    <row r="7" spans="1:25" x14ac:dyDescent="0.25">
      <c r="A7" t="s">
        <v>8</v>
      </c>
      <c r="B7" s="6">
        <v>0</v>
      </c>
      <c r="C7" s="6">
        <v>0</v>
      </c>
      <c r="D7" s="61">
        <v>0</v>
      </c>
      <c r="E7" s="61">
        <v>0</v>
      </c>
      <c r="F7" s="61">
        <v>0</v>
      </c>
      <c r="G7" s="10">
        <f>'2018E P&amp;L Summary'!K7+F7</f>
        <v>0</v>
      </c>
      <c r="H7" s="10">
        <v>0</v>
      </c>
      <c r="I7" s="10">
        <f t="shared" si="0"/>
        <v>0</v>
      </c>
      <c r="J7" s="26">
        <f>'[2]2018E'!$AC$265</f>
        <v>0</v>
      </c>
      <c r="K7" s="10">
        <v>0</v>
      </c>
      <c r="L7" s="10">
        <v>0</v>
      </c>
      <c r="M7" s="10">
        <f t="shared" si="1"/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3">
        <v>0</v>
      </c>
      <c r="T7" s="3">
        <v>0</v>
      </c>
      <c r="U7" s="3">
        <v>0</v>
      </c>
      <c r="V7" s="3">
        <v>0</v>
      </c>
      <c r="W7" s="12">
        <v>0</v>
      </c>
      <c r="X7" s="12">
        <v>0</v>
      </c>
      <c r="Y7" s="12">
        <v>0</v>
      </c>
    </row>
    <row r="8" spans="1:25" x14ac:dyDescent="0.25">
      <c r="A8" t="s">
        <v>5</v>
      </c>
      <c r="B8" s="6">
        <v>0.92073966086088677</v>
      </c>
      <c r="C8" s="6">
        <v>7.9631538236617228E-2</v>
      </c>
      <c r="D8" s="61">
        <v>136.46991729380764</v>
      </c>
      <c r="E8" s="61">
        <v>51.664593437500002</v>
      </c>
      <c r="F8" s="61">
        <v>17.2</v>
      </c>
      <c r="G8" s="10">
        <f>'2018E P&amp;L Summary'!K8+F8</f>
        <v>29.480030939999999</v>
      </c>
      <c r="H8" s="10">
        <v>8.7082646704503297</v>
      </c>
      <c r="I8" s="10">
        <f t="shared" si="0"/>
        <v>38.188295610450325</v>
      </c>
      <c r="J8" s="26">
        <f>'[2]2018E'!$AG$265</f>
        <v>172.34999999999997</v>
      </c>
      <c r="K8" s="10">
        <v>171</v>
      </c>
      <c r="L8" s="10">
        <v>51</v>
      </c>
      <c r="M8" s="10">
        <f t="shared" si="1"/>
        <v>222</v>
      </c>
      <c r="N8" s="60">
        <v>0.11547665553673006</v>
      </c>
      <c r="O8" s="60">
        <v>0.2306396790541913</v>
      </c>
      <c r="P8" s="60">
        <v>4.086450288573551E-2</v>
      </c>
      <c r="Q8" s="60">
        <v>0.12522677131816534</v>
      </c>
      <c r="R8" s="60">
        <v>0.51220760879482219</v>
      </c>
      <c r="S8" s="3">
        <v>411.03012146883594</v>
      </c>
      <c r="T8" s="3">
        <v>1149.141400629753</v>
      </c>
      <c r="U8" s="3">
        <v>746.46700447572232</v>
      </c>
      <c r="V8" s="3">
        <v>2216.1177585261976</v>
      </c>
      <c r="W8" s="12">
        <v>0</v>
      </c>
      <c r="X8" s="12">
        <v>0</v>
      </c>
      <c r="Y8" s="12">
        <v>0</v>
      </c>
    </row>
    <row r="9" spans="1:25" x14ac:dyDescent="0.25">
      <c r="A9" t="s">
        <v>6</v>
      </c>
      <c r="B9" s="6">
        <v>0.56039755351681952</v>
      </c>
      <c r="C9" s="6">
        <v>0.43960244648318042</v>
      </c>
      <c r="D9" s="61">
        <v>268.75852660300137</v>
      </c>
      <c r="E9" s="61">
        <v>49.913043478260867</v>
      </c>
      <c r="F9" s="61">
        <v>27.6</v>
      </c>
      <c r="G9" s="10">
        <f>'2018E P&amp;L Summary'!K9+F9</f>
        <v>27.6</v>
      </c>
      <c r="H9" s="10">
        <v>11.8</v>
      </c>
      <c r="I9" s="10">
        <f t="shared" si="0"/>
        <v>39.400000000000006</v>
      </c>
      <c r="J9" s="26">
        <f>'[2]2018E'!$AK$265</f>
        <v>420</v>
      </c>
      <c r="K9" s="10">
        <v>66</v>
      </c>
      <c r="L9" s="10">
        <v>28</v>
      </c>
      <c r="M9" s="10">
        <f t="shared" si="1"/>
        <v>94</v>
      </c>
      <c r="N9" s="60">
        <v>0.17511111111111113</v>
      </c>
      <c r="O9" s="60">
        <v>9.6444444444444444E-2</v>
      </c>
      <c r="P9" s="60">
        <v>2.2222222222222223E-2</v>
      </c>
      <c r="Q9" s="60">
        <v>0.14666666666666667</v>
      </c>
      <c r="R9" s="60">
        <v>0.44044444444444447</v>
      </c>
      <c r="S9" s="3">
        <v>172.0183486238532</v>
      </c>
      <c r="T9" s="3">
        <v>1785.7142857142901</v>
      </c>
      <c r="U9" s="3">
        <v>0</v>
      </c>
      <c r="V9" s="3">
        <v>2205.8823529411766</v>
      </c>
      <c r="W9" s="12">
        <v>3.2272727272727271</v>
      </c>
      <c r="X9" s="12">
        <v>1.2253521126760563</v>
      </c>
      <c r="Y9" s="12">
        <v>6.2873563218390807</v>
      </c>
    </row>
    <row r="10" spans="1:25" x14ac:dyDescent="0.25">
      <c r="A10" s="32" t="s">
        <v>290</v>
      </c>
      <c r="B10" s="6">
        <v>0.76</v>
      </c>
      <c r="C10" s="6">
        <v>0.24</v>
      </c>
      <c r="D10" s="10">
        <v>226.4</v>
      </c>
      <c r="E10" s="10">
        <v>24</v>
      </c>
      <c r="F10" s="10">
        <v>82.2</v>
      </c>
      <c r="G10" s="10">
        <f>F10+0</f>
        <v>82.2</v>
      </c>
      <c r="H10" s="10">
        <f>I16</f>
        <v>77.741</v>
      </c>
      <c r="I10" s="10">
        <f t="shared" si="0"/>
        <v>159.941</v>
      </c>
      <c r="J10" s="26">
        <f>1262</f>
        <v>1262</v>
      </c>
      <c r="K10" s="10">
        <f>ROUND(G10/J10*1000,0)</f>
        <v>65</v>
      </c>
      <c r="L10" s="10">
        <f>ROUND(H10/J10*10000,0)</f>
        <v>616</v>
      </c>
      <c r="M10" s="10">
        <f>K10+L10</f>
        <v>681</v>
      </c>
      <c r="N10" s="6">
        <f>I10/'[1]2018E P&amp;L Summary'!B10</f>
        <v>0.15757423499044354</v>
      </c>
      <c r="O10" s="6">
        <f>O14/'[1]2018E P&amp;L Summary'!$B$10</f>
        <v>0.12052176311796811</v>
      </c>
      <c r="P10" s="6">
        <f>P14/'2018E P&amp;L Summary'!$B$10</f>
        <v>6.0260881558984056E-2</v>
      </c>
      <c r="Q10" s="6">
        <f>76.576/'2018E P&amp;L Summary'!B10</f>
        <v>7.5442848416779965E-2</v>
      </c>
      <c r="R10" s="6">
        <f>'2018E P&amp;L Summary'!J10</f>
        <v>0.4137997280841757</v>
      </c>
      <c r="S10" s="3">
        <f>'2018E P&amp;L Summary'!B10/'2018E P&amp;L Summary'!M10*1000</f>
        <v>279.773980154355</v>
      </c>
      <c r="T10" s="3">
        <f>'2018E P&amp;L Summary'!B10/403*1000</f>
        <v>2518.6600496277915</v>
      </c>
      <c r="U10" s="3">
        <f>678.478/403*1000</f>
        <v>1683.5682382133994</v>
      </c>
      <c r="V10" s="3">
        <f>'2018E P&amp;L Summary'!B10/553*1000</f>
        <v>1835.4792043399636</v>
      </c>
      <c r="W10" s="33">
        <f>'Assumptions &amp; Data input'!E17/'Assumptions &amp; Data input'!E16</f>
        <v>3</v>
      </c>
      <c r="X10" s="33">
        <f>'Assumptions &amp; Data input'!E18/'Assumptions &amp; Data input'!E17</f>
        <v>3.333333333333333</v>
      </c>
      <c r="Y10" s="33">
        <f>'Assumptions &amp; Data input'!E19/'Assumptions &amp; Data input'!E18</f>
        <v>3</v>
      </c>
    </row>
    <row r="11" spans="1:25" x14ac:dyDescent="0.25">
      <c r="A11" t="s">
        <v>147</v>
      </c>
      <c r="B11" s="6">
        <f t="shared" ref="B11:I11" si="2">SUM(B2:B10)/7</f>
        <v>0.7101145752764656</v>
      </c>
      <c r="C11" s="6">
        <f t="shared" si="2"/>
        <v>0.28993845316603484</v>
      </c>
      <c r="D11" s="3">
        <f t="shared" si="2"/>
        <v>167.82200396581001</v>
      </c>
      <c r="E11" s="3">
        <f t="shared" si="2"/>
        <v>43.026093185052773</v>
      </c>
      <c r="F11" s="3">
        <f t="shared" si="2"/>
        <v>37.754285714285707</v>
      </c>
      <c r="G11" s="3">
        <f t="shared" si="2"/>
        <v>42.725493074190602</v>
      </c>
      <c r="H11" s="3">
        <f t="shared" si="2"/>
        <v>18.90747433451391</v>
      </c>
      <c r="I11" s="3">
        <f t="shared" si="2"/>
        <v>61.63296740870453</v>
      </c>
      <c r="J11" s="27">
        <f>SUM(J2:J10)</f>
        <v>3932.6</v>
      </c>
      <c r="K11" s="3">
        <f t="shared" ref="K11:Y11" si="3">SUM(K2:K10)/7</f>
        <v>106.14285714285714</v>
      </c>
      <c r="L11" s="3">
        <f t="shared" si="3"/>
        <v>115.71428571428571</v>
      </c>
      <c r="M11" s="3">
        <f t="shared" si="3"/>
        <v>221.85714285714286</v>
      </c>
      <c r="N11" s="6">
        <f t="shared" si="3"/>
        <v>0.1596751717116987</v>
      </c>
      <c r="O11" s="6">
        <f t="shared" si="3"/>
        <v>0.15452997709329738</v>
      </c>
      <c r="P11" s="6">
        <f t="shared" si="3"/>
        <v>4.0866264142063291E-2</v>
      </c>
      <c r="Q11" s="6">
        <f t="shared" si="3"/>
        <v>0.1204526758615094</v>
      </c>
      <c r="R11" s="6">
        <f t="shared" si="3"/>
        <v>0.5163821669006895</v>
      </c>
      <c r="S11" s="3">
        <f t="shared" si="3"/>
        <v>260.2784763947227</v>
      </c>
      <c r="T11" s="3">
        <f t="shared" si="3"/>
        <v>1784.5956226308626</v>
      </c>
      <c r="U11" s="3">
        <f t="shared" si="3"/>
        <v>945.33312632553134</v>
      </c>
      <c r="V11" s="3">
        <f t="shared" si="3"/>
        <v>2126.2289835478123</v>
      </c>
      <c r="W11" s="12">
        <f t="shared" si="3"/>
        <v>2.3393007963017891</v>
      </c>
      <c r="X11" s="12">
        <f t="shared" si="3"/>
        <v>2.1817297267313154</v>
      </c>
      <c r="Y11" s="12">
        <f t="shared" si="3"/>
        <v>4.3328621163688315</v>
      </c>
    </row>
    <row r="13" spans="1:25" x14ac:dyDescent="0.25">
      <c r="D13" s="47"/>
      <c r="L13" s="47"/>
      <c r="O13" s="48" t="str">
        <f>MID('[1]Assumptions &amp; Data input'!B13,142,1)</f>
        <v>2</v>
      </c>
      <c r="P13" s="49" t="str">
        <f>MID('[1]Assumptions &amp; Data input'!B13,157,1)</f>
        <v>1</v>
      </c>
      <c r="Q13" s="50"/>
    </row>
    <row r="14" spans="1:25" x14ac:dyDescent="0.25">
      <c r="A14" t="s">
        <v>280</v>
      </c>
      <c r="H14" s="43" t="s">
        <v>281</v>
      </c>
      <c r="I14" s="43">
        <v>159.941</v>
      </c>
      <c r="J14" s="5"/>
      <c r="K14" s="7"/>
      <c r="L14" s="47"/>
      <c r="O14" s="51">
        <f>Q14*O13/(O13+P13)</f>
        <v>122.33199999999999</v>
      </c>
      <c r="P14" s="52">
        <f>Q14-O14</f>
        <v>61.165999999999997</v>
      </c>
      <c r="Q14" s="53">
        <v>183.49799999999999</v>
      </c>
    </row>
    <row r="15" spans="1:25" x14ac:dyDescent="0.25">
      <c r="H15" s="43" t="s">
        <v>192</v>
      </c>
      <c r="I15" s="54">
        <f>F10</f>
        <v>82.2</v>
      </c>
      <c r="K15" s="47"/>
      <c r="N15" s="47"/>
    </row>
    <row r="16" spans="1:25" x14ac:dyDescent="0.25">
      <c r="H16" s="43" t="s">
        <v>282</v>
      </c>
      <c r="I16" s="55">
        <f>I14-I15</f>
        <v>77.741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56F9-D5C6-4CDF-A2EA-07575859BD01}">
  <sheetPr codeName="Sheet4"/>
  <dimension ref="A1:Q25"/>
  <sheetViews>
    <sheetView workbookViewId="0">
      <pane xSplit="1" ySplit="11" topLeftCell="B18" activePane="bottomRight" state="frozen"/>
      <selection pane="topRight" activeCell="K1" sqref="K1"/>
      <selection pane="bottomLeft" activeCell="A12" sqref="A12"/>
      <selection pane="bottomRight" activeCell="A10" sqref="A10"/>
    </sheetView>
  </sheetViews>
  <sheetFormatPr defaultColWidth="8.85546875" defaultRowHeight="15" x14ac:dyDescent="0.25"/>
  <cols>
    <col min="1" max="1" width="12.28515625" bestFit="1" customWidth="1"/>
    <col min="2" max="2" width="17.7109375" bestFit="1" customWidth="1"/>
    <col min="6" max="6" width="11.42578125" bestFit="1" customWidth="1"/>
    <col min="8" max="8" width="10.28515625" bestFit="1" customWidth="1"/>
    <col min="12" max="12" width="9.5703125" bestFit="1" customWidth="1"/>
    <col min="13" max="13" width="16.28515625" bestFit="1" customWidth="1"/>
    <col min="14" max="14" width="11.28515625" bestFit="1" customWidth="1"/>
    <col min="15" max="15" width="12" bestFit="1" customWidth="1"/>
    <col min="16" max="16" width="14.140625" bestFit="1" customWidth="1"/>
    <col min="17" max="17" width="19.28515625" bestFit="1" customWidth="1"/>
  </cols>
  <sheetData>
    <row r="1" spans="1:17" s="1" customFormat="1" x14ac:dyDescent="0.25">
      <c r="A1" s="1" t="s">
        <v>0</v>
      </c>
      <c r="B1" s="1" t="s">
        <v>97</v>
      </c>
      <c r="C1" s="1" t="s">
        <v>98</v>
      </c>
      <c r="D1" s="1" t="s">
        <v>99</v>
      </c>
      <c r="E1" s="1" t="s">
        <v>109</v>
      </c>
      <c r="F1" s="1" t="s">
        <v>96</v>
      </c>
      <c r="G1" s="1" t="s">
        <v>125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117</v>
      </c>
      <c r="N1" s="1" t="s">
        <v>118</v>
      </c>
      <c r="O1" s="1" t="s">
        <v>119</v>
      </c>
      <c r="P1" s="1" t="s">
        <v>120</v>
      </c>
      <c r="Q1" s="30" t="s">
        <v>241</v>
      </c>
    </row>
    <row r="2" spans="1:17" x14ac:dyDescent="0.25">
      <c r="A2" t="s">
        <v>1</v>
      </c>
      <c r="B2" s="14">
        <v>3.3000000000000002E-2</v>
      </c>
      <c r="C2" s="14">
        <v>2.5999999999999999E-2</v>
      </c>
      <c r="D2" s="14">
        <v>8.9999999999999993E-3</v>
      </c>
      <c r="E2" s="14">
        <v>6.0000000000000001E-3</v>
      </c>
      <c r="F2" s="14">
        <v>9.2999999999999999E-2</v>
      </c>
      <c r="G2" s="14">
        <v>3.6999999999999998E-2</v>
      </c>
      <c r="H2" s="15">
        <v>20.100000000000001</v>
      </c>
      <c r="I2">
        <v>26.6</v>
      </c>
      <c r="J2">
        <v>81.5</v>
      </c>
      <c r="K2">
        <v>142.6</v>
      </c>
      <c r="L2">
        <v>8.9</v>
      </c>
      <c r="M2" s="16">
        <v>128</v>
      </c>
      <c r="N2" s="16">
        <v>114</v>
      </c>
      <c r="O2" s="16">
        <v>132</v>
      </c>
      <c r="P2" s="16">
        <v>136</v>
      </c>
      <c r="Q2" s="31">
        <f>'[3]2018E'!$H$291</f>
        <v>9.0709999999999997</v>
      </c>
    </row>
    <row r="3" spans="1:17" x14ac:dyDescent="0.25">
      <c r="A3" t="s">
        <v>2</v>
      </c>
      <c r="B3" s="14">
        <v>3.7999999999999999E-2</v>
      </c>
      <c r="C3" s="14">
        <v>2.4E-2</v>
      </c>
      <c r="D3" s="14">
        <v>8.9999999999999993E-3</v>
      </c>
      <c r="E3" s="14">
        <v>8.0000000000000002E-3</v>
      </c>
      <c r="F3" s="14">
        <v>0.09</v>
      </c>
      <c r="G3" s="14">
        <v>4.8000000000000001E-2</v>
      </c>
      <c r="H3" s="15">
        <v>25.5</v>
      </c>
      <c r="I3">
        <v>48.4</v>
      </c>
      <c r="J3">
        <v>80.599999999999994</v>
      </c>
      <c r="K3">
        <v>241.9</v>
      </c>
      <c r="L3">
        <v>11.1</v>
      </c>
      <c r="M3" s="16">
        <v>89</v>
      </c>
      <c r="N3" s="16">
        <v>70</v>
      </c>
      <c r="O3" s="16">
        <v>97</v>
      </c>
      <c r="P3" s="16">
        <v>169</v>
      </c>
      <c r="Q3" s="31">
        <f>'[3]2018E'!$L$291</f>
        <v>20.404747577050642</v>
      </c>
    </row>
    <row r="4" spans="1:17" x14ac:dyDescent="0.25">
      <c r="A4" t="s">
        <v>3</v>
      </c>
      <c r="B4" s="14">
        <v>2.5000000000000001E-2</v>
      </c>
      <c r="C4" s="14">
        <v>3.5999999999999997E-2</v>
      </c>
      <c r="D4" s="14">
        <v>0.01</v>
      </c>
      <c r="E4" s="14">
        <v>7.0000000000000001E-3</v>
      </c>
      <c r="F4" s="14">
        <v>0.13500000000000001</v>
      </c>
      <c r="G4" s="14">
        <v>4.4999999999999998E-2</v>
      </c>
      <c r="H4" s="15">
        <v>18</v>
      </c>
      <c r="I4">
        <v>31.9</v>
      </c>
      <c r="J4">
        <v>116.8</v>
      </c>
      <c r="K4">
        <v>140.19999999999999</v>
      </c>
      <c r="L4">
        <v>6.7</v>
      </c>
      <c r="M4" s="16">
        <v>59</v>
      </c>
      <c r="N4" s="16">
        <v>59</v>
      </c>
      <c r="O4" s="16">
        <v>119</v>
      </c>
      <c r="P4" s="16">
        <v>131</v>
      </c>
      <c r="Q4" s="31">
        <f>'[3]2018E'!$P$291</f>
        <v>9.5410649968371537</v>
      </c>
    </row>
    <row r="5" spans="1:17" x14ac:dyDescent="0.25">
      <c r="A5" t="s">
        <v>4</v>
      </c>
      <c r="B5" s="14">
        <v>4.3999999999999997E-2</v>
      </c>
      <c r="C5" s="14">
        <v>1.4999999999999999E-2</v>
      </c>
      <c r="D5" s="14">
        <v>7.0000000000000001E-3</v>
      </c>
      <c r="E5" s="14">
        <v>4.0000000000000001E-3</v>
      </c>
      <c r="F5" s="14">
        <v>0.104</v>
      </c>
      <c r="G5" s="14">
        <v>0.04</v>
      </c>
      <c r="H5" s="15">
        <v>12.6</v>
      </c>
      <c r="I5">
        <v>39.299999999999997</v>
      </c>
      <c r="J5">
        <v>86.9</v>
      </c>
      <c r="K5">
        <v>229.7</v>
      </c>
      <c r="L5">
        <v>6.8</v>
      </c>
      <c r="M5" s="16">
        <v>86</v>
      </c>
      <c r="N5" s="16">
        <v>99</v>
      </c>
      <c r="O5" s="16">
        <v>119</v>
      </c>
      <c r="P5" s="16">
        <v>188</v>
      </c>
      <c r="Q5" s="31">
        <f>'[3]2018E'!$T$291</f>
        <v>21.817953944451205</v>
      </c>
    </row>
    <row r="6" spans="1:17" x14ac:dyDescent="0.25">
      <c r="A6" t="s">
        <v>7</v>
      </c>
      <c r="B6" s="14">
        <v>0</v>
      </c>
      <c r="C6" s="14">
        <v>0</v>
      </c>
      <c r="D6" s="14">
        <v>0</v>
      </c>
      <c r="E6" s="14">
        <v>0</v>
      </c>
      <c r="F6" s="14">
        <v>7.2999999999999995E-2</v>
      </c>
      <c r="G6" s="14">
        <v>0</v>
      </c>
      <c r="H6" s="15">
        <v>0</v>
      </c>
      <c r="I6">
        <v>0</v>
      </c>
      <c r="J6">
        <v>0</v>
      </c>
      <c r="K6">
        <v>0</v>
      </c>
      <c r="L6">
        <v>0</v>
      </c>
      <c r="M6" s="16">
        <v>0</v>
      </c>
      <c r="N6" s="16">
        <v>0</v>
      </c>
      <c r="O6" s="16">
        <v>0</v>
      </c>
      <c r="P6" s="16">
        <v>0</v>
      </c>
      <c r="Q6" s="31">
        <f>'[3]2018E'!$X$291</f>
        <v>0</v>
      </c>
    </row>
    <row r="7" spans="1:17" x14ac:dyDescent="0.25">
      <c r="A7" t="s">
        <v>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v>0</v>
      </c>
      <c r="I7">
        <v>0</v>
      </c>
      <c r="J7">
        <v>0</v>
      </c>
      <c r="K7">
        <v>0</v>
      </c>
      <c r="L7">
        <v>0</v>
      </c>
      <c r="M7" s="16">
        <v>0</v>
      </c>
      <c r="N7" s="16">
        <v>0</v>
      </c>
      <c r="O7" s="16">
        <v>0</v>
      </c>
      <c r="P7" s="16">
        <v>0</v>
      </c>
      <c r="Q7" s="31">
        <f>'[3]2018E'!$AB$291</f>
        <v>0</v>
      </c>
    </row>
    <row r="8" spans="1:17" x14ac:dyDescent="0.25">
      <c r="A8" t="s">
        <v>5</v>
      </c>
      <c r="B8" s="14">
        <v>4.5999999999999999E-2</v>
      </c>
      <c r="C8" s="14">
        <v>0.04</v>
      </c>
      <c r="D8" s="14">
        <v>1.7999999999999999E-2</v>
      </c>
      <c r="E8" s="14">
        <v>1.4E-2</v>
      </c>
      <c r="F8" s="14">
        <v>0.125</v>
      </c>
      <c r="G8" s="14">
        <v>2.1999999999999999E-2</v>
      </c>
      <c r="H8" s="15">
        <v>14.5</v>
      </c>
      <c r="I8">
        <v>16.399999999999999</v>
      </c>
      <c r="J8">
        <v>34.6</v>
      </c>
      <c r="K8">
        <v>71.400000000000006</v>
      </c>
      <c r="L8">
        <v>5.4</v>
      </c>
      <c r="M8" s="16">
        <v>146</v>
      </c>
      <c r="N8" s="16">
        <v>153</v>
      </c>
      <c r="O8" s="16">
        <v>139</v>
      </c>
      <c r="P8" s="16">
        <v>229</v>
      </c>
      <c r="Q8" s="31">
        <f>'[3]2018E'!$AF$291</f>
        <v>23.163133515830026</v>
      </c>
    </row>
    <row r="9" spans="1:17" x14ac:dyDescent="0.25">
      <c r="A9" t="s">
        <v>6</v>
      </c>
      <c r="B9" s="14">
        <v>4.3999999999999997E-2</v>
      </c>
      <c r="C9" s="14">
        <v>6.2E-2</v>
      </c>
      <c r="D9" s="14">
        <v>0.01</v>
      </c>
      <c r="E9" s="14">
        <v>1.0999999999999999E-2</v>
      </c>
      <c r="F9" s="14">
        <v>0.14699999999999999</v>
      </c>
      <c r="G9" s="14">
        <v>4.7E-2</v>
      </c>
      <c r="H9" s="15">
        <v>17.899999999999999</v>
      </c>
      <c r="I9">
        <v>35.4</v>
      </c>
      <c r="J9">
        <v>72.7</v>
      </c>
      <c r="K9">
        <v>109</v>
      </c>
      <c r="L9">
        <v>8.3000000000000007</v>
      </c>
      <c r="M9" s="16">
        <v>66</v>
      </c>
      <c r="N9" s="16">
        <v>95</v>
      </c>
      <c r="O9" s="16">
        <v>83</v>
      </c>
      <c r="P9" s="16">
        <v>92</v>
      </c>
      <c r="Q9" s="31">
        <f>'[3]2018E'!$AJ$291</f>
        <v>13.9</v>
      </c>
    </row>
    <row r="10" spans="1:17" x14ac:dyDescent="0.25">
      <c r="A10" s="32" t="s">
        <v>290</v>
      </c>
      <c r="B10" s="14">
        <f>F19/'2018E P&amp;L Summary'!$B$10</f>
        <v>3.0328252647049633E-2</v>
      </c>
      <c r="C10" s="14">
        <f>F20/'2018E P&amp;L Summary'!$B$10</f>
        <v>1.9665848610292927E-2</v>
      </c>
      <c r="D10" s="14">
        <f>F21/'2018E P&amp;L Summary'!$B$10</f>
        <v>8.0849937732722851E-3</v>
      </c>
      <c r="E10" s="14">
        <f>F22/'2018E P&amp;L Summary'!$B$10</f>
        <v>2.2635779132689215E-3</v>
      </c>
      <c r="F10" s="14">
        <f>F25/'2018E P&amp;L Summary'!B10</f>
        <v>7.5442848416779965E-2</v>
      </c>
      <c r="G10" s="34">
        <f>F24/'2018E P&amp;L Summary'!$B$10</f>
        <v>6.4490805604343546E-3</v>
      </c>
      <c r="H10" s="15">
        <v>232</v>
      </c>
      <c r="I10">
        <v>160</v>
      </c>
      <c r="J10">
        <v>56</v>
      </c>
      <c r="K10">
        <v>10</v>
      </c>
      <c r="L10" s="15">
        <f>'HCC_LCC Overview'!M10/'FTE Headcount'!M10</f>
        <v>6.5605786618444846</v>
      </c>
      <c r="M10" s="16">
        <v>63</v>
      </c>
      <c r="N10" s="16">
        <v>55</v>
      </c>
      <c r="O10" s="16">
        <v>77</v>
      </c>
      <c r="P10" s="16">
        <v>165</v>
      </c>
      <c r="Q10" s="31">
        <v>38</v>
      </c>
    </row>
    <row r="11" spans="1:17" x14ac:dyDescent="0.25">
      <c r="A11" t="s">
        <v>147</v>
      </c>
      <c r="B11" s="14">
        <f t="shared" ref="B11:Q11" si="0">SUM(B2:B10)/7</f>
        <v>3.7189750378149943E-2</v>
      </c>
      <c r="C11" s="14">
        <f t="shared" si="0"/>
        <v>3.1809406944327559E-2</v>
      </c>
      <c r="D11" s="14">
        <f t="shared" si="0"/>
        <v>1.0154999110467466E-2</v>
      </c>
      <c r="E11" s="14">
        <f t="shared" si="0"/>
        <v>7.4662254161812752E-3</v>
      </c>
      <c r="F11" s="14">
        <f t="shared" si="0"/>
        <v>0.12034897834525428</v>
      </c>
      <c r="G11" s="14">
        <f t="shared" si="0"/>
        <v>3.5064154365776333E-2</v>
      </c>
      <c r="H11" s="2">
        <f t="shared" si="0"/>
        <v>48.657142857142858</v>
      </c>
      <c r="I11" s="2">
        <f t="shared" si="0"/>
        <v>51.142857142857146</v>
      </c>
      <c r="J11" s="2">
        <f t="shared" si="0"/>
        <v>75.585714285714275</v>
      </c>
      <c r="K11" s="2">
        <f t="shared" si="0"/>
        <v>134.97142857142859</v>
      </c>
      <c r="L11" s="2">
        <f t="shared" si="0"/>
        <v>7.6800826659777846</v>
      </c>
      <c r="M11" s="16">
        <f t="shared" si="0"/>
        <v>91</v>
      </c>
      <c r="N11" s="16">
        <f t="shared" si="0"/>
        <v>92.142857142857139</v>
      </c>
      <c r="O11" s="16">
        <f t="shared" si="0"/>
        <v>109.42857142857143</v>
      </c>
      <c r="P11" s="16">
        <f t="shared" si="0"/>
        <v>158.57142857142858</v>
      </c>
      <c r="Q11" s="31">
        <f t="shared" si="0"/>
        <v>19.413985719167005</v>
      </c>
    </row>
    <row r="13" spans="1:17" x14ac:dyDescent="0.25">
      <c r="L13" s="16"/>
      <c r="M13" s="16"/>
    </row>
    <row r="14" spans="1:17" x14ac:dyDescent="0.25">
      <c r="L14" s="16"/>
    </row>
    <row r="15" spans="1:17" x14ac:dyDescent="0.25">
      <c r="L15" s="16"/>
    </row>
    <row r="16" spans="1:17" x14ac:dyDescent="0.25">
      <c r="A16" t="s">
        <v>283</v>
      </c>
      <c r="L16" s="16"/>
    </row>
    <row r="17" spans="2:12" x14ac:dyDescent="0.25">
      <c r="L17" s="16"/>
    </row>
    <row r="18" spans="2:12" x14ac:dyDescent="0.25">
      <c r="B18" s="1" t="s">
        <v>264</v>
      </c>
      <c r="C18" s="1" t="s">
        <v>256</v>
      </c>
      <c r="D18" s="1" t="s">
        <v>265</v>
      </c>
      <c r="E18" s="1" t="s">
        <v>266</v>
      </c>
      <c r="F18" s="1" t="s">
        <v>48</v>
      </c>
      <c r="L18" s="16"/>
    </row>
    <row r="19" spans="2:12" x14ac:dyDescent="0.25">
      <c r="B19" s="43" t="s">
        <v>101</v>
      </c>
      <c r="C19" s="43">
        <v>232</v>
      </c>
      <c r="D19" s="43">
        <v>14.6</v>
      </c>
      <c r="E19" s="56">
        <f>IF('[1]Assumptions &amp; Data input'!F28&gt;0,'[1]Assumptions &amp; Data input'!F28,$E$25*C19/$C$25)</f>
        <v>16.183783001808315</v>
      </c>
      <c r="F19" s="56">
        <f>SUM(D19:E19)</f>
        <v>30.783783001808317</v>
      </c>
      <c r="L19" s="16"/>
    </row>
    <row r="20" spans="2:12" x14ac:dyDescent="0.25">
      <c r="B20" s="43" t="s">
        <v>102</v>
      </c>
      <c r="C20" s="43">
        <v>160</v>
      </c>
      <c r="D20" s="43">
        <v>8.8000000000000007</v>
      </c>
      <c r="E20" s="56">
        <f>IF('[1]Assumptions &amp; Data input'!F29&gt;0,'[1]Assumptions &amp; Data input'!F28,$E$25*C20/$C$25)</f>
        <v>11.161229656419527</v>
      </c>
      <c r="F20" s="56">
        <f t="shared" ref="F20:F24" si="1">SUM(D20:E20)</f>
        <v>19.961229656419526</v>
      </c>
    </row>
    <row r="21" spans="2:12" x14ac:dyDescent="0.25">
      <c r="B21" s="43" t="s">
        <v>103</v>
      </c>
      <c r="C21" s="43">
        <v>56</v>
      </c>
      <c r="D21" s="43">
        <v>4.3</v>
      </c>
      <c r="E21" s="56">
        <f>IF('[1]Assumptions &amp; Data input'!F30&gt;0,'[1]Assumptions &amp; Data input'!F29,$E$25*C21/$C$25)</f>
        <v>3.9064303797468343</v>
      </c>
      <c r="F21" s="56">
        <f t="shared" si="1"/>
        <v>8.2064303797468341</v>
      </c>
    </row>
    <row r="22" spans="2:12" x14ac:dyDescent="0.25">
      <c r="B22" s="43" t="s">
        <v>104</v>
      </c>
      <c r="C22" s="43">
        <v>10</v>
      </c>
      <c r="D22" s="43">
        <v>1.6</v>
      </c>
      <c r="E22" s="56">
        <f>IF('[1]Assumptions &amp; Data input'!F31&gt;0,'[1]Assumptions &amp; Data input'!F30,$E$25*C22/$C$25)</f>
        <v>0.69757685352622045</v>
      </c>
      <c r="F22" s="56">
        <f t="shared" si="1"/>
        <v>2.2975768535262207</v>
      </c>
    </row>
    <row r="23" spans="2:12" x14ac:dyDescent="0.25">
      <c r="B23" s="43" t="s">
        <v>257</v>
      </c>
      <c r="C23" s="43">
        <v>37</v>
      </c>
      <c r="D23" s="43">
        <v>6.2</v>
      </c>
      <c r="E23" s="56">
        <f>IF('[1]Assumptions &amp; Data input'!F32&gt;0,'[1]Assumptions &amp; Data input'!F31,$E$25*C23/$C$25)</f>
        <v>2.5810343580470159</v>
      </c>
      <c r="F23" s="56">
        <f t="shared" si="1"/>
        <v>8.781034358047016</v>
      </c>
    </row>
    <row r="24" spans="2:12" x14ac:dyDescent="0.25">
      <c r="B24" s="43" t="s">
        <v>267</v>
      </c>
      <c r="C24" s="43">
        <v>58</v>
      </c>
      <c r="D24" s="43">
        <v>2.5</v>
      </c>
      <c r="E24" s="56">
        <f>IF('[1]Assumptions &amp; Data input'!F33&gt;0,'[1]Assumptions &amp; Data input'!F32,$E$25*C24/$C$25)</f>
        <v>4.0459457504520788</v>
      </c>
      <c r="F24" s="56">
        <f t="shared" si="1"/>
        <v>6.5459457504520788</v>
      </c>
    </row>
    <row r="25" spans="2:12" x14ac:dyDescent="0.25">
      <c r="B25" s="1" t="s">
        <v>268</v>
      </c>
      <c r="C25" s="1">
        <f>SUM(C19:C24)</f>
        <v>553</v>
      </c>
      <c r="D25" s="1">
        <f>SUM(D19:D24)</f>
        <v>38</v>
      </c>
      <c r="E25" s="46">
        <f>F25-D25</f>
        <v>38.575999999999993</v>
      </c>
      <c r="F25" s="46">
        <v>76.575999999999993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B91A-E730-4A4D-A62E-8C816A2B9F6A}">
  <sheetPr codeName="Sheet5"/>
  <dimension ref="A1:AB17"/>
  <sheetViews>
    <sheetView workbookViewId="0">
      <pane xSplit="1" ySplit="11" topLeftCell="G12" activePane="bottomRight" state="frozen"/>
      <selection pane="topRight" activeCell="K1" sqref="K1"/>
      <selection pane="bottomLeft" activeCell="A12" sqref="A12"/>
      <selection pane="bottomRight" activeCell="A10" sqref="A10"/>
    </sheetView>
  </sheetViews>
  <sheetFormatPr defaultColWidth="8.85546875" defaultRowHeight="15" x14ac:dyDescent="0.25"/>
  <cols>
    <col min="1" max="1" width="13.28515625" bestFit="1" customWidth="1"/>
    <col min="2" max="3" width="12.28515625" customWidth="1"/>
    <col min="4" max="4" width="14.28515625" bestFit="1" customWidth="1"/>
    <col min="5" max="5" width="10.42578125" bestFit="1" customWidth="1"/>
    <col min="6" max="6" width="10.140625" bestFit="1" customWidth="1"/>
    <col min="7" max="7" width="15.28515625" bestFit="1" customWidth="1"/>
    <col min="8" max="8" width="21.7109375" bestFit="1" customWidth="1"/>
    <col min="9" max="9" width="15" bestFit="1" customWidth="1"/>
    <col min="10" max="10" width="21.28515625" bestFit="1" customWidth="1"/>
    <col min="11" max="12" width="21.28515625" customWidth="1"/>
    <col min="13" max="13" width="11.5703125" customWidth="1"/>
    <col min="14" max="14" width="13.42578125" bestFit="1" customWidth="1"/>
    <col min="15" max="15" width="13.42578125" customWidth="1"/>
    <col min="16" max="16" width="14.28515625" bestFit="1" customWidth="1"/>
    <col min="17" max="17" width="15.7109375" bestFit="1" customWidth="1"/>
    <col min="18" max="18" width="18.140625" bestFit="1" customWidth="1"/>
    <col min="19" max="19" width="14.5703125" bestFit="1" customWidth="1"/>
    <col min="20" max="20" width="10.28515625" bestFit="1" customWidth="1"/>
    <col min="24" max="24" width="9.5703125" bestFit="1" customWidth="1"/>
    <col min="25" max="25" width="16.28515625" bestFit="1" customWidth="1"/>
    <col min="26" max="26" width="11.28515625" bestFit="1" customWidth="1"/>
    <col min="27" max="27" width="12" bestFit="1" customWidth="1"/>
    <col min="28" max="28" width="14.140625" bestFit="1" customWidth="1"/>
  </cols>
  <sheetData>
    <row r="1" spans="1:28" s="1" customFormat="1" x14ac:dyDescent="0.25">
      <c r="A1" s="1" t="s">
        <v>0</v>
      </c>
      <c r="B1" s="1" t="s">
        <v>128</v>
      </c>
      <c r="C1" s="1" t="s">
        <v>129</v>
      </c>
      <c r="D1" s="1" t="s">
        <v>130</v>
      </c>
      <c r="E1" s="1" t="s">
        <v>126</v>
      </c>
      <c r="F1" s="1" t="s">
        <v>127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133</v>
      </c>
      <c r="L1" s="1" t="s">
        <v>134</v>
      </c>
      <c r="M1" s="1" t="s">
        <v>135</v>
      </c>
      <c r="N1" s="1" t="s">
        <v>187</v>
      </c>
      <c r="O1" s="1" t="s">
        <v>188</v>
      </c>
      <c r="P1" s="1" t="s">
        <v>131</v>
      </c>
      <c r="Q1" s="1" t="s">
        <v>132</v>
      </c>
      <c r="R1" s="1" t="s">
        <v>166</v>
      </c>
      <c r="S1" s="1" t="s">
        <v>231</v>
      </c>
    </row>
    <row r="2" spans="1:28" x14ac:dyDescent="0.25">
      <c r="A2" t="s">
        <v>1</v>
      </c>
      <c r="B2" s="17">
        <v>66.683000000000007</v>
      </c>
      <c r="C2" s="17">
        <v>0.95399999999999996</v>
      </c>
      <c r="D2" s="17">
        <f>SUM(B2:C2)</f>
        <v>67.637</v>
      </c>
      <c r="E2" s="19">
        <f>B2/D2</f>
        <v>0.98589529399588993</v>
      </c>
      <c r="F2" s="19">
        <f>C2/D2</f>
        <v>1.4104706004110176E-2</v>
      </c>
      <c r="G2" s="20">
        <v>414</v>
      </c>
      <c r="H2" s="20">
        <v>137</v>
      </c>
      <c r="I2" s="20">
        <v>13</v>
      </c>
      <c r="J2" s="20">
        <v>7</v>
      </c>
      <c r="K2" s="20">
        <f>SUM(G2+H2)</f>
        <v>551</v>
      </c>
      <c r="L2" s="20">
        <f>SUM(I2+J2)</f>
        <v>20</v>
      </c>
      <c r="M2" s="20">
        <f>SUM(K2:L2)</f>
        <v>571</v>
      </c>
      <c r="N2" s="7">
        <v>114</v>
      </c>
      <c r="O2" s="15">
        <v>5</v>
      </c>
      <c r="P2" s="19">
        <f>K2/M2</f>
        <v>0.96497373029772326</v>
      </c>
      <c r="Q2" s="19">
        <f>L2/M2</f>
        <v>3.5026269702276708E-2</v>
      </c>
      <c r="R2" s="21">
        <f>(D2/M2)*1000</f>
        <v>118.45359019264448</v>
      </c>
      <c r="S2" s="7">
        <v>55</v>
      </c>
      <c r="T2" s="15"/>
      <c r="Y2" s="16"/>
      <c r="Z2" s="16"/>
      <c r="AA2" s="16"/>
      <c r="AB2" s="16"/>
    </row>
    <row r="3" spans="1:28" x14ac:dyDescent="0.25">
      <c r="A3" t="s">
        <v>2</v>
      </c>
      <c r="B3" s="17">
        <v>110.49509999999999</v>
      </c>
      <c r="C3" s="17">
        <v>46.541808000000003</v>
      </c>
      <c r="D3" s="17">
        <f>SUM(B3:C3)</f>
        <v>157.03690799999998</v>
      </c>
      <c r="E3" s="19">
        <f t="shared" ref="E3:E9" si="0">B3/D3</f>
        <v>0.70362503571453405</v>
      </c>
      <c r="F3" s="19">
        <f t="shared" ref="F3:F9" si="1">C3/D3</f>
        <v>0.296374964285466</v>
      </c>
      <c r="G3" s="20">
        <v>828</v>
      </c>
      <c r="H3" s="20">
        <v>46</v>
      </c>
      <c r="I3" s="20">
        <v>1473</v>
      </c>
      <c r="J3" s="20">
        <v>72</v>
      </c>
      <c r="K3" s="20">
        <f t="shared" ref="K3:K10" si="2">SUM(G3+H3)</f>
        <v>874</v>
      </c>
      <c r="L3" s="20">
        <f t="shared" ref="L3:L10" si="3">SUM(I3+J3)</f>
        <v>1545</v>
      </c>
      <c r="M3" s="20">
        <f t="shared" ref="M3:M10" si="4">SUM(K3:L3)</f>
        <v>2419</v>
      </c>
      <c r="N3" s="7">
        <v>1509</v>
      </c>
      <c r="O3" s="15">
        <v>1.6</v>
      </c>
      <c r="P3" s="19">
        <f>K3/M3</f>
        <v>0.36130632492765608</v>
      </c>
      <c r="Q3" s="19">
        <f t="shared" ref="Q3:Q10" si="5">L3/M3</f>
        <v>0.63869367507234398</v>
      </c>
      <c r="R3" s="21">
        <f>(D3/M3)*1000</f>
        <v>64.918109962794546</v>
      </c>
      <c r="S3" s="7">
        <v>193</v>
      </c>
      <c r="T3" s="15"/>
      <c r="Y3" s="16"/>
      <c r="Z3" s="16"/>
      <c r="AA3" s="16"/>
      <c r="AB3" s="16"/>
    </row>
    <row r="4" spans="1:28" x14ac:dyDescent="0.25">
      <c r="A4" t="s">
        <v>3</v>
      </c>
      <c r="B4" s="17">
        <v>60.7949736652998</v>
      </c>
      <c r="C4" s="17">
        <v>14.704080261914299</v>
      </c>
      <c r="D4" s="17">
        <f t="shared" ref="D4:D9" si="6">SUM(B4:C4)</f>
        <v>75.499053927214106</v>
      </c>
      <c r="E4" s="19">
        <f t="shared" si="0"/>
        <v>0.80524152956817208</v>
      </c>
      <c r="F4" s="19">
        <f t="shared" si="1"/>
        <v>0.19475847043182778</v>
      </c>
      <c r="G4" s="20">
        <v>306</v>
      </c>
      <c r="H4" s="20">
        <v>29</v>
      </c>
      <c r="I4" s="20">
        <v>296</v>
      </c>
      <c r="J4" s="20">
        <v>70</v>
      </c>
      <c r="K4" s="20">
        <f t="shared" si="2"/>
        <v>335</v>
      </c>
      <c r="L4" s="20">
        <f t="shared" si="3"/>
        <v>366</v>
      </c>
      <c r="M4" s="20">
        <f t="shared" si="4"/>
        <v>701</v>
      </c>
      <c r="N4" s="7">
        <v>251</v>
      </c>
      <c r="O4" s="15">
        <v>2.8</v>
      </c>
      <c r="P4" s="19">
        <f>K4/M4</f>
        <v>0.47788873038516405</v>
      </c>
      <c r="Q4" s="19">
        <f t="shared" si="5"/>
        <v>0.52211126961483589</v>
      </c>
      <c r="R4" s="21">
        <f t="shared" ref="R4:R5" si="7">(D4/M4)*1000</f>
        <v>107.70193142255935</v>
      </c>
      <c r="S4" s="7">
        <v>101</v>
      </c>
      <c r="T4" s="15"/>
      <c r="Y4" s="16"/>
      <c r="Z4" s="16"/>
      <c r="AA4" s="16"/>
      <c r="AB4" s="16"/>
    </row>
    <row r="5" spans="1:28" x14ac:dyDescent="0.25">
      <c r="A5" t="s">
        <v>4</v>
      </c>
      <c r="B5" s="57">
        <v>136</v>
      </c>
      <c r="C5" s="57">
        <v>58</v>
      </c>
      <c r="D5" s="57">
        <f t="shared" si="6"/>
        <v>194</v>
      </c>
      <c r="E5" s="58">
        <v>0</v>
      </c>
      <c r="F5" s="58">
        <v>0</v>
      </c>
      <c r="G5" s="20">
        <v>1436</v>
      </c>
      <c r="H5" s="20">
        <v>0</v>
      </c>
      <c r="I5" s="20">
        <v>115</v>
      </c>
      <c r="J5" s="20">
        <v>0</v>
      </c>
      <c r="K5" s="20">
        <f t="shared" si="2"/>
        <v>1436</v>
      </c>
      <c r="L5" s="20">
        <f t="shared" si="3"/>
        <v>115</v>
      </c>
      <c r="M5" s="20">
        <f t="shared" si="4"/>
        <v>1551</v>
      </c>
      <c r="N5" s="7">
        <v>204</v>
      </c>
      <c r="O5" s="15">
        <v>7.6</v>
      </c>
      <c r="P5" s="19">
        <f>K5/M5</f>
        <v>0.92585428755641519</v>
      </c>
      <c r="Q5" s="19">
        <f t="shared" si="5"/>
        <v>7.4145712443584783E-2</v>
      </c>
      <c r="R5" s="21">
        <f t="shared" si="7"/>
        <v>125.08059316569955</v>
      </c>
      <c r="S5" s="7">
        <v>229</v>
      </c>
      <c r="T5" s="15"/>
      <c r="Y5" s="16"/>
      <c r="Z5" s="16"/>
      <c r="AA5" s="16"/>
      <c r="AB5" s="16"/>
    </row>
    <row r="6" spans="1:28" x14ac:dyDescent="0.25">
      <c r="A6" t="s">
        <v>7</v>
      </c>
      <c r="B6" s="17">
        <v>0</v>
      </c>
      <c r="C6" s="17">
        <v>0</v>
      </c>
      <c r="D6" s="17">
        <v>0</v>
      </c>
      <c r="E6" s="19">
        <v>0</v>
      </c>
      <c r="F6" s="19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2"/>
        <v>0</v>
      </c>
      <c r="L6" s="20">
        <f t="shared" si="3"/>
        <v>0</v>
      </c>
      <c r="M6" s="20">
        <f t="shared" si="4"/>
        <v>0</v>
      </c>
      <c r="N6" s="7">
        <v>0</v>
      </c>
      <c r="O6" s="15">
        <v>0</v>
      </c>
      <c r="P6" s="19">
        <v>0</v>
      </c>
      <c r="Q6" s="19">
        <v>0</v>
      </c>
      <c r="R6" s="21">
        <v>0</v>
      </c>
      <c r="S6" s="7">
        <v>0</v>
      </c>
      <c r="T6" s="15"/>
      <c r="Y6" s="16"/>
      <c r="Z6" s="16"/>
      <c r="AA6" s="16"/>
      <c r="AB6" s="16"/>
    </row>
    <row r="7" spans="1:28" x14ac:dyDescent="0.25">
      <c r="A7" t="s">
        <v>8</v>
      </c>
      <c r="B7" s="17">
        <v>0</v>
      </c>
      <c r="C7" s="17">
        <v>0</v>
      </c>
      <c r="D7" s="17">
        <v>0</v>
      </c>
      <c r="E7" s="19">
        <v>0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0">
        <f t="shared" si="2"/>
        <v>0</v>
      </c>
      <c r="L7" s="20">
        <f t="shared" si="3"/>
        <v>0</v>
      </c>
      <c r="M7" s="20">
        <f t="shared" si="4"/>
        <v>0</v>
      </c>
      <c r="N7" s="7">
        <v>0</v>
      </c>
      <c r="O7" s="15">
        <v>0</v>
      </c>
      <c r="P7" s="19">
        <v>0</v>
      </c>
      <c r="Q7" s="19">
        <v>0</v>
      </c>
      <c r="R7" s="21">
        <v>0</v>
      </c>
      <c r="S7" s="7">
        <v>0</v>
      </c>
      <c r="T7" s="15"/>
      <c r="Y7" s="16"/>
      <c r="Z7" s="16"/>
      <c r="AA7" s="16"/>
      <c r="AB7" s="16"/>
    </row>
    <row r="8" spans="1:28" x14ac:dyDescent="0.25">
      <c r="A8" t="s">
        <v>5</v>
      </c>
      <c r="B8" s="17">
        <v>103.580667226</v>
      </c>
      <c r="C8" s="17">
        <v>3.3065339800000002</v>
      </c>
      <c r="D8" s="17">
        <f t="shared" si="6"/>
        <v>106.887201206</v>
      </c>
      <c r="E8" s="19">
        <f t="shared" si="0"/>
        <v>0.96906520198215851</v>
      </c>
      <c r="F8" s="19">
        <f t="shared" si="1"/>
        <v>3.0934798017841554E-2</v>
      </c>
      <c r="G8" s="20">
        <v>740</v>
      </c>
      <c r="H8" s="20">
        <v>0</v>
      </c>
      <c r="I8" s="20">
        <v>64</v>
      </c>
      <c r="J8" s="20">
        <v>0</v>
      </c>
      <c r="K8" s="20">
        <f t="shared" si="2"/>
        <v>740</v>
      </c>
      <c r="L8" s="20">
        <f t="shared" si="3"/>
        <v>64</v>
      </c>
      <c r="M8" s="20">
        <f>SUM(K8:L8)+19</f>
        <v>823</v>
      </c>
      <c r="N8" s="7">
        <v>172</v>
      </c>
      <c r="O8" s="15">
        <v>4.7</v>
      </c>
      <c r="P8" s="19">
        <f>K8/M8</f>
        <v>0.89914945321992712</v>
      </c>
      <c r="Q8" s="19">
        <f t="shared" si="5"/>
        <v>7.7764277035236931E-2</v>
      </c>
      <c r="R8" s="21">
        <f t="shared" ref="R8:R10" si="8">(D8/M8)*1000</f>
        <v>129.87509259538274</v>
      </c>
      <c r="S8" s="7">
        <v>149</v>
      </c>
      <c r="T8" s="15"/>
      <c r="Y8" s="16"/>
      <c r="Z8" s="16"/>
      <c r="AA8" s="16"/>
      <c r="AB8" s="16"/>
    </row>
    <row r="9" spans="1:28" x14ac:dyDescent="0.25">
      <c r="A9" t="s">
        <v>6</v>
      </c>
      <c r="B9" s="17">
        <v>197</v>
      </c>
      <c r="C9" s="17">
        <v>28.7</v>
      </c>
      <c r="D9" s="17">
        <f t="shared" si="6"/>
        <v>225.7</v>
      </c>
      <c r="E9" s="19">
        <f t="shared" si="0"/>
        <v>0.87284005316792201</v>
      </c>
      <c r="F9" s="19">
        <f t="shared" si="1"/>
        <v>0.12715994683207799</v>
      </c>
      <c r="G9" s="20">
        <v>627</v>
      </c>
      <c r="H9" s="20">
        <v>106</v>
      </c>
      <c r="I9" s="20">
        <v>100</v>
      </c>
      <c r="J9" s="20">
        <v>475</v>
      </c>
      <c r="K9" s="20">
        <f t="shared" si="2"/>
        <v>733</v>
      </c>
      <c r="L9" s="20">
        <f t="shared" si="3"/>
        <v>575</v>
      </c>
      <c r="M9" s="20">
        <f t="shared" si="4"/>
        <v>1308</v>
      </c>
      <c r="N9" s="7">
        <v>420</v>
      </c>
      <c r="O9" s="15">
        <v>3.1</v>
      </c>
      <c r="P9" s="19">
        <f>K9/M9</f>
        <v>0.56039755351681952</v>
      </c>
      <c r="Q9" s="19">
        <f t="shared" si="5"/>
        <v>0.43960244648318042</v>
      </c>
      <c r="R9" s="21">
        <f t="shared" si="8"/>
        <v>172.55351681957185</v>
      </c>
      <c r="S9" s="7">
        <v>102</v>
      </c>
      <c r="T9" s="15"/>
      <c r="Y9" s="16"/>
      <c r="Z9" s="16"/>
      <c r="AA9" s="16"/>
      <c r="AB9" s="16"/>
    </row>
    <row r="10" spans="1:28" x14ac:dyDescent="0.25">
      <c r="A10" t="s">
        <v>290</v>
      </c>
      <c r="B10" s="17">
        <v>226.4</v>
      </c>
      <c r="C10" s="17">
        <v>24</v>
      </c>
      <c r="D10" s="17">
        <f>SUM(B10:C10)</f>
        <v>250.4</v>
      </c>
      <c r="E10" s="19">
        <f>B10/D10</f>
        <v>0.90415335463258784</v>
      </c>
      <c r="F10" s="19">
        <f>C10/D10</f>
        <v>9.5846645367412137E-2</v>
      </c>
      <c r="G10" s="20">
        <v>2770</v>
      </c>
      <c r="H10" s="63">
        <v>0</v>
      </c>
      <c r="I10" s="20">
        <v>858</v>
      </c>
      <c r="J10" s="63">
        <v>0</v>
      </c>
      <c r="K10" s="20">
        <f t="shared" si="2"/>
        <v>2770</v>
      </c>
      <c r="L10" s="20">
        <f t="shared" si="3"/>
        <v>858</v>
      </c>
      <c r="M10" s="20">
        <f t="shared" si="4"/>
        <v>3628</v>
      </c>
      <c r="N10" s="7">
        <f>1262</f>
        <v>1262</v>
      </c>
      <c r="O10" s="15">
        <f>M10/N10</f>
        <v>2.8748019017432647</v>
      </c>
      <c r="P10" s="19">
        <f>K10/M10</f>
        <v>0.76350606394707832</v>
      </c>
      <c r="Q10" s="19">
        <f t="shared" si="5"/>
        <v>0.23649393605292171</v>
      </c>
      <c r="R10" s="21">
        <f t="shared" si="8"/>
        <v>69.018743109151046</v>
      </c>
      <c r="S10" s="7">
        <v>553</v>
      </c>
      <c r="T10" s="15"/>
      <c r="Y10" s="16"/>
      <c r="Z10" s="16"/>
      <c r="AA10" s="16"/>
      <c r="AB10" s="16"/>
    </row>
    <row r="11" spans="1:28" x14ac:dyDescent="0.25">
      <c r="A11" t="s">
        <v>147</v>
      </c>
      <c r="B11" s="16">
        <f>SUM(B2+B3+B4+B5+B8+B9+B10)/7</f>
        <v>128.70767727018568</v>
      </c>
      <c r="C11" s="16">
        <f t="shared" ref="C11:R11" si="9">SUM(C2:C10)/7</f>
        <v>25.172346034559187</v>
      </c>
      <c r="D11" s="16">
        <f t="shared" si="9"/>
        <v>153.88002330474487</v>
      </c>
      <c r="E11" s="59">
        <f t="shared" si="9"/>
        <v>0.74868863843732358</v>
      </c>
      <c r="F11" s="59">
        <f t="shared" si="9"/>
        <v>0.10845421870553366</v>
      </c>
      <c r="G11" s="20">
        <f t="shared" si="9"/>
        <v>1017.2857142857143</v>
      </c>
      <c r="H11" s="20">
        <f t="shared" si="9"/>
        <v>45.428571428571431</v>
      </c>
      <c r="I11" s="20">
        <f t="shared" si="9"/>
        <v>417</v>
      </c>
      <c r="J11" s="20">
        <f t="shared" si="9"/>
        <v>89.142857142857139</v>
      </c>
      <c r="K11" s="20">
        <f t="shared" si="9"/>
        <v>1062.7142857142858</v>
      </c>
      <c r="L11" s="20">
        <f t="shared" si="9"/>
        <v>506.14285714285717</v>
      </c>
      <c r="M11" s="20">
        <f t="shared" si="9"/>
        <v>1571.5714285714287</v>
      </c>
      <c r="N11" s="20">
        <f t="shared" si="9"/>
        <v>561.71428571428567</v>
      </c>
      <c r="O11" s="20">
        <f t="shared" si="9"/>
        <v>3.9535431288204665</v>
      </c>
      <c r="P11" s="19">
        <f t="shared" si="9"/>
        <v>0.70758230626439755</v>
      </c>
      <c r="Q11" s="19">
        <f t="shared" si="9"/>
        <v>0.28911965520062577</v>
      </c>
      <c r="R11" s="21">
        <f t="shared" si="9"/>
        <v>112.51451103825767</v>
      </c>
      <c r="S11" s="7">
        <f>SUM(S2:S10)</f>
        <v>1382</v>
      </c>
      <c r="T11" s="2"/>
      <c r="U11" s="2"/>
      <c r="V11" s="2"/>
      <c r="W11" s="2"/>
      <c r="X11" s="2"/>
      <c r="Y11" s="16"/>
      <c r="Z11" s="16"/>
      <c r="AA11" s="16"/>
      <c r="AB11" s="16"/>
    </row>
    <row r="12" spans="1:28" x14ac:dyDescent="0.25">
      <c r="O12" s="15"/>
    </row>
    <row r="13" spans="1:28" x14ac:dyDescent="0.25">
      <c r="O13" s="7"/>
    </row>
    <row r="14" spans="1:28" x14ac:dyDescent="0.25">
      <c r="A14" t="s">
        <v>284</v>
      </c>
    </row>
    <row r="17" spans="14:15" x14ac:dyDescent="0.25">
      <c r="N17" s="7"/>
      <c r="O17" s="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C53A-BAE8-486B-826A-B38A098E90BE}">
  <sheetPr codeName="Sheet6"/>
  <dimension ref="A1:K17"/>
  <sheetViews>
    <sheetView workbookViewId="0">
      <pane xSplit="1" ySplit="11" topLeftCell="B12" activePane="bottomRight" state="frozen"/>
      <selection pane="topRight" activeCell="K1" sqref="K1"/>
      <selection pane="bottomLeft" activeCell="A12" sqref="A12"/>
      <selection pane="bottomRight" activeCell="C23" sqref="C23"/>
    </sheetView>
  </sheetViews>
  <sheetFormatPr defaultColWidth="8.85546875" defaultRowHeight="15" x14ac:dyDescent="0.25"/>
  <cols>
    <col min="1" max="1" width="12.42578125" bestFit="1" customWidth="1"/>
    <col min="2" max="2" width="19.140625" bestFit="1" customWidth="1"/>
    <col min="3" max="3" width="13.42578125" bestFit="1" customWidth="1"/>
    <col min="4" max="4" width="14.140625" bestFit="1" customWidth="1"/>
    <col min="5" max="5" width="9.42578125" bestFit="1" customWidth="1"/>
    <col min="6" max="6" width="9.7109375" bestFit="1" customWidth="1"/>
    <col min="7" max="7" width="21.140625" bestFit="1" customWidth="1"/>
    <col min="8" max="8" width="15.42578125" bestFit="1" customWidth="1"/>
    <col min="9" max="9" width="16.140625" bestFit="1" customWidth="1"/>
    <col min="10" max="10" width="11.42578125" bestFit="1" customWidth="1"/>
    <col min="11" max="11" width="14.140625" bestFit="1" customWidth="1"/>
  </cols>
  <sheetData>
    <row r="1" spans="1:11" s="1" customFormat="1" x14ac:dyDescent="0.25">
      <c r="A1" s="1" t="s">
        <v>0</v>
      </c>
      <c r="B1" s="1" t="s">
        <v>167</v>
      </c>
      <c r="C1" s="1" t="s">
        <v>169</v>
      </c>
      <c r="D1" s="1" t="s">
        <v>168</v>
      </c>
      <c r="E1" s="1" t="s">
        <v>170</v>
      </c>
      <c r="F1" s="1" t="s">
        <v>171</v>
      </c>
      <c r="G1" s="1" t="s">
        <v>174</v>
      </c>
      <c r="H1" s="1" t="s">
        <v>175</v>
      </c>
      <c r="I1" s="1" t="s">
        <v>176</v>
      </c>
      <c r="J1" s="1" t="s">
        <v>177</v>
      </c>
    </row>
    <row r="2" spans="1:11" x14ac:dyDescent="0.25">
      <c r="A2" t="s">
        <v>1</v>
      </c>
      <c r="B2" s="7">
        <v>13.25</v>
      </c>
      <c r="C2" s="7">
        <v>23.6666666666667</v>
      </c>
      <c r="D2" s="7">
        <v>88</v>
      </c>
      <c r="E2" s="7">
        <v>301.83333333333297</v>
      </c>
      <c r="F2" s="7">
        <f t="shared" ref="F2:F10" si="0">SUM(B2:E2)</f>
        <v>426.74999999999966</v>
      </c>
      <c r="G2" s="6">
        <f>B2/F2</f>
        <v>3.1048623315758667E-2</v>
      </c>
      <c r="H2" s="6">
        <f>C2/F2</f>
        <v>5.5457918375317446E-2</v>
      </c>
      <c r="I2" s="6">
        <f>D2/F2</f>
        <v>0.20620972466315191</v>
      </c>
      <c r="J2" s="6">
        <f>E2/F2</f>
        <v>0.70728373364577202</v>
      </c>
      <c r="K2" s="16"/>
    </row>
    <row r="3" spans="1:11" x14ac:dyDescent="0.25">
      <c r="A3" t="s">
        <v>2</v>
      </c>
      <c r="B3" s="7">
        <v>44</v>
      </c>
      <c r="C3" s="7">
        <v>114</v>
      </c>
      <c r="D3" s="7">
        <v>206</v>
      </c>
      <c r="E3" s="7">
        <v>1937</v>
      </c>
      <c r="F3" s="7">
        <f t="shared" si="0"/>
        <v>2301</v>
      </c>
      <c r="G3" s="6">
        <f>B3/F3</f>
        <v>1.912212081703607E-2</v>
      </c>
      <c r="H3" s="6">
        <f>C3/F3</f>
        <v>4.9543676662320728E-2</v>
      </c>
      <c r="I3" s="6">
        <f>D3/F3</f>
        <v>8.9526292916123421E-2</v>
      </c>
      <c r="J3" s="6">
        <f>E3/F3</f>
        <v>0.84180790960451979</v>
      </c>
      <c r="K3" s="16"/>
    </row>
    <row r="4" spans="1:11" x14ac:dyDescent="0.25">
      <c r="A4" t="s">
        <v>3</v>
      </c>
      <c r="B4" s="7">
        <v>9</v>
      </c>
      <c r="C4" s="7">
        <v>40</v>
      </c>
      <c r="D4" s="7">
        <v>78</v>
      </c>
      <c r="E4" s="7">
        <v>475</v>
      </c>
      <c r="F4" s="7">
        <f t="shared" si="0"/>
        <v>602</v>
      </c>
      <c r="G4" s="6">
        <f>B4/F4</f>
        <v>1.4950166112956811E-2</v>
      </c>
      <c r="H4" s="6">
        <f>C4/F4</f>
        <v>6.6445182724252497E-2</v>
      </c>
      <c r="I4" s="6">
        <f>D4/F4</f>
        <v>0.12956810631229235</v>
      </c>
      <c r="J4" s="6">
        <f>E4/F4</f>
        <v>0.78903654485049834</v>
      </c>
      <c r="K4" s="16"/>
    </row>
    <row r="5" spans="1:11" x14ac:dyDescent="0.25">
      <c r="A5" t="s">
        <v>4</v>
      </c>
      <c r="B5" s="7">
        <v>95</v>
      </c>
      <c r="C5" s="7">
        <v>126</v>
      </c>
      <c r="D5" s="7">
        <v>408</v>
      </c>
      <c r="E5" s="7">
        <v>865</v>
      </c>
      <c r="F5" s="7">
        <f t="shared" si="0"/>
        <v>1494</v>
      </c>
      <c r="G5" s="6">
        <f>B5/F5</f>
        <v>6.358768406961178E-2</v>
      </c>
      <c r="H5" s="6">
        <f>C5/F5</f>
        <v>8.4337349397590355E-2</v>
      </c>
      <c r="I5" s="6">
        <f>D5/F5</f>
        <v>0.27309236947791166</v>
      </c>
      <c r="J5" s="6">
        <f>E5/F5</f>
        <v>0.57898259705488619</v>
      </c>
      <c r="K5" s="16"/>
    </row>
    <row r="6" spans="1:11" x14ac:dyDescent="0.25">
      <c r="A6" t="s">
        <v>7</v>
      </c>
      <c r="B6" s="7">
        <v>0</v>
      </c>
      <c r="C6" s="7">
        <v>0</v>
      </c>
      <c r="D6" s="7">
        <v>0</v>
      </c>
      <c r="E6" s="7">
        <v>0</v>
      </c>
      <c r="F6" s="7">
        <f t="shared" si="0"/>
        <v>0</v>
      </c>
      <c r="G6" s="6">
        <v>0</v>
      </c>
      <c r="H6" s="6">
        <v>0</v>
      </c>
      <c r="I6" s="6">
        <v>0</v>
      </c>
      <c r="J6" s="6">
        <v>0</v>
      </c>
      <c r="K6" s="16"/>
    </row>
    <row r="7" spans="1:11" x14ac:dyDescent="0.25">
      <c r="A7" t="s">
        <v>8</v>
      </c>
      <c r="B7" s="7">
        <v>0</v>
      </c>
      <c r="C7" s="7">
        <v>0</v>
      </c>
      <c r="D7" s="7">
        <v>0</v>
      </c>
      <c r="E7" s="7">
        <v>0</v>
      </c>
      <c r="F7" s="7">
        <f t="shared" si="0"/>
        <v>0</v>
      </c>
      <c r="G7" s="6">
        <v>0</v>
      </c>
      <c r="H7" s="6">
        <v>0</v>
      </c>
      <c r="I7" s="6">
        <v>0</v>
      </c>
      <c r="J7" s="6">
        <v>0</v>
      </c>
      <c r="K7" s="16"/>
    </row>
    <row r="8" spans="1:11" x14ac:dyDescent="0.25">
      <c r="A8" t="s">
        <v>5</v>
      </c>
      <c r="B8" s="7">
        <v>0</v>
      </c>
      <c r="C8" s="7">
        <v>0</v>
      </c>
      <c r="D8" s="7">
        <v>0</v>
      </c>
      <c r="E8" s="7">
        <v>0</v>
      </c>
      <c r="F8" s="7">
        <f t="shared" si="0"/>
        <v>0</v>
      </c>
      <c r="G8" s="6">
        <v>0</v>
      </c>
      <c r="H8" s="6">
        <v>0</v>
      </c>
      <c r="I8" s="6">
        <v>0</v>
      </c>
      <c r="J8" s="6">
        <v>0</v>
      </c>
      <c r="K8" s="16"/>
    </row>
    <row r="9" spans="1:11" x14ac:dyDescent="0.25">
      <c r="A9" t="s">
        <v>6</v>
      </c>
      <c r="B9" s="7">
        <v>22</v>
      </c>
      <c r="C9" s="7">
        <v>71</v>
      </c>
      <c r="D9" s="7">
        <v>87</v>
      </c>
      <c r="E9" s="7">
        <v>547</v>
      </c>
      <c r="F9" s="7">
        <f t="shared" si="0"/>
        <v>727</v>
      </c>
      <c r="G9" s="6">
        <f>B9/F9</f>
        <v>3.0261348005502064E-2</v>
      </c>
      <c r="H9" s="6">
        <f>C9/F9</f>
        <v>9.7661623108665746E-2</v>
      </c>
      <c r="I9" s="6">
        <f>D9/F9</f>
        <v>0.11966987620357634</v>
      </c>
      <c r="J9" s="6">
        <f>E9/F9</f>
        <v>0.75240715268225589</v>
      </c>
      <c r="K9" s="16"/>
    </row>
    <row r="10" spans="1:11" x14ac:dyDescent="0.25">
      <c r="A10" t="s">
        <v>290</v>
      </c>
      <c r="B10" s="35">
        <f>'Assumptions &amp; Data input'!E16</f>
        <v>82.454545454545453</v>
      </c>
      <c r="C10" s="35">
        <f>'Assumptions &amp; Data input'!E17</f>
        <v>247.36363636363637</v>
      </c>
      <c r="D10" s="35">
        <f>'Assumptions &amp; Data input'!E18</f>
        <v>824.5454545454545</v>
      </c>
      <c r="E10" s="35">
        <f>'Assumptions &amp; Data input'!E19</f>
        <v>2473.6363636363635</v>
      </c>
      <c r="F10" s="7">
        <f t="shared" si="0"/>
        <v>3628</v>
      </c>
      <c r="G10" s="6">
        <f>B10/F10</f>
        <v>2.2727272727272728E-2</v>
      </c>
      <c r="H10" s="6">
        <f>C10/F10</f>
        <v>6.8181818181818191E-2</v>
      </c>
      <c r="I10" s="6">
        <f>D10/F10</f>
        <v>0.22727272727272727</v>
      </c>
      <c r="J10" s="6">
        <f>E10/F10</f>
        <v>0.68181818181818177</v>
      </c>
      <c r="K10" s="16"/>
    </row>
    <row r="11" spans="1:11" x14ac:dyDescent="0.25">
      <c r="A11" t="s">
        <v>147</v>
      </c>
      <c r="B11" s="7">
        <f t="shared" ref="B11:J11" si="1">SUM(B2:B10)/7</f>
        <v>37.957792207792203</v>
      </c>
      <c r="C11" s="7">
        <f t="shared" si="1"/>
        <v>88.861471861471856</v>
      </c>
      <c r="D11" s="7">
        <f t="shared" si="1"/>
        <v>241.64935064935065</v>
      </c>
      <c r="E11" s="7">
        <f t="shared" si="1"/>
        <v>942.78138528138516</v>
      </c>
      <c r="F11" s="7">
        <f t="shared" si="1"/>
        <v>1311.25</v>
      </c>
      <c r="G11" s="6">
        <f t="shared" si="1"/>
        <v>2.5956745006876874E-2</v>
      </c>
      <c r="H11" s="6">
        <f t="shared" si="1"/>
        <v>6.0232509778566416E-2</v>
      </c>
      <c r="I11" s="6">
        <f t="shared" si="1"/>
        <v>0.14933415669225472</v>
      </c>
      <c r="J11" s="6">
        <f t="shared" si="1"/>
        <v>0.62161944566515914</v>
      </c>
      <c r="K11" s="16"/>
    </row>
    <row r="13" spans="1:11" x14ac:dyDescent="0.25">
      <c r="F13" s="7"/>
    </row>
    <row r="17" spans="6:6" x14ac:dyDescent="0.25">
      <c r="F17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E477-C92E-4E53-8F35-8C4D7B7412F4}">
  <sheetPr codeName="Sheet7"/>
  <dimension ref="A1:Q14"/>
  <sheetViews>
    <sheetView workbookViewId="0">
      <pane xSplit="1" ySplit="11" topLeftCell="B12" activePane="bottomRight" state="frozen"/>
      <selection pane="topRight" activeCell="K1" sqref="K1"/>
      <selection pane="bottomLeft" activeCell="A12" sqref="A12"/>
      <selection pane="bottomRight" activeCell="A10" sqref="A10"/>
    </sheetView>
  </sheetViews>
  <sheetFormatPr defaultRowHeight="15" x14ac:dyDescent="0.25"/>
  <cols>
    <col min="1" max="1" width="12.42578125" bestFit="1" customWidth="1"/>
    <col min="2" max="2" width="19.5703125" bestFit="1" customWidth="1"/>
    <col min="3" max="3" width="24.140625" bestFit="1" customWidth="1"/>
    <col min="4" max="5" width="24.140625" customWidth="1"/>
    <col min="6" max="6" width="9.85546875" bestFit="1" customWidth="1"/>
    <col min="7" max="7" width="27.7109375" bestFit="1" customWidth="1"/>
    <col min="8" max="8" width="33" bestFit="1" customWidth="1"/>
    <col min="9" max="9" width="32.28515625" bestFit="1" customWidth="1"/>
    <col min="10" max="10" width="15.28515625" customWidth="1"/>
    <col min="11" max="11" width="17.5703125" bestFit="1" customWidth="1"/>
    <col min="12" max="13" width="13.28515625" bestFit="1" customWidth="1"/>
    <col min="14" max="14" width="16.5703125" bestFit="1" customWidth="1"/>
    <col min="15" max="15" width="18.140625" bestFit="1" customWidth="1"/>
    <col min="16" max="16" width="22.7109375" bestFit="1" customWidth="1"/>
    <col min="17" max="17" width="7.5703125" bestFit="1" customWidth="1"/>
  </cols>
  <sheetData>
    <row r="1" spans="1:17" s="1" customFormat="1" x14ac:dyDescent="0.25">
      <c r="A1" s="1" t="s">
        <v>0</v>
      </c>
      <c r="B1" s="1" t="s">
        <v>196</v>
      </c>
      <c r="C1" s="1" t="s">
        <v>197</v>
      </c>
      <c r="D1" s="1" t="s">
        <v>205</v>
      </c>
      <c r="E1" s="1" t="s">
        <v>206</v>
      </c>
      <c r="F1" s="1" t="s">
        <v>204</v>
      </c>
      <c r="G1" s="1" t="s">
        <v>207</v>
      </c>
      <c r="H1" s="1" t="s">
        <v>208</v>
      </c>
      <c r="I1" s="1" t="s">
        <v>209</v>
      </c>
      <c r="J1" s="1" t="s">
        <v>200</v>
      </c>
      <c r="K1" s="1" t="s">
        <v>201</v>
      </c>
      <c r="L1" s="1" t="s">
        <v>198</v>
      </c>
      <c r="M1" s="1" t="s">
        <v>199</v>
      </c>
      <c r="N1" s="1" t="s">
        <v>210</v>
      </c>
      <c r="O1" s="1" t="s">
        <v>202</v>
      </c>
      <c r="P1" s="1" t="s">
        <v>203</v>
      </c>
      <c r="Q1" s="1" t="s">
        <v>143</v>
      </c>
    </row>
    <row r="2" spans="1:17" x14ac:dyDescent="0.25">
      <c r="A2" t="s">
        <v>1</v>
      </c>
      <c r="B2" s="10">
        <v>15.686</v>
      </c>
      <c r="C2" s="10">
        <v>5.65</v>
      </c>
      <c r="D2" s="10">
        <v>4.2590000000000003</v>
      </c>
      <c r="E2" s="10">
        <f>B2-D2</f>
        <v>11.427</v>
      </c>
      <c r="F2" s="10">
        <f>SUM(B2+C2)</f>
        <v>21.335999999999999</v>
      </c>
      <c r="G2" s="6">
        <f>E2/F2</f>
        <v>0.53557367829021374</v>
      </c>
      <c r="H2" s="6">
        <f>D2/F2</f>
        <v>0.19961567304086991</v>
      </c>
      <c r="I2" s="6">
        <f>C2/F2</f>
        <v>0.2648106486689164</v>
      </c>
      <c r="J2" s="10">
        <v>186.18397626112758</v>
      </c>
      <c r="K2" s="10">
        <v>67.062314540059347</v>
      </c>
      <c r="L2" s="10">
        <f t="shared" ref="L2:L10" si="0">SUM(J2:K2)</f>
        <v>253.24629080118694</v>
      </c>
      <c r="M2" s="22">
        <v>84</v>
      </c>
      <c r="N2" s="22">
        <f>'HCC_LCC Overview'!M2-M2</f>
        <v>487</v>
      </c>
      <c r="O2" s="23">
        <f>M2/'HCC_LCC Overview'!M2</f>
        <v>0.14711033274956217</v>
      </c>
      <c r="P2" s="6">
        <f>N2/'HCC_LCC Overview'!M2</f>
        <v>0.8528896672504378</v>
      </c>
      <c r="Q2" s="6">
        <v>0.12223571739578797</v>
      </c>
    </row>
    <row r="3" spans="1:17" x14ac:dyDescent="0.25">
      <c r="A3" t="s">
        <v>2</v>
      </c>
      <c r="B3" s="10">
        <v>30.6357794206595</v>
      </c>
      <c r="C3" s="10">
        <v>5.2409232383447097</v>
      </c>
      <c r="D3" s="10">
        <v>5.15</v>
      </c>
      <c r="E3" s="10">
        <f t="shared" ref="E3:E9" si="1">B3-D3</f>
        <v>25.485779420659497</v>
      </c>
      <c r="F3" s="10">
        <f t="shared" ref="F3:F10" si="2">SUM(B3+C3)</f>
        <v>35.876702659004209</v>
      </c>
      <c r="G3" s="6">
        <f t="shared" ref="G3:G10" si="3">E3/F3</f>
        <v>0.71037128642766079</v>
      </c>
      <c r="H3" s="6">
        <f t="shared" ref="H3:H10" si="4">D3/F3</f>
        <v>0.14354719409275121</v>
      </c>
      <c r="I3" s="6">
        <f t="shared" ref="I3:I10" si="5">C3/F3</f>
        <v>0.146081519479588</v>
      </c>
      <c r="J3" s="10">
        <v>195.13235299783119</v>
      </c>
      <c r="K3" s="10">
        <v>33.381676677354839</v>
      </c>
      <c r="L3" s="10">
        <f t="shared" si="0"/>
        <v>228.51402967518604</v>
      </c>
      <c r="M3" s="22">
        <v>157</v>
      </c>
      <c r="N3" s="22">
        <f>'HCC_LCC Overview'!M3-M3</f>
        <v>2262</v>
      </c>
      <c r="O3" s="23">
        <f>M3/'HCC_LCC Overview'!M3</f>
        <v>6.4902852418354695E-2</v>
      </c>
      <c r="P3" s="6">
        <f>N3/'HCC_LCC Overview'!M3</f>
        <v>0.9350971475816453</v>
      </c>
      <c r="Q3" s="6">
        <v>8.7525500509890733E-2</v>
      </c>
    </row>
    <row r="4" spans="1:17" x14ac:dyDescent="0.25">
      <c r="A4" t="s">
        <v>3</v>
      </c>
      <c r="B4" s="10">
        <v>32.194080056817619</v>
      </c>
      <c r="C4" s="10">
        <v>5.3280778973511103</v>
      </c>
      <c r="D4" s="10">
        <v>7.5816697922051404</v>
      </c>
      <c r="E4" s="10">
        <f t="shared" si="1"/>
        <v>24.612410264612478</v>
      </c>
      <c r="F4" s="10">
        <f t="shared" si="2"/>
        <v>37.522157954168726</v>
      </c>
      <c r="G4" s="6">
        <f t="shared" si="3"/>
        <v>0.65594335738032972</v>
      </c>
      <c r="H4" s="6">
        <f t="shared" si="4"/>
        <v>0.20205846906421901</v>
      </c>
      <c r="I4" s="6">
        <f t="shared" si="5"/>
        <v>0.14199817355545136</v>
      </c>
      <c r="J4" s="10">
        <v>166.80870495760425</v>
      </c>
      <c r="K4" s="10">
        <v>27.606621229798499</v>
      </c>
      <c r="L4" s="10">
        <f t="shared" si="0"/>
        <v>194.41532618740274</v>
      </c>
      <c r="M4" s="22">
        <v>193</v>
      </c>
      <c r="N4" s="22">
        <f>'HCC_LCC Overview'!M4-M4</f>
        <v>508</v>
      </c>
      <c r="O4" s="23">
        <f>M4/'HCC_LCC Overview'!M4</f>
        <v>0.27532097004279599</v>
      </c>
      <c r="P4" s="6">
        <f>N4/'HCC_LCC Overview'!M4</f>
        <v>0.72467902995720401</v>
      </c>
      <c r="Q4" s="6">
        <v>0.25381633585285579</v>
      </c>
    </row>
    <row r="5" spans="1:17" x14ac:dyDescent="0.25">
      <c r="A5" t="s">
        <v>4</v>
      </c>
      <c r="B5" s="10">
        <v>59.339093213899631</v>
      </c>
      <c r="C5" s="10">
        <v>12.766769633679299</v>
      </c>
      <c r="D5" s="10">
        <v>20.2516198223088</v>
      </c>
      <c r="E5" s="10">
        <f t="shared" si="1"/>
        <v>39.087473391590834</v>
      </c>
      <c r="F5" s="10">
        <f t="shared" si="2"/>
        <v>72.105862847578933</v>
      </c>
      <c r="G5" s="6">
        <f t="shared" si="3"/>
        <v>0.54208453859315076</v>
      </c>
      <c r="H5" s="6">
        <f t="shared" si="4"/>
        <v>0.28085954487664494</v>
      </c>
      <c r="I5" s="6">
        <f t="shared" si="5"/>
        <v>0.17705591653020436</v>
      </c>
      <c r="J5" s="10">
        <v>156.39558940628058</v>
      </c>
      <c r="K5" s="10">
        <v>33.648415463244362</v>
      </c>
      <c r="L5" s="10">
        <f t="shared" si="0"/>
        <v>190.04400486952494</v>
      </c>
      <c r="M5" s="22">
        <v>379</v>
      </c>
      <c r="N5" s="22">
        <f>'HCC_LCC Overview'!M5-M5</f>
        <v>1172</v>
      </c>
      <c r="O5" s="23">
        <f>M5/'HCC_LCC Overview'!M5</f>
        <v>0.24435847840103159</v>
      </c>
      <c r="P5" s="6">
        <f>N5/'HCC_LCC Overview'!M5</f>
        <v>0.75564152159896836</v>
      </c>
      <c r="Q5" s="6">
        <v>0.17052639927794336</v>
      </c>
    </row>
    <row r="6" spans="1:17" x14ac:dyDescent="0.25">
      <c r="A6" t="s">
        <v>7</v>
      </c>
      <c r="B6" s="10">
        <v>0</v>
      </c>
      <c r="C6" s="10">
        <v>0</v>
      </c>
      <c r="D6" s="10">
        <v>0</v>
      </c>
      <c r="E6" s="10">
        <f t="shared" si="1"/>
        <v>0</v>
      </c>
      <c r="F6" s="10">
        <f>SUM(B6+C6)</f>
        <v>0</v>
      </c>
      <c r="G6" s="6">
        <v>0</v>
      </c>
      <c r="H6" s="6">
        <v>0</v>
      </c>
      <c r="I6" s="6">
        <v>0</v>
      </c>
      <c r="J6" s="10">
        <v>0</v>
      </c>
      <c r="K6" s="10">
        <v>0</v>
      </c>
      <c r="L6" s="10">
        <f t="shared" si="0"/>
        <v>0</v>
      </c>
      <c r="M6" s="22">
        <v>0</v>
      </c>
      <c r="N6" s="22">
        <f>'HCC_LCC Overview'!M6-M6</f>
        <v>0</v>
      </c>
      <c r="O6" s="23">
        <v>0</v>
      </c>
      <c r="P6" s="6">
        <v>0</v>
      </c>
      <c r="Q6" s="6">
        <v>0</v>
      </c>
    </row>
    <row r="7" spans="1:17" x14ac:dyDescent="0.25">
      <c r="A7" t="s">
        <v>8</v>
      </c>
      <c r="B7" s="10">
        <v>0</v>
      </c>
      <c r="C7" s="10">
        <v>0</v>
      </c>
      <c r="D7" s="10">
        <v>0</v>
      </c>
      <c r="E7" s="10">
        <f t="shared" si="1"/>
        <v>0</v>
      </c>
      <c r="F7" s="10">
        <f t="shared" si="2"/>
        <v>0</v>
      </c>
      <c r="G7" s="6">
        <v>0</v>
      </c>
      <c r="H7" s="6">
        <v>0</v>
      </c>
      <c r="I7" s="6">
        <v>0</v>
      </c>
      <c r="J7" s="10">
        <v>0</v>
      </c>
      <c r="K7" s="10">
        <v>0</v>
      </c>
      <c r="L7" s="10">
        <f t="shared" si="0"/>
        <v>0</v>
      </c>
      <c r="M7" s="22">
        <v>0</v>
      </c>
      <c r="N7" s="22">
        <f>'HCC_LCC Overview'!M7-M7</f>
        <v>0</v>
      </c>
      <c r="O7" s="23">
        <v>0</v>
      </c>
      <c r="P7" s="6">
        <v>0</v>
      </c>
      <c r="Q7" s="6">
        <v>0</v>
      </c>
    </row>
    <row r="8" spans="1:17" x14ac:dyDescent="0.25">
      <c r="A8" t="s">
        <v>5</v>
      </c>
      <c r="B8" s="10">
        <v>53.257917167531062</v>
      </c>
      <c r="C8" s="10">
        <v>22.932884534569801</v>
      </c>
      <c r="D8" s="10">
        <v>16.8312563537309</v>
      </c>
      <c r="E8" s="10">
        <f t="shared" si="1"/>
        <v>36.426660813800162</v>
      </c>
      <c r="F8" s="10">
        <f t="shared" si="2"/>
        <v>76.190801702100856</v>
      </c>
      <c r="G8" s="6">
        <f t="shared" si="3"/>
        <v>0.47809788058439273</v>
      </c>
      <c r="H8" s="6">
        <f t="shared" si="4"/>
        <v>0.22090929584308078</v>
      </c>
      <c r="I8" s="6">
        <f t="shared" si="5"/>
        <v>0.3009928235725266</v>
      </c>
      <c r="J8" s="10">
        <v>185.2631870997036</v>
      </c>
      <c r="K8" s="10">
        <v>79.774416729426562</v>
      </c>
      <c r="L8" s="10">
        <f t="shared" si="0"/>
        <v>265.03760382913015</v>
      </c>
      <c r="M8" s="22">
        <v>287</v>
      </c>
      <c r="N8" s="22">
        <f>'HCC_LCC Overview'!M8-M8</f>
        <v>536</v>
      </c>
      <c r="O8" s="23">
        <f>M8/'HCC_LCC Overview'!M8</f>
        <v>0.34872417982989062</v>
      </c>
      <c r="P8" s="6">
        <f>N8/'HCC_LCC Overview'!M8</f>
        <v>0.65127582017010932</v>
      </c>
      <c r="Q8" s="6">
        <v>0.2306396790541913</v>
      </c>
    </row>
    <row r="9" spans="1:17" x14ac:dyDescent="0.25">
      <c r="A9" t="s">
        <v>6</v>
      </c>
      <c r="B9" s="10">
        <v>17.2</v>
      </c>
      <c r="C9" s="10">
        <v>4.5</v>
      </c>
      <c r="D9" s="10">
        <v>2.2999999999999998</v>
      </c>
      <c r="E9" s="10">
        <f t="shared" si="1"/>
        <v>14.899999999999999</v>
      </c>
      <c r="F9" s="10">
        <f t="shared" si="2"/>
        <v>21.7</v>
      </c>
      <c r="G9" s="6">
        <f t="shared" si="3"/>
        <v>0.68663594470046074</v>
      </c>
      <c r="H9" s="6">
        <f t="shared" si="4"/>
        <v>0.10599078341013825</v>
      </c>
      <c r="I9" s="6">
        <f t="shared" si="5"/>
        <v>0.20737327188940094</v>
      </c>
      <c r="J9" s="10">
        <v>117.8082191780822</v>
      </c>
      <c r="K9" s="10">
        <v>30.82191780821918</v>
      </c>
      <c r="L9" s="10">
        <f t="shared" si="0"/>
        <v>148.63013698630138</v>
      </c>
      <c r="M9" s="22">
        <v>146</v>
      </c>
      <c r="N9" s="22">
        <f>'HCC_LCC Overview'!M9-M9</f>
        <v>1162</v>
      </c>
      <c r="O9" s="23">
        <f>M9/'HCC_LCC Overview'!M9</f>
        <v>0.11162079510703364</v>
      </c>
      <c r="P9" s="6">
        <f>N9/'HCC_LCC Overview'!M9</f>
        <v>0.8883792048929664</v>
      </c>
      <c r="Q9" s="6">
        <v>9.6444444444444444E-2</v>
      </c>
    </row>
    <row r="10" spans="1:17" x14ac:dyDescent="0.25">
      <c r="A10" t="s">
        <v>290</v>
      </c>
      <c r="B10" s="10">
        <v>46.6</v>
      </c>
      <c r="C10" s="10">
        <f>'Key Cost &amp; Productivity Metrics'!O14-'Sales Overview Data'!B10</f>
        <v>75.731999999999999</v>
      </c>
      <c r="D10" s="36">
        <f>D14</f>
        <v>5</v>
      </c>
      <c r="E10" s="36">
        <f>E14</f>
        <v>5</v>
      </c>
      <c r="F10" s="10">
        <f t="shared" si="2"/>
        <v>122.33199999999999</v>
      </c>
      <c r="G10" s="6">
        <f t="shared" si="3"/>
        <v>4.0872380080436845E-2</v>
      </c>
      <c r="H10" s="6">
        <f t="shared" si="4"/>
        <v>4.0872380080436845E-2</v>
      </c>
      <c r="I10" s="6">
        <f t="shared" si="5"/>
        <v>0.61906941765032864</v>
      </c>
      <c r="J10" s="10">
        <f>B10/M10*1000</f>
        <v>115.63275434243177</v>
      </c>
      <c r="K10" s="10">
        <f>C10/M10*1000</f>
        <v>187.92059553349876</v>
      </c>
      <c r="L10" s="10">
        <f t="shared" si="0"/>
        <v>303.55334987593051</v>
      </c>
      <c r="M10" s="22">
        <f>403</f>
        <v>403</v>
      </c>
      <c r="N10" s="22">
        <f>'HCC_LCC Overview'!M10-M10</f>
        <v>3225</v>
      </c>
      <c r="O10" s="23">
        <f>M10/'HCC_LCC Overview'!M10</f>
        <v>0.11108048511576626</v>
      </c>
      <c r="P10" s="6">
        <f>N10/'HCC_LCC Overview'!M10</f>
        <v>0.88891951488423371</v>
      </c>
      <c r="Q10" s="6">
        <f>'Key Cost &amp; Productivity Metrics'!O10</f>
        <v>0.12052176311796811</v>
      </c>
    </row>
    <row r="11" spans="1:17" x14ac:dyDescent="0.25">
      <c r="A11" t="s">
        <v>147</v>
      </c>
      <c r="B11" s="3">
        <f t="shared" ref="B11:L11" si="6">SUM(B2:B10)/7</f>
        <v>36.416124265558253</v>
      </c>
      <c r="C11" s="3">
        <f t="shared" si="6"/>
        <v>18.878665043420703</v>
      </c>
      <c r="D11" s="3">
        <f t="shared" si="6"/>
        <v>8.7676494240349765</v>
      </c>
      <c r="E11" s="3">
        <f t="shared" si="6"/>
        <v>22.419903412951857</v>
      </c>
      <c r="F11" s="3">
        <f t="shared" si="6"/>
        <v>55.294789308978963</v>
      </c>
      <c r="G11" s="6">
        <f t="shared" si="6"/>
        <v>0.52136843800809218</v>
      </c>
      <c r="H11" s="6">
        <f t="shared" si="6"/>
        <v>0.17055047720116301</v>
      </c>
      <c r="I11" s="6">
        <f t="shared" si="6"/>
        <v>0.26534025304948805</v>
      </c>
      <c r="J11" s="3">
        <f t="shared" si="6"/>
        <v>160.46068346329443</v>
      </c>
      <c r="K11" s="3">
        <f t="shared" si="6"/>
        <v>65.745136854514499</v>
      </c>
      <c r="L11" s="3">
        <f t="shared" si="6"/>
        <v>226.20582031780896</v>
      </c>
      <c r="M11" s="22">
        <f>SUM(M2:M10)</f>
        <v>1649</v>
      </c>
      <c r="N11" s="22">
        <f>SUM(N2:N10)</f>
        <v>9352</v>
      </c>
      <c r="O11" s="62">
        <f>SUM(O2:O10)/7</f>
        <v>0.18615972766634784</v>
      </c>
      <c r="P11" s="62">
        <f>SUM(P2:P10)/7</f>
        <v>0.81384027233365208</v>
      </c>
      <c r="Q11" s="62">
        <f>SUM(Q2:Q10)/7</f>
        <v>0.15452997709329738</v>
      </c>
    </row>
    <row r="14" spans="1:17" x14ac:dyDescent="0.25">
      <c r="C14" t="s">
        <v>285</v>
      </c>
      <c r="D14">
        <f>IF('[1]Assumptions &amp; Data input'!C42=1,5,'[1]Assumptions &amp; Data input'!C42)</f>
        <v>5</v>
      </c>
      <c r="E14">
        <f>IF('[1]Assumptions &amp; Data input'!D42=1,5,'[1]Assumptions &amp; Data input'!D42)</f>
        <v>5</v>
      </c>
      <c r="F14" s="5"/>
      <c r="G14" s="5"/>
      <c r="H14" s="5"/>
      <c r="I14" s="5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D78D-BA3C-4560-8538-4E1A0F024242}">
  <sheetPr codeName="Sheet8"/>
  <dimension ref="A1:H15"/>
  <sheetViews>
    <sheetView tabSelected="1" workbookViewId="0">
      <pane xSplit="1" ySplit="11" topLeftCell="B12" activePane="bottomRight" state="frozen"/>
      <selection pane="topRight" activeCell="K1" sqref="K1"/>
      <selection pane="bottomLeft" activeCell="A12" sqref="A12"/>
      <selection pane="bottomRight" activeCell="D15" sqref="D15"/>
    </sheetView>
  </sheetViews>
  <sheetFormatPr defaultRowHeight="15" x14ac:dyDescent="0.25"/>
  <cols>
    <col min="1" max="1" width="12.42578125" bestFit="1" customWidth="1"/>
    <col min="2" max="2" width="23.28515625" bestFit="1" customWidth="1"/>
    <col min="3" max="3" width="20" bestFit="1" customWidth="1"/>
    <col min="4" max="4" width="17.28515625" bestFit="1" customWidth="1"/>
    <col min="5" max="5" width="9.85546875" bestFit="1" customWidth="1"/>
    <col min="6" max="6" width="28.42578125" bestFit="1" customWidth="1"/>
    <col min="7" max="7" width="29.7109375" bestFit="1" customWidth="1"/>
    <col min="8" max="8" width="13.140625" bestFit="1" customWidth="1"/>
  </cols>
  <sheetData>
    <row r="1" spans="1:8" s="1" customFormat="1" x14ac:dyDescent="0.25">
      <c r="A1" s="1" t="s">
        <v>0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</row>
    <row r="2" spans="1:8" x14ac:dyDescent="0.25">
      <c r="A2" t="s">
        <v>1</v>
      </c>
      <c r="B2" s="14">
        <v>3.6999999999999998E-2</v>
      </c>
      <c r="C2" s="17">
        <v>40.5</v>
      </c>
      <c r="D2" s="14">
        <v>0.66</v>
      </c>
      <c r="E2">
        <v>378</v>
      </c>
      <c r="F2" s="17">
        <v>15</v>
      </c>
      <c r="G2" s="17">
        <v>0.3</v>
      </c>
      <c r="H2">
        <v>21</v>
      </c>
    </row>
    <row r="3" spans="1:8" x14ac:dyDescent="0.25">
      <c r="A3" t="s">
        <v>2</v>
      </c>
      <c r="B3" s="14">
        <v>4.8000000000000001E-2</v>
      </c>
      <c r="C3" s="17">
        <v>45.8</v>
      </c>
      <c r="D3" s="14">
        <v>0.74</v>
      </c>
      <c r="E3">
        <v>186</v>
      </c>
      <c r="F3" s="17">
        <v>9</v>
      </c>
      <c r="G3" s="17">
        <v>0.5</v>
      </c>
      <c r="H3">
        <v>43</v>
      </c>
    </row>
    <row r="4" spans="1:8" x14ac:dyDescent="0.25">
      <c r="A4" t="s">
        <v>3</v>
      </c>
      <c r="B4" s="14">
        <v>4.4999999999999998E-2</v>
      </c>
      <c r="C4" s="17">
        <v>85</v>
      </c>
      <c r="D4" s="14">
        <v>0.92</v>
      </c>
      <c r="E4">
        <v>170</v>
      </c>
      <c r="F4" s="17">
        <v>11</v>
      </c>
      <c r="G4" s="17">
        <v>0.6</v>
      </c>
      <c r="H4">
        <v>11</v>
      </c>
    </row>
    <row r="5" spans="1:8" x14ac:dyDescent="0.25">
      <c r="A5" t="s">
        <v>4</v>
      </c>
      <c r="B5" s="14">
        <v>0.04</v>
      </c>
      <c r="C5" s="17">
        <v>34.5</v>
      </c>
      <c r="D5" s="14">
        <v>0.82</v>
      </c>
      <c r="E5">
        <v>316</v>
      </c>
      <c r="F5" s="17">
        <v>11</v>
      </c>
      <c r="G5" s="17">
        <v>0.4</v>
      </c>
      <c r="H5">
        <v>46</v>
      </c>
    </row>
    <row r="6" spans="1:8" x14ac:dyDescent="0.25">
      <c r="A6" t="s">
        <v>7</v>
      </c>
      <c r="B6" s="14">
        <v>0</v>
      </c>
      <c r="C6" s="17">
        <v>0</v>
      </c>
      <c r="D6" s="14">
        <v>0</v>
      </c>
      <c r="E6">
        <v>0</v>
      </c>
      <c r="F6" s="17">
        <v>0</v>
      </c>
      <c r="G6" s="17">
        <v>0</v>
      </c>
      <c r="H6">
        <v>0</v>
      </c>
    </row>
    <row r="7" spans="1:8" x14ac:dyDescent="0.25">
      <c r="A7" t="s">
        <v>8</v>
      </c>
      <c r="B7" s="14">
        <v>0</v>
      </c>
      <c r="C7" s="17">
        <v>0</v>
      </c>
      <c r="D7" s="14">
        <v>0</v>
      </c>
      <c r="E7">
        <v>0</v>
      </c>
      <c r="F7" s="17">
        <v>0</v>
      </c>
      <c r="G7" s="17">
        <v>0</v>
      </c>
      <c r="H7">
        <v>0</v>
      </c>
    </row>
    <row r="8" spans="1:8" x14ac:dyDescent="0.25">
      <c r="A8" t="s">
        <v>5</v>
      </c>
      <c r="B8" s="14">
        <v>2.1999999999999999E-2</v>
      </c>
      <c r="C8" s="17">
        <v>48.6</v>
      </c>
      <c r="D8" s="14">
        <v>0.7</v>
      </c>
      <c r="E8">
        <v>187</v>
      </c>
      <c r="F8" s="17">
        <v>9</v>
      </c>
      <c r="G8" s="17">
        <v>0.3</v>
      </c>
      <c r="H8">
        <v>22</v>
      </c>
    </row>
    <row r="9" spans="1:8" x14ac:dyDescent="0.25">
      <c r="A9" t="s">
        <v>6</v>
      </c>
      <c r="B9" s="14">
        <v>4.7E-2</v>
      </c>
      <c r="C9" s="17">
        <v>51.8</v>
      </c>
      <c r="D9" s="14">
        <v>0.63</v>
      </c>
      <c r="E9">
        <v>282</v>
      </c>
      <c r="F9" s="17">
        <v>15</v>
      </c>
      <c r="G9" s="17">
        <v>0.6</v>
      </c>
      <c r="H9">
        <v>17</v>
      </c>
    </row>
    <row r="10" spans="1:8" x14ac:dyDescent="0.25">
      <c r="A10" t="s">
        <v>290</v>
      </c>
      <c r="B10" s="14">
        <f>'G&amp;A Metrics'!G10</f>
        <v>6.4490805604343546E-3</v>
      </c>
      <c r="C10" s="17">
        <f>'G&amp;A Metrics'!F24*10^6/'Facilities Overview'!C15</f>
        <v>5.4530280554638022</v>
      </c>
      <c r="D10" s="18">
        <v>0</v>
      </c>
      <c r="E10" s="7">
        <f>C15/'FTE Headcount'!N10</f>
        <v>330.87761852260201</v>
      </c>
      <c r="F10" s="17">
        <v>44</v>
      </c>
      <c r="G10" s="17">
        <f>'G&amp;A Metrics'!F24/'G&amp;A Metrics'!C24</f>
        <v>0.11286113362848411</v>
      </c>
      <c r="H10">
        <v>58</v>
      </c>
    </row>
    <row r="11" spans="1:8" x14ac:dyDescent="0.25">
      <c r="A11" t="s">
        <v>147</v>
      </c>
      <c r="B11" s="14">
        <f t="shared" ref="B11:G11" si="0">SUM(B2:B10)/7</f>
        <v>3.5064154365776333E-2</v>
      </c>
      <c r="C11" s="21">
        <f t="shared" si="0"/>
        <v>44.521861150780538</v>
      </c>
      <c r="D11" s="19">
        <f t="shared" si="0"/>
        <v>0.63857142857142857</v>
      </c>
      <c r="E11" s="7">
        <f t="shared" si="0"/>
        <v>264.2682312175146</v>
      </c>
      <c r="F11" s="21">
        <f t="shared" si="0"/>
        <v>16.285714285714285</v>
      </c>
      <c r="G11" s="17">
        <f t="shared" si="0"/>
        <v>0.4018373048040691</v>
      </c>
      <c r="H11">
        <f>SUM(H2:H10)</f>
        <v>218</v>
      </c>
    </row>
    <row r="14" spans="1:8" x14ac:dyDescent="0.25">
      <c r="A14" t="s">
        <v>286</v>
      </c>
    </row>
    <row r="15" spans="1:8" x14ac:dyDescent="0.25">
      <c r="B15" t="s">
        <v>287</v>
      </c>
      <c r="C15">
        <v>1200424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6C9B-6E14-4945-8728-68ED3D575577}">
  <sheetPr codeName="Sheet9"/>
  <dimension ref="A1:N15"/>
  <sheetViews>
    <sheetView workbookViewId="0">
      <pane xSplit="1" ySplit="11" topLeftCell="B12" activePane="bottomRight" state="frozen"/>
      <selection pane="topRight" activeCell="K1" sqref="K1"/>
      <selection pane="bottomLeft" activeCell="A12" sqref="A12"/>
      <selection pane="bottomRight" activeCell="A10" sqref="A10"/>
    </sheetView>
  </sheetViews>
  <sheetFormatPr defaultRowHeight="15" x14ac:dyDescent="0.25"/>
  <cols>
    <col min="1" max="1" width="12.42578125" bestFit="1" customWidth="1"/>
    <col min="2" max="2" width="24.28515625" bestFit="1" customWidth="1"/>
    <col min="3" max="3" width="28.85546875" bestFit="1" customWidth="1"/>
    <col min="4" max="4" width="19.5703125" bestFit="1" customWidth="1"/>
    <col min="5" max="5" width="19" bestFit="1" customWidth="1"/>
    <col min="6" max="6" width="18.140625" bestFit="1" customWidth="1"/>
    <col min="7" max="7" width="18.140625" customWidth="1"/>
    <col min="8" max="8" width="25.5703125" bestFit="1" customWidth="1"/>
    <col min="9" max="9" width="30.140625" bestFit="1" customWidth="1"/>
    <col min="10" max="10" width="19.42578125" bestFit="1" customWidth="1"/>
    <col min="11" max="11" width="15" bestFit="1" customWidth="1"/>
    <col min="12" max="12" width="19.5703125" bestFit="1" customWidth="1"/>
    <col min="13" max="13" width="19.140625" bestFit="1" customWidth="1"/>
    <col min="14" max="14" width="31" bestFit="1" customWidth="1"/>
  </cols>
  <sheetData>
    <row r="1" spans="1:14" s="1" customFormat="1" x14ac:dyDescent="0.25">
      <c r="A1" s="1" t="s">
        <v>0</v>
      </c>
      <c r="B1" s="1" t="s">
        <v>211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221</v>
      </c>
      <c r="M1" s="1" t="s">
        <v>222</v>
      </c>
      <c r="N1" s="1" t="s">
        <v>223</v>
      </c>
    </row>
    <row r="2" spans="1:14" x14ac:dyDescent="0.25">
      <c r="A2" t="s">
        <v>1</v>
      </c>
      <c r="B2" s="10">
        <v>4.7530000000000001</v>
      </c>
      <c r="C2" s="10">
        <v>5.766</v>
      </c>
      <c r="D2" s="10">
        <f t="shared" ref="D2:D9" si="0">SUM(B2+C2)</f>
        <v>10.519</v>
      </c>
      <c r="E2" s="24">
        <v>0.06</v>
      </c>
      <c r="F2" s="23">
        <v>0.05</v>
      </c>
      <c r="G2" s="25">
        <v>16.2</v>
      </c>
      <c r="H2" s="24">
        <v>6.2E-2</v>
      </c>
      <c r="I2">
        <v>3.5</v>
      </c>
      <c r="J2">
        <v>135</v>
      </c>
      <c r="K2" s="6">
        <f>B2/D2</f>
        <v>0.45184903507938018</v>
      </c>
      <c r="L2" s="6">
        <f>C2/D2</f>
        <v>0.54815096492061988</v>
      </c>
      <c r="M2" s="10">
        <v>67.7</v>
      </c>
      <c r="N2" s="24">
        <f>C2/M2</f>
        <v>8.5169867060561302E-2</v>
      </c>
    </row>
    <row r="3" spans="1:14" x14ac:dyDescent="0.25">
      <c r="A3" t="s">
        <v>2</v>
      </c>
      <c r="B3" s="10">
        <v>1.5</v>
      </c>
      <c r="C3" s="10">
        <v>3.8942765620188999</v>
      </c>
      <c r="D3" s="10">
        <f t="shared" si="0"/>
        <v>5.3942765620189004</v>
      </c>
      <c r="E3" s="24">
        <v>1.2999999999999999E-2</v>
      </c>
      <c r="F3" s="23">
        <v>0.06</v>
      </c>
      <c r="G3" s="25">
        <v>302.39999999999998</v>
      </c>
      <c r="H3" s="24">
        <v>3.0000000000000001E-3</v>
      </c>
      <c r="I3">
        <v>3.5</v>
      </c>
      <c r="J3">
        <v>184</v>
      </c>
      <c r="K3" s="6">
        <f t="shared" ref="K3:K10" si="1">B3/D3</f>
        <v>0.2780725056927002</v>
      </c>
      <c r="L3" s="6">
        <f t="shared" ref="L3:L10" si="2">C3/D3</f>
        <v>0.72192749430729974</v>
      </c>
      <c r="M3" s="10">
        <v>182.3</v>
      </c>
      <c r="N3" s="24">
        <f t="shared" ref="N3:N9" si="3">C3/M3</f>
        <v>2.1361912024239715E-2</v>
      </c>
    </row>
    <row r="4" spans="1:14" x14ac:dyDescent="0.25">
      <c r="A4" t="s">
        <v>3</v>
      </c>
      <c r="B4" s="10">
        <v>3.8256171479198402</v>
      </c>
      <c r="C4" s="10">
        <v>4.7342615237455501</v>
      </c>
      <c r="D4" s="10">
        <f t="shared" si="0"/>
        <v>8.5598786716653912</v>
      </c>
      <c r="E4" s="24">
        <v>5.8000000000000003E-2</v>
      </c>
      <c r="F4" s="23">
        <v>0.12</v>
      </c>
      <c r="G4" s="25">
        <v>20</v>
      </c>
      <c r="H4" s="24">
        <v>0.05</v>
      </c>
      <c r="I4">
        <v>3.5</v>
      </c>
      <c r="J4">
        <v>109</v>
      </c>
      <c r="K4" s="6">
        <f t="shared" si="1"/>
        <v>0.44692422575839341</v>
      </c>
      <c r="L4" s="6">
        <f t="shared" si="2"/>
        <v>0.55307577424160648</v>
      </c>
      <c r="M4" s="10">
        <v>97.3</v>
      </c>
      <c r="N4" s="24">
        <f t="shared" si="3"/>
        <v>4.8656336318042656E-2</v>
      </c>
    </row>
    <row r="5" spans="1:14" x14ac:dyDescent="0.25">
      <c r="A5" t="s">
        <v>4</v>
      </c>
      <c r="B5" s="10">
        <v>5.26211278976049</v>
      </c>
      <c r="C5" s="10">
        <v>8.0431396650198099</v>
      </c>
      <c r="D5" s="10">
        <f t="shared" si="0"/>
        <v>13.3052524547803</v>
      </c>
      <c r="E5" s="24">
        <v>3.1E-2</v>
      </c>
      <c r="F5" s="23">
        <v>0.11</v>
      </c>
      <c r="G5" s="25">
        <v>27.9</v>
      </c>
      <c r="H5" s="24">
        <v>3.5999999999999997E-2</v>
      </c>
      <c r="I5">
        <v>0</v>
      </c>
      <c r="J5">
        <v>95</v>
      </c>
      <c r="K5" s="6">
        <f t="shared" si="1"/>
        <v>0.39549139015922413</v>
      </c>
      <c r="L5" s="6">
        <f t="shared" si="2"/>
        <v>0.60450860984077592</v>
      </c>
      <c r="M5" s="10">
        <v>168.3</v>
      </c>
      <c r="N5" s="24">
        <f t="shared" si="3"/>
        <v>4.779049117658829E-2</v>
      </c>
    </row>
    <row r="6" spans="1:14" x14ac:dyDescent="0.25">
      <c r="A6" t="s">
        <v>7</v>
      </c>
      <c r="B6" s="10">
        <v>0</v>
      </c>
      <c r="C6" s="10">
        <v>0</v>
      </c>
      <c r="D6" s="10">
        <f t="shared" si="0"/>
        <v>0</v>
      </c>
      <c r="E6" s="24">
        <v>0</v>
      </c>
      <c r="F6" s="23">
        <v>0</v>
      </c>
      <c r="G6" s="25">
        <v>0</v>
      </c>
      <c r="H6" s="24">
        <v>0</v>
      </c>
      <c r="I6">
        <v>0</v>
      </c>
      <c r="J6">
        <v>0</v>
      </c>
      <c r="K6" s="6">
        <v>0</v>
      </c>
      <c r="L6" s="6">
        <v>0</v>
      </c>
      <c r="M6" s="10">
        <v>0</v>
      </c>
      <c r="N6" s="24">
        <v>0</v>
      </c>
    </row>
    <row r="7" spans="1:14" x14ac:dyDescent="0.25">
      <c r="A7" t="s">
        <v>8</v>
      </c>
      <c r="B7" s="10">
        <v>0</v>
      </c>
      <c r="C7" s="10">
        <v>0</v>
      </c>
      <c r="D7" s="10">
        <f t="shared" si="0"/>
        <v>0</v>
      </c>
      <c r="E7" s="24">
        <v>0</v>
      </c>
      <c r="F7" s="23">
        <v>0</v>
      </c>
      <c r="G7" s="25">
        <v>0</v>
      </c>
      <c r="H7" s="24">
        <v>0</v>
      </c>
      <c r="I7">
        <v>3.5</v>
      </c>
      <c r="J7">
        <v>0</v>
      </c>
      <c r="K7" s="6">
        <v>0</v>
      </c>
      <c r="L7" s="6">
        <v>0</v>
      </c>
      <c r="M7" s="10">
        <v>0</v>
      </c>
      <c r="N7" s="24">
        <v>0</v>
      </c>
    </row>
    <row r="8" spans="1:14" x14ac:dyDescent="0.25">
      <c r="A8" t="s">
        <v>5</v>
      </c>
      <c r="B8" s="10">
        <v>6.3384097751378103</v>
      </c>
      <c r="C8" s="10">
        <v>7.1609986908722902</v>
      </c>
      <c r="D8" s="10">
        <f t="shared" si="0"/>
        <v>13.499408466010101</v>
      </c>
      <c r="E8" s="24">
        <v>4.1000000000000002E-2</v>
      </c>
      <c r="F8" s="23">
        <v>7.0000000000000007E-2</v>
      </c>
      <c r="G8" s="25">
        <v>22.3</v>
      </c>
      <c r="H8" s="24">
        <v>4.4999999999999998E-2</v>
      </c>
      <c r="I8">
        <v>3.5</v>
      </c>
      <c r="J8">
        <v>176</v>
      </c>
      <c r="K8" s="6">
        <f t="shared" si="1"/>
        <v>0.46953240885311159</v>
      </c>
      <c r="L8" s="6">
        <f t="shared" si="2"/>
        <v>0.53046759114688846</v>
      </c>
      <c r="M8" s="10">
        <v>169.2</v>
      </c>
      <c r="N8" s="24">
        <f t="shared" si="3"/>
        <v>4.2322687298299591E-2</v>
      </c>
    </row>
    <row r="9" spans="1:14" x14ac:dyDescent="0.25">
      <c r="A9" t="s">
        <v>6</v>
      </c>
      <c r="B9" s="10">
        <v>3.6</v>
      </c>
      <c r="C9" s="10">
        <v>1.4</v>
      </c>
      <c r="D9" s="10">
        <f t="shared" si="0"/>
        <v>5</v>
      </c>
      <c r="E9" s="24">
        <v>2.1999999999999999E-2</v>
      </c>
      <c r="F9" s="23">
        <v>0.03</v>
      </c>
      <c r="G9" s="25">
        <v>81.8</v>
      </c>
      <c r="H9" s="24">
        <v>1.2E-2</v>
      </c>
      <c r="I9">
        <v>3.5</v>
      </c>
      <c r="J9">
        <v>225</v>
      </c>
      <c r="K9" s="6">
        <f t="shared" si="1"/>
        <v>0.72</v>
      </c>
      <c r="L9" s="6">
        <f t="shared" si="2"/>
        <v>0.27999999999999997</v>
      </c>
      <c r="M9" s="10">
        <v>99.1</v>
      </c>
      <c r="N9" s="24">
        <f t="shared" si="3"/>
        <v>1.4127144298688193E-2</v>
      </c>
    </row>
    <row r="10" spans="1:14" x14ac:dyDescent="0.25">
      <c r="A10" t="s">
        <v>290</v>
      </c>
      <c r="B10" s="10">
        <v>12.8</v>
      </c>
      <c r="C10" s="10">
        <f>D10-B10</f>
        <v>48.366</v>
      </c>
      <c r="D10" s="10">
        <f>'Key Cost &amp; Productivity Metrics'!P14</f>
        <v>61.165999999999997</v>
      </c>
      <c r="E10" s="24">
        <f>D10/'2018E P&amp;L Summary'!B10</f>
        <v>6.0260881558984056E-2</v>
      </c>
      <c r="F10" s="37"/>
      <c r="G10" s="25">
        <f>'FTE Headcount'!N10/'FTE Headcount'!E10</f>
        <v>24.348993288590606</v>
      </c>
      <c r="H10" s="24">
        <f>'FTE Headcount'!E10/'FTE Headcount'!N10</f>
        <v>4.1069459757442119E-2</v>
      </c>
      <c r="I10">
        <v>3.5</v>
      </c>
      <c r="J10" s="7">
        <f>B10/'FTE Headcount'!E10*1000</f>
        <v>85.90604026845638</v>
      </c>
      <c r="K10" s="6">
        <f t="shared" si="1"/>
        <v>0.20926658601183667</v>
      </c>
      <c r="L10" s="6">
        <f t="shared" si="2"/>
        <v>0.79073341398816344</v>
      </c>
      <c r="M10" s="10">
        <v>0</v>
      </c>
      <c r="N10" s="24">
        <v>0</v>
      </c>
    </row>
    <row r="11" spans="1:14" x14ac:dyDescent="0.25">
      <c r="A11" t="s">
        <v>147</v>
      </c>
      <c r="B11" s="3">
        <f>SUM(B2:B10)</f>
        <v>38.079139712818147</v>
      </c>
      <c r="C11" s="3">
        <f>SUM(C2:C10)</f>
        <v>79.364676441656542</v>
      </c>
      <c r="D11" s="3">
        <f>SUM(D2:D10)</f>
        <v>117.44381615447469</v>
      </c>
      <c r="E11" s="24">
        <f>SUM(E2:E10)/7</f>
        <v>4.075155450842629E-2</v>
      </c>
      <c r="F11" s="23">
        <f>SUM(F2:F10)/7</f>
        <v>6.2857142857142848E-2</v>
      </c>
      <c r="G11" s="25">
        <f>SUM(G2:G10)/7</f>
        <v>70.706999041227235</v>
      </c>
      <c r="H11" s="24">
        <f>SUM(H2:H10)/7</f>
        <v>3.5581351393920303E-2</v>
      </c>
      <c r="I11" s="25">
        <f>SUM(I2:I9)/7</f>
        <v>3</v>
      </c>
      <c r="J11" s="7">
        <f>SUM(J2:J10)/7</f>
        <v>144.27229146692235</v>
      </c>
      <c r="K11" s="24">
        <f>SUM(K2:K10)/7</f>
        <v>0.42444802165066381</v>
      </c>
      <c r="L11" s="24">
        <f>SUM(L2:L10)/7</f>
        <v>0.57555197834933636</v>
      </c>
      <c r="M11" s="3">
        <f>SUM(M2:M10)/7</f>
        <v>111.98571428571428</v>
      </c>
      <c r="N11" s="24">
        <f>SUM(N2:N10)/7</f>
        <v>3.706120545377424E-2</v>
      </c>
    </row>
    <row r="13" spans="1:14" x14ac:dyDescent="0.25">
      <c r="J13" s="47"/>
    </row>
    <row r="14" spans="1:14" x14ac:dyDescent="0.25">
      <c r="A14" t="s">
        <v>288</v>
      </c>
      <c r="D14" s="5"/>
      <c r="J14" s="47"/>
    </row>
    <row r="15" spans="1:14" x14ac:dyDescent="0.25">
      <c r="J15" s="4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17C337CBF8459B5F3587463C346A" ma:contentTypeVersion="12" ma:contentTypeDescription="Create a new document." ma:contentTypeScope="" ma:versionID="b331797af8cc384e0b4fc0503991dd7d">
  <xsd:schema xmlns:xsd="http://www.w3.org/2001/XMLSchema" xmlns:xs="http://www.w3.org/2001/XMLSchema" xmlns:p="http://schemas.microsoft.com/office/2006/metadata/properties" xmlns:ns2="19abdb0f-2452-4f80-8f67-b1fab6850abd" xmlns:ns3="70bd23fe-2202-4b9d-b096-d80980f2f1c8" targetNamespace="http://schemas.microsoft.com/office/2006/metadata/properties" ma:root="true" ma:fieldsID="39e2d280939f0ecf4274aebeb3aa10e9" ns2:_="" ns3:_="">
    <xsd:import namespace="19abdb0f-2452-4f80-8f67-b1fab6850abd"/>
    <xsd:import namespace="70bd23fe-2202-4b9d-b096-d80980f2f1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bdb0f-2452-4f80-8f67-b1fab6850ab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e64e11f7-ee2a-4f98-8488-e907eeda70a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b04a4d1d-f6a6-4f96-99b3-e373500fc2c4}" ma:internalName="TaxCatchAll" ma:showField="CatchAllData" ma:web="19abdb0f-2452-4f80-8f67-b1fab6850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d23fe-2202-4b9d-b096-d80980f2f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19abdb0f-2452-4f80-8f67-b1fab6850abd">
      <Terms xmlns="http://schemas.microsoft.com/office/infopath/2007/PartnerControls"/>
    </TaxKeywordTaxHTField>
    <TaxCatchAll xmlns="19abdb0f-2452-4f80-8f67-b1fab6850abd"/>
  </documentManagement>
</p:properties>
</file>

<file path=customXml/itemProps1.xml><?xml version="1.0" encoding="utf-8"?>
<ds:datastoreItem xmlns:ds="http://schemas.openxmlformats.org/officeDocument/2006/customXml" ds:itemID="{B93A0B2F-F055-4610-8A91-2B33527DCFE0}"/>
</file>

<file path=customXml/itemProps2.xml><?xml version="1.0" encoding="utf-8"?>
<ds:datastoreItem xmlns:ds="http://schemas.openxmlformats.org/officeDocument/2006/customXml" ds:itemID="{153D47C7-4071-4E07-8A0C-822DE30C6B89}"/>
</file>

<file path=customXml/itemProps3.xml><?xml version="1.0" encoding="utf-8"?>
<ds:datastoreItem xmlns:ds="http://schemas.openxmlformats.org/officeDocument/2006/customXml" ds:itemID="{BA9406F9-AFA4-455D-982C-78F91CA4BE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Assumptions &amp; Data input</vt:lpstr>
      <vt:lpstr>2018E P&amp;L Summary</vt:lpstr>
      <vt:lpstr>Key Cost &amp; Productivity Metrics</vt:lpstr>
      <vt:lpstr>G&amp;A Metrics</vt:lpstr>
      <vt:lpstr>HCC_LCC Overview</vt:lpstr>
      <vt:lpstr>Span of Control</vt:lpstr>
      <vt:lpstr>Sales Overview Data</vt:lpstr>
      <vt:lpstr>Facilities Overview</vt:lpstr>
      <vt:lpstr>Marketing Overview</vt:lpstr>
      <vt:lpstr>FTE Headcount</vt:lpstr>
      <vt:lpstr>Data Reference</vt:lpstr>
      <vt:lpstr>Data Sheet New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Anilkumar Thekkan Muriyil</dc:creator>
  <cp:lastModifiedBy>Anilkumar Thekkan Muriyil</cp:lastModifiedBy>
  <dcterms:created xsi:type="dcterms:W3CDTF">2019-01-23T09:00:05Z</dcterms:created>
  <dcterms:modified xsi:type="dcterms:W3CDTF">2019-11-26T08:33:04Z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0x0101004A2217C337CBF8459B5F3587463C346A</vt:lpwstr>
  </property>
</Properties>
</file>