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ised detail" sheetId="1" r:id="rId3"/>
    <sheet state="visible" name="Apps 11-12" sheetId="2" r:id="rId4"/>
    <sheet state="visible" name="Test Lab (2)" sheetId="3" r:id="rId5"/>
    <sheet state="visible" name="Bandwidth Plng" sheetId="4" r:id="rId6"/>
    <sheet state="visible" name="Assumption" sheetId="5" r:id="rId7"/>
    <sheet state="visible" name="Network Opex" sheetId="6" r:id="rId8"/>
    <sheet state="visible" name="Total Capex" sheetId="7" r:id="rId9"/>
    <sheet state="visible" name="OPs" sheetId="8" r:id="rId10"/>
    <sheet state="visible" name="NOC" sheetId="9" r:id="rId11"/>
    <sheet state="visible" name="Plng" sheetId="10" r:id="rId12"/>
    <sheet state="visible" name="Test Lab" sheetId="11" r:id="rId13"/>
    <sheet state="visible" name="DR Headend " sheetId="12" r:id="rId14"/>
    <sheet state="visible" name="Admin Opex" sheetId="13" r:id="rId15"/>
    <sheet state="visible" name="M&amp;E Cushman &amp; Wakefield" sheetId="14" r:id="rId16"/>
    <sheet state="visible" name="Functional Travel" sheetId="15" r:id="rId17"/>
    <sheet state="visible" name="Plng Rev Details" sheetId="16" r:id="rId18"/>
  </sheets>
  <definedNames/>
  <calcPr/>
</workbook>
</file>

<file path=xl/comments1.xml><?xml version="1.0" encoding="utf-8"?>
<comments xmlns="http://schemas.openxmlformats.org/spreadsheetml/2006/main">
  <authors>
    <author/>
  </authors>
  <commentList>
    <comment authorId="0" ref="U16">
      <text>
        <t xml:space="preserve">b0041596:
Incl 18Mn for Network Quality</t>
      </text>
    </comment>
    <comment authorId="0" ref="C36">
      <text>
        <t xml:space="preserve"> :
IBM To Verify</t>
      </text>
    </comment>
  </commentList>
</comments>
</file>

<file path=xl/comments2.xml><?xml version="1.0" encoding="utf-8"?>
<comments xmlns="http://schemas.openxmlformats.org/spreadsheetml/2006/main">
  <authors>
    <author/>
  </authors>
  <commentList>
    <comment authorId="0" ref="D28">
      <text>
        <t xml:space="preserve">b0041596:
Includes 10 SA Upgraded IRDs </t>
      </text>
    </comment>
  </commentList>
</comments>
</file>

<file path=xl/comments3.xml><?xml version="1.0" encoding="utf-8"?>
<comments xmlns="http://schemas.openxmlformats.org/spreadsheetml/2006/main">
  <authors>
    <author/>
  </authors>
  <commentList>
    <comment authorId="0" ref="E13">
      <text>
        <t xml:space="preserve">b0041596:
10% for K VAT for</t>
      </text>
    </comment>
    <comment authorId="0" ref="Q13">
      <text>
        <t xml:space="preserve">b0041596:
10% K VAT added</t>
      </text>
    </comment>
    <comment authorId="0" ref="E17">
      <text>
        <t xml:space="preserve">b0041596:
10% for K VAT</t>
      </text>
    </comment>
    <comment authorId="0" ref="Q17">
      <text>
        <t xml:space="preserve">b0041596:
New Satellite with 10% added for K VAT</t>
      </text>
    </comment>
    <comment authorId="0" ref="C25">
      <text>
        <t xml:space="preserve">B0058104:
p;ot rent rs 6 lac for manesar apart from 101635 sq ft @ rs 41 </t>
      </text>
    </comment>
    <comment authorId="0" ref="Q25">
      <text>
        <t xml:space="preserve">b0041596:
6.0 lac for Ant space. 15% increase in Rent wef Feb'11 as per contract on monthly basis</t>
      </text>
    </comment>
    <comment authorId="0" ref="E56">
      <text>
        <t xml:space="preserve">b0041596:
6.0 lac for Ant space. 15% increase in Rent wef Feb'11 as per contract</t>
      </text>
    </comment>
    <comment authorId="0" ref="Q57">
      <text>
        <t xml:space="preserve">b0041596:
6.0 lac for Ant space. 15% increase in Rent wef Feb'11 as per contract on monthly basis</t>
      </text>
    </comment>
    <comment authorId="0" ref="G60">
      <text>
        <t xml:space="preserve">b0041596:
Assumed 15% Salary hike</t>
      </text>
    </comment>
    <comment authorId="0" ref="Q60">
      <text>
        <t xml:space="preserve">b0041596:
Assumed 15% hike in Salary from June</t>
      </text>
    </comment>
    <comment authorId="0" ref="E61">
      <text>
        <t xml:space="preserve">b0041596:
10% hike on current cost</t>
      </text>
    </comment>
    <comment authorId="0" ref="Q61">
      <text>
        <t xml:space="preserve">b0041596:
Assumed 10% Hike in Salary from June</t>
      </text>
    </comment>
    <comment authorId="0" ref="E62">
      <text>
        <t xml:space="preserve">b0041596:
As per last AOP</t>
      </text>
    </comment>
    <comment authorId="0" ref="E64">
      <text>
        <t xml:space="preserve">b0041596:
Considered additional 500KVA DG</t>
      </text>
    </comment>
    <comment authorId="0" ref="E66">
      <text>
        <t xml:space="preserve">b0041596:
Current yr Av + 10%</t>
      </text>
    </comment>
    <comment authorId="0" ref="E67">
      <text>
        <t xml:space="preserve">b0041596:
Current yr Av + 10% </t>
      </text>
    </comment>
    <comment authorId="0" ref="E68">
      <text>
        <t xml:space="preserve">b0041596:
As per current cost</t>
      </text>
    </comment>
    <comment authorId="0" ref="E77">
      <text>
        <t xml:space="preserve">b0041596:
Basis Current yr month + Expansion load</t>
      </text>
    </comment>
    <comment authorId="0" ref="E78">
      <text>
        <t xml:space="preserve">b0041596:
15%hike considered</t>
      </text>
    </comment>
    <comment authorId="0" ref="E80">
      <text>
        <t xml:space="preserve">b0041596:
Basis Current yr month + Expansion load</t>
      </text>
    </comment>
    <comment authorId="0" ref="E81">
      <text>
        <t xml:space="preserve">b0041596:
15% Hike in HSD cost</t>
      </text>
    </comment>
    <comment authorId="0" ref="Q86">
      <text>
        <t xml:space="preserve">b0041596:
Increased due to additional load because of new Satellite operation &amp; other projects</t>
      </text>
    </comment>
    <comment authorId="0" ref="I92">
      <text>
        <t xml:space="preserve">b0041596:
5% hike as per SCM</t>
      </text>
    </comment>
    <comment authorId="0" ref="L92">
      <text>
        <t xml:space="preserve">b0041596:
New Equipment entering into AMC, 3.5% taken as per SCM</t>
      </text>
    </comment>
    <comment authorId="0" ref="I93">
      <text>
        <t xml:space="preserve">b0041596:
5% hike as per SCM</t>
      </text>
    </comment>
    <comment authorId="0" ref="L93">
      <text>
        <t xml:space="preserve">b0041596:
5% hike as per SCM</t>
      </text>
    </comment>
    <comment authorId="0" ref="O93">
      <text>
        <t xml:space="preserve">b0041596:
5% hike as per SCM</t>
      </text>
    </comment>
    <comment authorId="0" ref="C94">
      <text>
        <t xml:space="preserve">b0041596:
Assumed</t>
      </text>
    </comment>
    <comment authorId="0" ref="E95">
      <text>
        <t xml:space="preserve">b0041596:
Taken 5% hike as per SCM, new 16 KHPA for new TPs added</t>
      </text>
    </comment>
    <comment authorId="0" ref="J96">
      <text>
        <t xml:space="preserve">b0041596:
5% hike + 3rd Ant added</t>
      </text>
    </comment>
    <comment authorId="0" ref="E97">
      <text>
        <t xml:space="preserve">b0041596:
5% hike as per SCM</t>
      </text>
    </comment>
    <comment authorId="0" ref="I98">
      <text>
        <t xml:space="preserve">b0041596:
5% hike as per SCM</t>
      </text>
    </comment>
    <comment authorId="0" ref="L98">
      <text>
        <t xml:space="preserve">b0041596:
New Equipment entering into AMC, 9% taken as per SCM</t>
      </text>
    </comment>
    <comment authorId="0" ref="O98">
      <text>
        <t xml:space="preserve">b0041596:
New Equipment entering into AMC, 9% taken as per SCM</t>
      </text>
    </comment>
    <comment authorId="0" ref="E100">
      <text>
        <t xml:space="preserve">b0041596:
5% hike as per SCM</t>
      </text>
    </comment>
    <comment authorId="0" ref="M101">
      <text>
        <t xml:space="preserve">b0041596:
5% hike as per SCM</t>
      </text>
    </comment>
    <comment authorId="0" ref="M102">
      <text>
        <t xml:space="preserve">b0041596:
5% hike as per SCM</t>
      </text>
    </comment>
    <comment authorId="0" ref="C103">
      <text>
        <t xml:space="preserve">b0041596: Final
Quotation awaited</t>
      </text>
    </comment>
    <comment authorId="0" ref="E104">
      <text>
        <t xml:space="preserve">b0041596:
5% hike as per SCM</t>
      </text>
    </comment>
    <comment authorId="0" ref="M105">
      <text>
        <t xml:space="preserve">b0041596:
5% hike as per SCM</t>
      </text>
    </comment>
    <comment authorId="0" ref="C106">
      <text>
        <t xml:space="preserve">b0041596:
Assumed</t>
      </text>
    </comment>
    <comment authorId="0" ref="C108">
      <text>
        <t xml:space="preserve">b0041596:
Assumed 6% of PI value</t>
      </text>
    </comment>
    <comment authorId="0" ref="E108">
      <text>
        <t xml:space="preserve">b0041596:
Assumed 6% of the PI value</t>
      </text>
    </comment>
    <comment authorId="0" ref="I109">
      <text>
        <t xml:space="preserve">b0041596:
10K for Utility equipment cal + One SA of B'lore for repair cost+ 5% hike as per SCM</t>
      </text>
    </comment>
    <comment authorId="0" ref="C110">
      <text>
        <t xml:space="preserve">b0041596:
PAC Filters Qty 38, RF 4.45lacs, 50k for BC, 1.5 lac for HE/CAS, 1.0 lac for Test lab</t>
      </text>
    </comment>
    <comment authorId="0" ref="C113">
      <text>
        <t xml:space="preserve">b0041596: 20k/m for Utility, 62lacs for RF,6lacs for BC,10 lacs for HE
</t>
      </text>
    </comment>
    <comment authorId="0" ref="C119">
      <text>
        <t xml:space="preserve">b0041596:
HR Budget.
Provisional fig taken </t>
      </text>
    </comment>
    <comment authorId="0" ref="C120">
      <text>
        <t xml:space="preserve">b0041596:
HR Budget.
Provisional fig taken</t>
      </text>
    </comment>
    <comment authorId="0" ref="C121">
      <text>
        <t xml:space="preserve">b0041596:
HR Budget.
Provisional fig taken</t>
      </text>
    </comment>
    <comment authorId="0" ref="C122">
      <text>
        <t xml:space="preserve">b0041596:
HR Budget.
Provisional fig taken</t>
      </text>
    </comment>
    <comment authorId="0" ref="C123">
      <text>
        <t xml:space="preserve">b0041596:
HR Budget.
Provisional fig taken</t>
      </text>
    </comment>
    <comment authorId="0" ref="C126">
      <text>
        <t xml:space="preserve">b0041596:
HR Budget.
Provisional fig taken</t>
      </text>
    </comment>
    <comment authorId="0" ref="G143">
      <text>
        <t xml:space="preserve">b0041596:
11 TP operation</t>
      </text>
    </comment>
    <comment authorId="0" ref="H143">
      <text>
        <t xml:space="preserve">b0001477:
40000 (Normal)
10200 (Additional 3 tr)
90000 (HE/PAS/CAS &amp; PAC)</t>
      </text>
    </comment>
    <comment authorId="0" ref="N143">
      <text>
        <t xml:space="preserve">b0041596:
12th TP added</t>
      </text>
    </comment>
    <comment authorId="0" ref="E144">
      <text>
        <t xml:space="preserve">b0041596:
Increase in rate/Unit </t>
      </text>
    </comment>
    <comment authorId="0" ref="C161">
      <text>
        <t xml:space="preserve">b0041596: 5k/m misc, 5k Ant.painting, 10k Inline/Exhaust Filter, 25k Electrical Spares, 20k Tool kit
</t>
      </text>
    </comment>
  </commentList>
</comments>
</file>

<file path=xl/comments4.xml><?xml version="1.0" encoding="utf-8"?>
<comments xmlns="http://schemas.openxmlformats.org/spreadsheetml/2006/main">
  <authors>
    <author/>
  </authors>
  <commentList>
    <comment authorId="0" ref="D8">
      <text>
        <t xml:space="preserve">b0041596:
NAB</t>
      </text>
    </comment>
    <comment authorId="0" ref="F8">
      <text>
        <t xml:space="preserve">b0041596:
Broadcast Asia, Singapore</t>
      </text>
    </comment>
    <comment authorId="0" ref="I8">
      <text>
        <t xml:space="preserve">b0041596:
IBC, Amsterdam</t>
      </text>
    </comment>
    <comment authorId="0" ref="J8">
      <text>
        <t xml:space="preserve">b0041596:
China STB visit</t>
      </text>
    </comment>
  </commentList>
</comments>
</file>

<file path=xl/comments5.xml><?xml version="1.0" encoding="utf-8"?>
<comments xmlns="http://schemas.openxmlformats.org/spreadsheetml/2006/main">
  <authors>
    <author/>
  </authors>
  <commentList>
    <comment authorId="0" ref="B23">
      <text>
        <t xml:space="preserve">bharti:
Grass Cutting M/c
Dust Vacum M/c
Jet Pressure M/c
Floor Cleaner 
</t>
      </text>
    </comment>
  </commentList>
</comments>
</file>

<file path=xl/comments6.xml><?xml version="1.0" encoding="utf-8"?>
<comments xmlns="http://schemas.openxmlformats.org/spreadsheetml/2006/main">
  <authors>
    <author/>
  </authors>
  <commentList>
    <comment authorId="0" ref="E15">
      <text>
        <t xml:space="preserve">B0038375:
Simulsat Quote</t>
      </text>
    </comment>
    <comment authorId="0" ref="E18">
      <text>
        <t xml:space="preserve">B0038375:
Quintech Quote</t>
      </text>
    </comment>
    <comment authorId="0" ref="E23">
      <text>
        <t xml:space="preserve">B0038375:
0.28 per meter current cost of RG11</t>
      </text>
    </comment>
    <comment authorId="0" ref="E24">
      <text>
        <t xml:space="preserve">B0038375:
0.11 per meter current cost of RG6</t>
      </text>
    </comment>
    <comment authorId="0" ref="E26">
      <text>
        <t xml:space="preserve">B0038375:
Current Price of Connectors with PPC</t>
      </text>
    </comment>
    <comment authorId="0" ref="E27">
      <text>
        <t xml:space="preserve">B0038375:
Current Price of Connectors with PPC</t>
      </text>
    </comment>
    <comment authorId="0" ref="E28">
      <text>
        <t xml:space="preserve">B0038375:
Quintech Quote</t>
      </text>
    </comment>
    <comment authorId="0" ref="E29">
      <text>
        <t xml:space="preserve">b0041596:
Current purchase price</t>
      </text>
    </comment>
    <comment authorId="0" ref="E30">
      <text>
        <t xml:space="preserve">B0038375:
Tandberg DR Proposal
</t>
      </text>
    </comment>
    <comment authorId="0" ref="E32">
      <text>
        <t xml:space="preserve">B0038375:
Existing Buying Price PO 148 Supplier Sanchati
</t>
      </text>
    </comment>
    <comment authorId="0" ref="E33">
      <text>
        <t xml:space="preserve">B0038375:
Last Purchase Price</t>
      </text>
    </comment>
    <comment authorId="0" ref="E34">
      <text>
        <t xml:space="preserve">B0038375:
Last Purchase Price</t>
      </text>
    </comment>
    <comment authorId="0" ref="E35">
      <text>
        <t xml:space="preserve">B0038375:
Last Purchase Price</t>
      </text>
    </comment>
    <comment authorId="0" ref="E36">
      <text>
        <t xml:space="preserve">B0038375:
Reference - 7th &amp; 8th TP purchase</t>
      </text>
    </comment>
    <comment authorId="0" ref="E38">
      <text>
        <t xml:space="preserve">B0038375:
DR Quote from Tandberg
considered 128x128 in to 2 quantity for making it 256x256
</t>
      </text>
    </comment>
    <comment authorId="0" ref="E39">
      <text>
        <t xml:space="preserve">b0041596:
Play box order</t>
      </text>
    </comment>
    <comment authorId="0" ref="E40">
      <text>
        <t xml:space="preserve">B0038375:
Assumed half of 24</t>
      </text>
    </comment>
    <comment authorId="0" ref="E41">
      <text>
        <t xml:space="preserve">B0038375:
KV Mohan quote
</t>
      </text>
    </comment>
    <comment authorId="0" ref="E42">
      <text>
        <t xml:space="preserve">B0038375:
Last Purchase Price</t>
      </text>
    </comment>
    <comment authorId="0" ref="E43">
      <text>
        <t xml:space="preserve">B0038375:
Last Purchase Price</t>
      </text>
    </comment>
    <comment authorId="0" ref="E44">
      <text>
        <t xml:space="preserve">B0038375:
Nexio proposal from Harris</t>
      </text>
    </comment>
    <comment authorId="0" ref="E45">
      <text>
        <t xml:space="preserve">b0041596:
Cisco quote</t>
      </text>
    </comment>
    <comment authorId="0" ref="E46">
      <text>
        <t xml:space="preserve">B0038375:
Quote from Rittal</t>
      </text>
    </comment>
    <comment authorId="0" ref="E50">
      <text>
        <t xml:space="preserve">b0041596:
Current Purchase</t>
      </text>
    </comment>
    <comment authorId="0" ref="E51">
      <text>
        <t xml:space="preserve">b0041596:
Erricsson Quote for Diversity</t>
      </text>
    </comment>
    <comment authorId="0" ref="E53">
      <text>
        <t xml:space="preserve">b0041596:
Cisco Quote</t>
      </text>
    </comment>
    <comment authorId="0" ref="E54">
      <text>
        <t xml:space="preserve">b0041596:
Cisco Quote</t>
      </text>
    </comment>
    <comment authorId="0" ref="E56">
      <text>
        <t xml:space="preserve">b0041596:
Erricson Diversity quote</t>
      </text>
    </comment>
    <comment authorId="0" ref="E57">
      <text>
        <t xml:space="preserve">b0041596:
Erricson Diversity Quote</t>
      </text>
    </comment>
    <comment authorId="0" ref="E58">
      <text>
        <t xml:space="preserve">b0041596:
Erricson Diversity Quote</t>
      </text>
    </comment>
    <comment authorId="0" ref="E59">
      <text>
        <t xml:space="preserve">B0038375:
Refer Tandberg quote for DR $ 140808 FOR 23 Racks and Wiring</t>
      </text>
    </comment>
    <comment authorId="0" ref="E61">
      <text>
        <t xml:space="preserve">B0038375:
GSI Price reference</t>
      </text>
    </comment>
    <comment authorId="0" ref="E63">
      <text>
        <t xml:space="preserve">B0038375:
Nexio Proposal from Harris - Video Distribution Amplifier</t>
      </text>
    </comment>
    <comment authorId="0" ref="E64">
      <text>
        <t xml:space="preserve">B0038375:
Assumption based on Evertz proposal</t>
      </text>
    </comment>
    <comment authorId="0" ref="E66">
      <text>
        <t xml:space="preserve">B0038375:
Last purchase price
po - 632 on Tandberg</t>
      </text>
    </comment>
    <comment authorId="0" ref="E69">
      <text>
        <t xml:space="preserve">B0038375:
Last buying price PO 582
Supplier NASCENT Technologies</t>
      </text>
    </comment>
    <comment authorId="0" ref="E73">
      <text>
        <t xml:space="preserve">B0038375:
Quote from Play box</t>
      </text>
    </comment>
    <comment authorId="0" ref="E76">
      <text>
        <t xml:space="preserve">B0038375:
Quote from Rittal</t>
      </text>
    </comment>
    <comment authorId="0" ref="E80">
      <text>
        <t xml:space="preserve">B0038375:
Tandberg quote Diversity</t>
      </text>
    </comment>
    <comment authorId="0" ref="E86">
      <text>
        <t xml:space="preserve">B0038375:
New system for 10Mn Customer base</t>
      </text>
    </comment>
    <comment authorId="0" ref="E88">
      <text>
        <t xml:space="preserve">B0038375:
New System for 10Mn customer base, earlier was for 5Mn</t>
      </text>
    </comment>
    <comment authorId="0" ref="E89">
      <text>
        <t xml:space="preserve">B0038375:
Pixel quote for DR
QUOTE : $ 945,774 + balance assumption for 8PSK</t>
      </text>
    </comment>
    <comment authorId="0" ref="F94">
      <text>
        <t xml:space="preserve">B0038375:
As per current contract with AES</t>
      </text>
    </comment>
    <comment authorId="0" ref="F95">
      <text>
        <t xml:space="preserve">B0038375:
Assumption as per industry practice</t>
      </text>
    </comment>
    <comment authorId="0" ref="E120">
      <text>
        <t xml:space="preserve">B0038375:
Reference 7th &amp; 8th Transponder - Evertz Quote</t>
      </text>
    </comment>
  </commentList>
</comments>
</file>

<file path=xl/sharedStrings.xml><?xml version="1.0" encoding="utf-8"?>
<sst xmlns="http://schemas.openxmlformats.org/spreadsheetml/2006/main" count="2176" uniqueCount="1244">
  <si>
    <t>Summary</t>
  </si>
  <si>
    <t>USD(Actuals)</t>
  </si>
  <si>
    <t>INR (Actual)</t>
  </si>
  <si>
    <t>USD Target</t>
  </si>
  <si>
    <t>INR Target</t>
  </si>
  <si>
    <t>EPG Development</t>
  </si>
  <si>
    <t>Application Projects</t>
  </si>
  <si>
    <t>iTV Application</t>
  </si>
  <si>
    <t>App Modification</t>
  </si>
  <si>
    <t>POC</t>
  </si>
  <si>
    <t>AMS Licence</t>
  </si>
  <si>
    <t>test Lab</t>
  </si>
  <si>
    <t>Opex</t>
  </si>
  <si>
    <t>Total</t>
  </si>
  <si>
    <t>Features</t>
  </si>
  <si>
    <t>Description</t>
  </si>
  <si>
    <t>Cost</t>
  </si>
  <si>
    <t>EPG Release 4.0 &amp; 4.5 ( 11 Boxes for EPG 4.0 &amp; 14 Boxes for EPG 4.5)</t>
  </si>
  <si>
    <t>All STB features</t>
  </si>
  <si>
    <t>USB drive access</t>
  </si>
  <si>
    <t>All Mp3,Mpeg2,mpeg4, WMA,WMV,AVI,JPG,gif,png format support</t>
  </si>
  <si>
    <t>NR</t>
  </si>
  <si>
    <t>Audio OSDs</t>
  </si>
  <si>
    <t>Small Audio clips in max 10 indian language stored in STB will trigger on invoking OSD6 or some other OSD's and shall dynamically updated.
The triggering of audio clips in respective language shall be target and controlled from CAS.</t>
  </si>
  <si>
    <t>Troubleshooting OSDs</t>
  </si>
  <si>
    <t>1. Comprehensive set of instruction to Customer for troubleshooting  in problemetic scenarios.
2. More information to defined OSD as provided in Generic OSD requirement.</t>
  </si>
  <si>
    <t>reduce</t>
  </si>
  <si>
    <t>Improved look OSDs</t>
  </si>
  <si>
    <t>all OSD with background changes and possible animations can become part of New SD and HD EPG look</t>
  </si>
  <si>
    <t>OK</t>
  </si>
  <si>
    <t>Low balance OSDs</t>
  </si>
  <si>
    <t>EPG 3.5</t>
  </si>
  <si>
    <t>New  EPG look</t>
  </si>
  <si>
    <t>under discussion</t>
  </si>
  <si>
    <t>L-shaped mini EPG</t>
  </si>
  <si>
    <t>HD genre support</t>
  </si>
  <si>
    <t>Symmetric signal level</t>
  </si>
  <si>
    <t>Defined startup service</t>
  </si>
  <si>
    <t>Ticker on channels</t>
  </si>
  <si>
    <t>should be part of CLM requirement</t>
  </si>
  <si>
    <t>Should be part of CLM Budget</t>
  </si>
  <si>
    <t>CLM for DTH</t>
  </si>
  <si>
    <t>design document to be sent</t>
  </si>
  <si>
    <t>Replacement of current widgets</t>
  </si>
  <si>
    <t>discussed ( need design solution from NDS)</t>
  </si>
  <si>
    <t>reconsider</t>
  </si>
  <si>
    <t>AMS enhancements</t>
  </si>
  <si>
    <t>development for 1 HD STB including diagnostic screen</t>
  </si>
  <si>
    <t>HD UI</t>
  </si>
  <si>
    <t>can be part of New Look EPG</t>
  </si>
  <si>
    <t>ok</t>
  </si>
  <si>
    <t>Browser on TV</t>
  </si>
  <si>
    <t>Netfront browser</t>
  </si>
  <si>
    <t>Global search with prediction</t>
  </si>
  <si>
    <t>NDS product offering</t>
  </si>
  <si>
    <t>Wifi Dongle integration</t>
  </si>
  <si>
    <t>All HD and SD PVR</t>
  </si>
  <si>
    <t>Recording Features</t>
  </si>
  <si>
    <t>Select and Delete, Date and time for recorded content, progress bar redefine, user defined or series folder.</t>
  </si>
  <si>
    <t>Diagnostic screen for IP Network</t>
  </si>
  <si>
    <t>Interface,Link, Gateway, Server IP and Port diagnostics</t>
  </si>
  <si>
    <t>Link from EPG to PDL content, iTV support for PDL content</t>
  </si>
  <si>
    <t>Video content in iTV application</t>
  </si>
  <si>
    <t>Application Name</t>
  </si>
  <si>
    <t>To be hosted on which Satellite?</t>
  </si>
  <si>
    <t>Tentative 
Month of Launch</t>
  </si>
  <si>
    <t>Capex(USD)</t>
  </si>
  <si>
    <t>Target:     1500000</t>
  </si>
  <si>
    <t>Project Applications</t>
  </si>
  <si>
    <t>iGoodlife</t>
  </si>
  <si>
    <t>Targetting Jan 15th for live testing</t>
  </si>
  <si>
    <t>New Sat</t>
  </si>
  <si>
    <t>iDarshan</t>
  </si>
  <si>
    <t>iShop</t>
  </si>
  <si>
    <t>iNews</t>
  </si>
  <si>
    <t>Existing Application</t>
  </si>
  <si>
    <t>iBiz</t>
  </si>
  <si>
    <t>Under discussions</t>
  </si>
  <si>
    <t xml:space="preserve"> - </t>
  </si>
  <si>
    <t xml:space="preserve">iLearn </t>
  </si>
  <si>
    <t>1. STB remote Diagnostic</t>
  </si>
  <si>
    <t>Already Live</t>
  </si>
  <si>
    <t>Both Sat</t>
  </si>
  <si>
    <t>iAstro - Phase 1 (Existing)</t>
  </si>
  <si>
    <t>Existing application</t>
  </si>
  <si>
    <t>iAstro - Phase 2</t>
  </si>
  <si>
    <t>Development - NDS</t>
  </si>
  <si>
    <t>March</t>
  </si>
  <si>
    <t>not approved</t>
  </si>
  <si>
    <t>iKisaan</t>
  </si>
  <si>
    <t>MyInfo</t>
  </si>
  <si>
    <t>Requirement Discussion for data</t>
  </si>
  <si>
    <t>iRadio -  Phase 1</t>
  </si>
  <si>
    <t>Radio Application with Music Playout</t>
  </si>
  <si>
    <t>May</t>
  </si>
  <si>
    <t>Games</t>
  </si>
  <si>
    <t>6 Games</t>
  </si>
  <si>
    <t>Already live</t>
  </si>
  <si>
    <t>no cost</t>
  </si>
  <si>
    <t>NDS Widgets</t>
  </si>
  <si>
    <t>-</t>
  </si>
  <si>
    <t>no cost approved</t>
  </si>
  <si>
    <t>Lukup</t>
  </si>
  <si>
    <t>Advertising</t>
  </si>
  <si>
    <t>June</t>
  </si>
  <si>
    <t>Polling</t>
  </si>
  <si>
    <t xml:space="preserve">Polling for News, Quizzes, Movies etc </t>
  </si>
  <si>
    <t>Nov</t>
  </si>
  <si>
    <t>Amagi</t>
  </si>
  <si>
    <t>iEnglish</t>
  </si>
  <si>
    <t>Requirements given to NDS</t>
  </si>
  <si>
    <t>to be simplied and include in EPG development</t>
  </si>
  <si>
    <t>ILearn phase 2</t>
  </si>
  <si>
    <t>Application with enhancement for kids, curriculum</t>
  </si>
  <si>
    <t>Aug</t>
  </si>
  <si>
    <t>iShare</t>
  </si>
  <si>
    <t>Photo sharing via return path</t>
  </si>
  <si>
    <t>Sep</t>
  </si>
  <si>
    <t>App Store</t>
  </si>
  <si>
    <t>CAS/Headend changes</t>
  </si>
  <si>
    <t>STB changes</t>
  </si>
  <si>
    <t>2. PDL Expansion</t>
  </si>
  <si>
    <t>10 SD channels</t>
  </si>
  <si>
    <t>Infrastructure for NF based application</t>
  </si>
  <si>
    <t>2 site CDN expansion</t>
  </si>
  <si>
    <t>3000 hours VOD content</t>
  </si>
  <si>
    <t>Testing Equipments</t>
  </si>
  <si>
    <t>RP</t>
  </si>
  <si>
    <t>iCricket</t>
  </si>
  <si>
    <t>iSports</t>
  </si>
  <si>
    <t>As and when needed</t>
  </si>
  <si>
    <t>Mosaic</t>
  </si>
  <si>
    <t>UAT Phase - May / Maynot go live</t>
  </si>
  <si>
    <t>Old Sat</t>
  </si>
  <si>
    <t>Launch when needed</t>
  </si>
  <si>
    <t>Assumptions Based on Marketing requirement</t>
  </si>
  <si>
    <t>Existing</t>
  </si>
  <si>
    <t>New Addition</t>
  </si>
  <si>
    <t>Bandwidth Calculation</t>
  </si>
  <si>
    <t>3. Headend Purchase</t>
  </si>
  <si>
    <t>Unit</t>
  </si>
  <si>
    <t>Transponders Availability</t>
  </si>
  <si>
    <t>New Addition till Mar'11</t>
  </si>
  <si>
    <t>Business Forecast for 2011-12</t>
  </si>
  <si>
    <t>New Addition in 2011-2012</t>
  </si>
  <si>
    <t>Bandwidth Available/TP</t>
  </si>
  <si>
    <t>Mbps</t>
  </si>
  <si>
    <t xml:space="preserve">Null </t>
  </si>
  <si>
    <t>Forecast</t>
  </si>
  <si>
    <t>SI Tables</t>
  </si>
  <si>
    <t>EMM BW</t>
  </si>
  <si>
    <t xml:space="preserve">Effective BW/TS </t>
  </si>
  <si>
    <t>Total Additional BW Available</t>
  </si>
  <si>
    <t>IT Integration alos required</t>
  </si>
  <si>
    <t>Increase in channels</t>
  </si>
  <si>
    <t>SD</t>
  </si>
  <si>
    <t>Nos</t>
  </si>
  <si>
    <t>HD</t>
  </si>
  <si>
    <t>4. PC Client</t>
  </si>
  <si>
    <t>25 SD channels</t>
  </si>
  <si>
    <t>Radio</t>
  </si>
  <si>
    <t>CatchUp and VOD same as PDL</t>
  </si>
  <si>
    <t>Bharti Telemedia Ltd.</t>
  </si>
  <si>
    <t>existing PDL NW to be utilised</t>
  </si>
  <si>
    <t>Headend Expansion</t>
  </si>
  <si>
    <t>Encoders and misc(300K)</t>
  </si>
  <si>
    <t>CAS expansion</t>
  </si>
  <si>
    <t>CAS capex to be included in Licence Opex model with NDS</t>
  </si>
  <si>
    <t>S. No.</t>
  </si>
  <si>
    <t>CDN Expansion</t>
  </si>
  <si>
    <t>PC client UI Development</t>
  </si>
  <si>
    <t>Development cost also to be included in Licence or Opex cost</t>
  </si>
  <si>
    <t>PC Client Licences</t>
  </si>
  <si>
    <t>0.3 USD/Sub/quarter</t>
  </si>
  <si>
    <t xml:space="preserve">Equipment </t>
  </si>
  <si>
    <t>4. Unified Interactive CMT setup</t>
  </si>
  <si>
    <t>AOP FY 2011-2012</t>
  </si>
  <si>
    <t>PPV</t>
  </si>
  <si>
    <t>PPV HD</t>
  </si>
  <si>
    <t>Network Expenses</t>
  </si>
  <si>
    <t>Exchange Rate</t>
  </si>
  <si>
    <t>Rs.</t>
  </si>
  <si>
    <t>Line Ref.</t>
  </si>
  <si>
    <t>Increase in Applications</t>
  </si>
  <si>
    <t>Mosic Video</t>
  </si>
  <si>
    <t>FY'12</t>
  </si>
  <si>
    <t>Data only</t>
  </si>
  <si>
    <t>with RP</t>
  </si>
  <si>
    <t>EPG Features</t>
  </si>
  <si>
    <t>EPG languages</t>
  </si>
  <si>
    <t>No. of DUs</t>
  </si>
  <si>
    <t>Licence</t>
  </si>
  <si>
    <t>1. AMS for 1 HD box</t>
  </si>
  <si>
    <t>targetted DU</t>
  </si>
  <si>
    <t>2. PC Client per Sub</t>
  </si>
  <si>
    <t>No. of OTA</t>
  </si>
  <si>
    <t>Complete Capex to be modelled in Rev Share with NDS</t>
  </si>
  <si>
    <t>3. Audio Format Royalty for USB Drive access</t>
  </si>
  <si>
    <t>EMM B.W Requirement</t>
  </si>
  <si>
    <t>Mbps/TP</t>
  </si>
  <si>
    <t>tbd</t>
  </si>
  <si>
    <t>4. NetFront Licence per STB</t>
  </si>
  <si>
    <t>Null Packets</t>
  </si>
  <si>
    <t>Assumption</t>
  </si>
  <si>
    <t>Targetted Advertising - Lukup</t>
  </si>
  <si>
    <t>Lukup (June)</t>
  </si>
  <si>
    <t>Make &amp; Model</t>
  </si>
  <si>
    <t>Quantity</t>
  </si>
  <si>
    <t>Lukup, BW = 2Mbps</t>
  </si>
  <si>
    <t>Unit Cost</t>
  </si>
  <si>
    <t>Approx Cost</t>
  </si>
  <si>
    <t>Justification</t>
  </si>
  <si>
    <t>Hardware &amp; Software Test Equipment</t>
  </si>
  <si>
    <t>Network Opex - Actual</t>
  </si>
  <si>
    <t>A</t>
  </si>
  <si>
    <t>Automation Testing</t>
  </si>
  <si>
    <t>Automation testing for STB in simulated environment. Broadcast Test System and Softwar Tools</t>
  </si>
  <si>
    <t>Pixel Matrix / Red Rat/R&amp;S / Agilent/NDS</t>
  </si>
  <si>
    <t>Test automation of EPG, iTV application and games. Stress and long run test automation also covered. This system will have prominentfeatures like: - Aplication &amp; Games testing simulation. Realtime TV and audio broadcasting signal generation,  Transmission and interferer simulations.</t>
  </si>
  <si>
    <t>3rd Party testing of 3 models of STB</t>
  </si>
  <si>
    <t>AERF/Tech Mahindra</t>
  </si>
  <si>
    <t>This model will work for environmental &amp; mechanical testing of BIS.</t>
  </si>
  <si>
    <t>3rd party ODU testing</t>
  </si>
  <si>
    <t>AERF/IETL/CSIR</t>
  </si>
  <si>
    <t>This model will work for environmental, mechanical &amp; electrical  testing of ODU component.</t>
  </si>
  <si>
    <t>STB (11 STB X 2 release in year) software testing</t>
  </si>
  <si>
    <t>Tech Mahindra</t>
  </si>
  <si>
    <t>This model will work for software testing of STB.</t>
  </si>
  <si>
    <t>B</t>
  </si>
  <si>
    <t>Equipment &amp; Accessories Cost</t>
  </si>
  <si>
    <t xml:space="preserve">Subscription &amp; new STB model of competitor for year 11-12. </t>
  </si>
  <si>
    <t xml:space="preserve">All DTH &amp; IPTV  operator </t>
  </si>
  <si>
    <t>Benchmarking monitoring activity.</t>
  </si>
  <si>
    <t>Digital Multimeter</t>
  </si>
  <si>
    <t>Agilent / R&amp;S / Tektronics</t>
  </si>
  <si>
    <t>Enhanced device with features like analyzing dc volts, ac volts, Current, Resistance, Frequency, Temperature, diode test, capacitance.</t>
  </si>
  <si>
    <t>TS Player, Analyzer and Recorder.</t>
  </si>
  <si>
    <t>DVEO</t>
  </si>
  <si>
    <t>This device has features like capture and playback of HD, MPEG-2 and H.264/AVC (MPEG-4 Part 10) streams.</t>
  </si>
  <si>
    <t>Video Router Switch</t>
  </si>
  <si>
    <t>ATEN</t>
  </si>
  <si>
    <t>This device has 8-Port HDMI switch for quick and easy switching between HDMI sources.</t>
  </si>
  <si>
    <t>DC electronic load &amp; source</t>
  </si>
  <si>
    <t>Agilent / R&amp;S</t>
  </si>
  <si>
    <t>This device has testing capabilities for multiple output dc power supplies.</t>
  </si>
  <si>
    <t>Multiviewer with accessories (cables, connectors, A/V converters, etc.)</t>
  </si>
  <si>
    <t>AVI Tech / Image Video</t>
  </si>
  <si>
    <t>To monitor multiple STBs for multiple EPG, iTV applications and Games releases and save testing/validation time.</t>
  </si>
  <si>
    <t>LCD - Full HD 40 inches</t>
  </si>
  <si>
    <t>SONY / Samsung</t>
  </si>
  <si>
    <t>Required for the 2 multi-viewers mentioned in point 9.</t>
  </si>
  <si>
    <t>LED 3D 46 " TV (with 3D glasses)</t>
  </si>
  <si>
    <t>3D - testing of all deliverables.</t>
  </si>
  <si>
    <t>Cables, Connectors,splitters, professional att. and Converters (ASI to HDMI, RF to IF, HDMI to ASI etc.)</t>
  </si>
  <si>
    <t>Agilent/Techtronics/Triax</t>
  </si>
  <si>
    <t>This device have advanced features like A/V display, spectrum, etc.</t>
  </si>
  <si>
    <t>Subscribers</t>
  </si>
  <si>
    <t>Mn</t>
  </si>
  <si>
    <t>Pure RP,BW= 1 Mbps</t>
  </si>
  <si>
    <t>not required</t>
  </si>
  <si>
    <t>iAstro Phase 3 - Return Path Edition</t>
  </si>
  <si>
    <t>Kundli on Demand / Matchmaking on Kundli</t>
  </si>
  <si>
    <t>HBD,No BW impact</t>
  </si>
  <si>
    <t>iCare</t>
  </si>
  <si>
    <t>Selfcare on TV Screen (Account Balance)</t>
  </si>
  <si>
    <t>Pure RP, No Sat BW</t>
  </si>
  <si>
    <t>Targetted Advertising - Amagi</t>
  </si>
  <si>
    <t>Space Segment</t>
  </si>
  <si>
    <t>Amagi(Sep)</t>
  </si>
  <si>
    <t>Sat BW= 2 Mbps</t>
  </si>
  <si>
    <t>Exchange rate changed to 45.5 from 47</t>
  </si>
  <si>
    <t>Requirements have been shared - Application will be on New Sat</t>
  </si>
  <si>
    <t>Sat Bw= 3 Mbps</t>
  </si>
  <si>
    <t>iRadio - Phase 1 &amp; Phase 2 - Karaoke</t>
  </si>
  <si>
    <t>No. of Transponders on 4CR</t>
  </si>
  <si>
    <t>Phase 1 (WIP already - New Sat)), Phase 2 (Karaoke)</t>
  </si>
  <si>
    <t>Nos.</t>
  </si>
  <si>
    <t>Sat BW=5 Mbps</t>
  </si>
  <si>
    <t>OK within defined cost</t>
  </si>
  <si>
    <t>Business application</t>
  </si>
  <si>
    <t>Sat BW=2 Mbps</t>
  </si>
  <si>
    <t>iBanking</t>
  </si>
  <si>
    <t>Application will be hosted on satellite</t>
  </si>
  <si>
    <t>Photosharing without Return Path(BrizzTv)</t>
  </si>
  <si>
    <t>K VAT removed as per business</t>
  </si>
  <si>
    <t>Sat BW= 3 Mbps</t>
  </si>
  <si>
    <t>iLearn - Phase 2
                 Phase 3</t>
  </si>
  <si>
    <t>Per Transponder Cost pm</t>
  </si>
  <si>
    <t>Ph 2-Application with enhancement for kids
Ph 3- Learning Video Streaming, and interactive tools and content(RP)</t>
  </si>
  <si>
    <t>Sat BW= 2 Mbps additional to iLearn PH 1</t>
  </si>
  <si>
    <t>Interactive Multiplayer game with RP</t>
  </si>
  <si>
    <t>Rs Mn</t>
  </si>
  <si>
    <t>Multiplayer game (like First person shooter, Racing, Adventure etc)</t>
  </si>
  <si>
    <t xml:space="preserve">iChat </t>
  </si>
  <si>
    <t>Changes made in 4CR TP surrender date</t>
  </si>
  <si>
    <t>Messaging / Chatting ( Pure RP)</t>
  </si>
  <si>
    <t>App Store Platform Creation</t>
  </si>
  <si>
    <t>4CR Total Transponder Cost</t>
  </si>
  <si>
    <t>App Store on TV concept ( Pure RP)</t>
  </si>
  <si>
    <t>No. of Transponders on SES7</t>
  </si>
  <si>
    <t xml:space="preserve">Absolute No. of Transponders on SES7 </t>
  </si>
  <si>
    <t>SES Total Transponder Cost</t>
  </si>
  <si>
    <t>Per Transponder WPC Charges</t>
  </si>
  <si>
    <t>Total WPC Charges</t>
  </si>
  <si>
    <t>Per Transponder NOCC Fees</t>
  </si>
  <si>
    <t>NOCC Uplinking Monitoring Fee</t>
  </si>
  <si>
    <t>Total Space Segment Opex</t>
  </si>
  <si>
    <t>Manesar Headend Facility</t>
  </si>
  <si>
    <t>Lease Rent</t>
  </si>
  <si>
    <t>Maintainence Charges</t>
  </si>
  <si>
    <t>Power &amp; Fuel</t>
  </si>
  <si>
    <t>Insurance of HE facility</t>
  </si>
  <si>
    <t>AMC Equipment &amp; Repair &amp; Maintenance</t>
  </si>
  <si>
    <t xml:space="preserve">Office &amp; Miscellaneous </t>
  </si>
  <si>
    <t>Total Headend Facility</t>
  </si>
  <si>
    <t>Diversity Site</t>
  </si>
  <si>
    <t xml:space="preserve">Facility  Charges </t>
  </si>
  <si>
    <t>Capex Expenses</t>
  </si>
  <si>
    <t>Q1' 11</t>
  </si>
  <si>
    <t>Q2' 11</t>
  </si>
  <si>
    <t>Q3'11</t>
  </si>
  <si>
    <t>Q4' 11</t>
  </si>
  <si>
    <t>FY' 11-12</t>
  </si>
  <si>
    <t>forecast</t>
  </si>
  <si>
    <t>Technical</t>
  </si>
  <si>
    <t>Insurance</t>
  </si>
  <si>
    <t>Headend &amp; CAS</t>
  </si>
  <si>
    <t>Rs. Mn</t>
  </si>
  <si>
    <t>Capacity</t>
  </si>
  <si>
    <t>Utility</t>
  </si>
  <si>
    <t xml:space="preserve">RF </t>
  </si>
  <si>
    <t>Total Diversity Site Expenses</t>
  </si>
  <si>
    <t>RF Bangalore</t>
  </si>
  <si>
    <t>Spill Over</t>
  </si>
  <si>
    <t>Strategy</t>
  </si>
  <si>
    <t xml:space="preserve">Broadcast </t>
  </si>
  <si>
    <t>Network Connectivity</t>
  </si>
  <si>
    <t>NOC</t>
  </si>
  <si>
    <t>Backend (STM-1)</t>
  </si>
  <si>
    <t>Quality</t>
  </si>
  <si>
    <t>Total Manesar</t>
  </si>
  <si>
    <t>Content Provider</t>
  </si>
  <si>
    <t>Total Network Connectivity Expenses</t>
  </si>
  <si>
    <t>Obligatory</t>
  </si>
  <si>
    <t>DR Headend (150 channels)</t>
  </si>
  <si>
    <t>RF Downlink and content Acquisition</t>
  </si>
  <si>
    <t>Total Network Expenses</t>
  </si>
  <si>
    <t>Compression</t>
  </si>
  <si>
    <t>No HD Channel planned</t>
  </si>
  <si>
    <t>NMS and Monitoring</t>
  </si>
  <si>
    <t>Compliance Rec</t>
  </si>
  <si>
    <t>Working</t>
  </si>
  <si>
    <t>Removed as per Ajai</t>
  </si>
  <si>
    <t>IT &amp; Connectivity</t>
  </si>
  <si>
    <t>Manesar Lease Rent</t>
  </si>
  <si>
    <t>AGC</t>
  </si>
  <si>
    <t>Not considered</t>
  </si>
  <si>
    <t>SI</t>
  </si>
  <si>
    <t>Total Area</t>
  </si>
  <si>
    <t>SQF</t>
  </si>
  <si>
    <t>Area used by us</t>
  </si>
  <si>
    <t>CAS Integration</t>
  </si>
  <si>
    <t>Utility and BMS</t>
  </si>
  <si>
    <t>Area used by CLM</t>
  </si>
  <si>
    <t>Rate</t>
  </si>
  <si>
    <t>Rs / SQF</t>
  </si>
  <si>
    <t>Total DR Site</t>
  </si>
  <si>
    <t>Kept 15% hike as per SJ and NS</t>
  </si>
  <si>
    <t>Rent</t>
  </si>
  <si>
    <t>New Projects</t>
  </si>
  <si>
    <t>New EPG development</t>
  </si>
  <si>
    <t>Applications</t>
  </si>
  <si>
    <t>Manesar Maintenance</t>
  </si>
  <si>
    <t>BRL Facility Management Team</t>
  </si>
  <si>
    <t xml:space="preserve">Rs. </t>
  </si>
  <si>
    <t>Projects</t>
  </si>
  <si>
    <t>Test lab</t>
  </si>
  <si>
    <t>Total New Projects</t>
  </si>
  <si>
    <t>Total Technical</t>
  </si>
  <si>
    <t xml:space="preserve">Exchange Rate </t>
  </si>
  <si>
    <t>1 USD</t>
  </si>
  <si>
    <t>Freight Component</t>
  </si>
  <si>
    <t>The line items highlighted with Yellow needs 2b revisited</t>
  </si>
  <si>
    <t>Custom Duty</t>
  </si>
  <si>
    <t xml:space="preserve">M &amp; E Cushman &amp; Wakefield </t>
  </si>
  <si>
    <t>Cenvat Benefit</t>
  </si>
  <si>
    <t>Effective Duty</t>
  </si>
  <si>
    <t xml:space="preserve">AOP Budget for Headend &amp; CAS </t>
  </si>
  <si>
    <t>Sl No</t>
  </si>
  <si>
    <t>Part No &amp; Make Name</t>
  </si>
  <si>
    <t>Description of Item</t>
  </si>
  <si>
    <t>Consumables (HK &amp; electromechanical Additives)</t>
  </si>
  <si>
    <t>Qty</t>
  </si>
  <si>
    <t>Unit Price in INR</t>
  </si>
  <si>
    <t>Reduced as per discussion with Bajinder</t>
  </si>
  <si>
    <t>Total Value in INR</t>
  </si>
  <si>
    <t>Unit Price in USD</t>
  </si>
  <si>
    <t>Remarks</t>
  </si>
  <si>
    <t>Capex Category</t>
  </si>
  <si>
    <t>HD Encoder license on existing EN 8030</t>
  </si>
  <si>
    <t>HD License</t>
  </si>
  <si>
    <t>Sinking Fund</t>
  </si>
  <si>
    <t>For PDL</t>
  </si>
  <si>
    <t>capacity</t>
  </si>
  <si>
    <t xml:space="preserve">Encoder </t>
  </si>
  <si>
    <t>AMC</t>
  </si>
  <si>
    <t>En8030</t>
  </si>
  <si>
    <t>Test/Spare Inventory</t>
  </si>
  <si>
    <t>Encoder VPC Chasis with 4 En cards each</t>
  </si>
  <si>
    <t>En8130</t>
  </si>
  <si>
    <t>Common area electricity markup</t>
  </si>
  <si>
    <t>Imprest (Misc Cash Purchases)</t>
  </si>
  <si>
    <t>Mux</t>
  </si>
  <si>
    <t>MX8400</t>
  </si>
  <si>
    <t xml:space="preserve">Cost Of Statutory Compliance </t>
  </si>
  <si>
    <t>Spare Inventory</t>
  </si>
  <si>
    <t>mark up @ 20%</t>
  </si>
  <si>
    <t>Panacea Switch</t>
  </si>
  <si>
    <t>8x8 ASI Switch</t>
  </si>
  <si>
    <t>Total Maintenance Charges</t>
  </si>
  <si>
    <t>DEV Switch 1991</t>
  </si>
  <si>
    <t>IF Switch(Ethernet Control)</t>
  </si>
  <si>
    <t>Platinum 512X512 ( Core Router)</t>
  </si>
  <si>
    <t>A/V router (Headend)</t>
  </si>
  <si>
    <t>Sq Ft.</t>
  </si>
  <si>
    <t>Operational requirement. Removed as per disc with Ajai</t>
  </si>
  <si>
    <t xml:space="preserve">Integrator SD Input Card </t>
  </si>
  <si>
    <t>Harris</t>
  </si>
  <si>
    <t>32 Ports in one Card</t>
  </si>
  <si>
    <t>Integrator SD Output Card</t>
  </si>
  <si>
    <t>Platenum SD Input Card</t>
  </si>
  <si>
    <t>Harris (PT-S-IB)</t>
  </si>
  <si>
    <t>Area used by Airtel digitalTV</t>
  </si>
  <si>
    <t>8 Ports in one Card</t>
  </si>
  <si>
    <t>Platenum SD Output Card</t>
  </si>
  <si>
    <t>Harris(PT-SR-OB)</t>
  </si>
  <si>
    <t>Platenum HD Input Card</t>
  </si>
  <si>
    <t>Harris(PT-HS-IB)</t>
  </si>
  <si>
    <t>For new channel monitoring+ 1cards for 2 new HD ch</t>
  </si>
  <si>
    <t>capacity/ Quality</t>
  </si>
  <si>
    <t>50-50</t>
  </si>
  <si>
    <t>Platenum HD Output Card</t>
  </si>
  <si>
    <t>Harris(PT-HSR-OB)</t>
  </si>
  <si>
    <t>Cisco Switch</t>
  </si>
  <si>
    <t>Maintenance charges borne by DTH</t>
  </si>
  <si>
    <t xml:space="preserve">IRD's </t>
  </si>
  <si>
    <t>MPEG-4</t>
  </si>
  <si>
    <t>Channels migrating fm MPEG2 to MPEG4. Reduced the nos fm 50ch to 25ch provisioning as per Ajai</t>
  </si>
  <si>
    <t>Modulator</t>
  </si>
  <si>
    <t>SM 6620</t>
  </si>
  <si>
    <t>Test Exapnsion &amp;Spare Inventory</t>
  </si>
  <si>
    <t>Power &amp; Fuel (Manesar)</t>
  </si>
  <si>
    <t>IF Upconvertor(L-band)</t>
  </si>
  <si>
    <t>Variable upconvertor</t>
  </si>
  <si>
    <t>Units of electricity consumed</t>
  </si>
  <si>
    <t>KW</t>
  </si>
  <si>
    <t>range from (950-2150 Mhz) to provide the frequency in the test bed for testing</t>
  </si>
  <si>
    <t xml:space="preserve">Embedder (MSA6800+C4D) </t>
  </si>
  <si>
    <t xml:space="preserve">For Embedding  the SDI with multiple audios </t>
  </si>
  <si>
    <t>De-embedder (DMX6800+A4C2Z)</t>
  </si>
  <si>
    <t xml:space="preserve">For Deembeddeing the SDI with multiple audios </t>
  </si>
  <si>
    <t>CAM Iredito (Latest version)</t>
  </si>
  <si>
    <t xml:space="preserve">CAM Iredito </t>
  </si>
  <si>
    <t>65:35 Power availability Ratio taken basis current yr trend as per business</t>
  </si>
  <si>
    <t>Rate per unit</t>
  </si>
  <si>
    <t>For decrypting new channels</t>
  </si>
  <si>
    <t xml:space="preserve">DD+ monitoring </t>
  </si>
  <si>
    <t>Wholler</t>
  </si>
  <si>
    <t>Required for local on rack monitoring of DD+</t>
  </si>
  <si>
    <t>12 Way Active Quintech Spliter</t>
  </si>
  <si>
    <t>Quintech</t>
  </si>
  <si>
    <t>No hike in Cost/unit taken as per business</t>
  </si>
  <si>
    <t>For new Acquisition PODs</t>
  </si>
  <si>
    <t>SONY (LCD Monitors)</t>
  </si>
  <si>
    <t>Model No: LMD-2050W</t>
  </si>
  <si>
    <t>Total Electricity Cost</t>
  </si>
  <si>
    <t>Evertz DA Cards(Analog)</t>
  </si>
  <si>
    <t>7700ADA7-EQ</t>
  </si>
  <si>
    <t>For Sync in Expansion racks</t>
  </si>
  <si>
    <t>6800+ Chassis</t>
  </si>
  <si>
    <t>Spares</t>
  </si>
  <si>
    <t>DA-SR-6802+D</t>
  </si>
  <si>
    <t>Units of Diesel consumed</t>
  </si>
  <si>
    <t>1X8 SDI DA as Spares</t>
  </si>
  <si>
    <t>Upconvertor</t>
  </si>
  <si>
    <t>1 Mhz</t>
  </si>
  <si>
    <t>Cobalt</t>
  </si>
  <si>
    <t>Chassis(Open Gear DFR8321)</t>
  </si>
  <si>
    <t>For Secondary IRD path+1 chasis for additional 2HD ch. Prov for Sec path removed as per Ajai</t>
  </si>
  <si>
    <t>Cobalt (Dolby Card)</t>
  </si>
  <si>
    <t>For Secondary IRD path+ 4 cards for additional 2 HD ch. Sec path prov removed as per Ajai</t>
  </si>
  <si>
    <t>Stream Analyser</t>
  </si>
  <si>
    <t>Dektek(USB Portable)</t>
  </si>
  <si>
    <t>Operational requirement</t>
  </si>
  <si>
    <t>MA5400 IP Gateway</t>
  </si>
  <si>
    <t>Tandberg</t>
  </si>
  <si>
    <t>Rate per Unit</t>
  </si>
  <si>
    <t>It Includes 4 input/output card</t>
  </si>
  <si>
    <t>NDS Test System</t>
  </si>
  <si>
    <t>Test bed requirement</t>
  </si>
  <si>
    <t>7.5% Hike in first 6mnths and another 7.5% hike for next 6months in HSD cost as per business</t>
  </si>
  <si>
    <t>Diesel cost</t>
  </si>
  <si>
    <t>MPEG-4 with HD</t>
  </si>
  <si>
    <t>For additional 2 HD ch</t>
  </si>
  <si>
    <t>Ensemble</t>
  </si>
  <si>
    <t>HD switching cards</t>
  </si>
  <si>
    <t>Encoder VPC Chasis with 2 En cards each</t>
  </si>
  <si>
    <t>En8190</t>
  </si>
  <si>
    <t>Total Power &amp; Fuel Cost</t>
  </si>
  <si>
    <t>cost allocated to CLM</t>
  </si>
  <si>
    <t>Total for Headend &amp; CAS</t>
  </si>
  <si>
    <t>cost to be beared by DTH</t>
  </si>
  <si>
    <t>Total Power &amp; Fuel Cost borne by us</t>
  </si>
  <si>
    <t>AMC Equipment &amp; Repair &amp; Maintenance (Manesar)</t>
  </si>
  <si>
    <t>Name of vendor :</t>
  </si>
  <si>
    <t>Test System</t>
  </si>
  <si>
    <t>Expansion</t>
  </si>
  <si>
    <t>Seachange &amp; Grab Network</t>
  </si>
  <si>
    <t>New HD ch, DD for new ch + redundancy, Router cards, Embeder-deembeder, ch migration, 12th TS ch</t>
  </si>
  <si>
    <t xml:space="preserve">AOP Budget for Utility </t>
  </si>
  <si>
    <t>STS-Numeric</t>
  </si>
  <si>
    <t>3KVA</t>
  </si>
  <si>
    <t xml:space="preserve">KHPA </t>
  </si>
  <si>
    <t>Includes 5 spares + 10 Racks</t>
  </si>
  <si>
    <t>Door Access control (CAS Ops)</t>
  </si>
  <si>
    <t>Honeywell</t>
  </si>
  <si>
    <t>Operational Requirement</t>
  </si>
  <si>
    <t xml:space="preserve">Antenna </t>
  </si>
  <si>
    <t>VTR</t>
  </si>
  <si>
    <t>Total for Utility</t>
  </si>
  <si>
    <t>Pixel matrix</t>
  </si>
  <si>
    <t xml:space="preserve">AOP Budget for RF Manesar </t>
  </si>
  <si>
    <t>RPS (Redundant power supply)</t>
  </si>
  <si>
    <t>NDS Onsite support</t>
  </si>
  <si>
    <t>PACs</t>
  </si>
  <si>
    <t>Required as Spares</t>
  </si>
  <si>
    <t>LNA assembally</t>
  </si>
  <si>
    <t>Chiller</t>
  </si>
  <si>
    <t>Miteq</t>
  </si>
  <si>
    <t xml:space="preserve">      </t>
  </si>
  <si>
    <t>BDC</t>
  </si>
  <si>
    <t>HVAC auxilliaries</t>
  </si>
  <si>
    <t>BDC switch controller</t>
  </si>
  <si>
    <t>UPS systems</t>
  </si>
  <si>
    <t>Upconvertor switch controller</t>
  </si>
  <si>
    <t>CCTV system,water leakage detection system,rodent repellant system,Access control system,fire alarm system &amp; BMS system</t>
  </si>
  <si>
    <t>Backup KHPA with DFTS</t>
  </si>
  <si>
    <t>CPI</t>
  </si>
  <si>
    <t>KHPA Blower</t>
  </si>
  <si>
    <t>Gas Based fire suppression system (FM 200)</t>
  </si>
  <si>
    <t>Rain Sensor &amp; Blower</t>
  </si>
  <si>
    <t>Viasat</t>
  </si>
  <si>
    <t>Quad Amplifier L- Band</t>
  </si>
  <si>
    <t>Cisco</t>
  </si>
  <si>
    <t>Quad 4 way divider</t>
  </si>
  <si>
    <t>16X1 SWITCH MATRIX</t>
  </si>
  <si>
    <t>8X1 SYSTEM CONTROLLER</t>
  </si>
  <si>
    <t>Server</t>
  </si>
  <si>
    <t>13.75-14.5 Ghz GEN-4 Klystron High Power Amplifier,2.4 KW  GEN-4 Tube</t>
  </si>
  <si>
    <t>CPI  K4U74C</t>
  </si>
  <si>
    <t>Playbox</t>
  </si>
  <si>
    <t>For 12th TP. Removed as per Ajai</t>
  </si>
  <si>
    <t>Agilent Calibration &amp; Repair Warranty</t>
  </si>
  <si>
    <t xml:space="preserve">Variable Group Delay and Amplitude Equalizer </t>
  </si>
  <si>
    <t>Miteq  VEQ-1-140</t>
  </si>
  <si>
    <t>Consumable</t>
  </si>
  <si>
    <t>400W TWTA</t>
  </si>
  <si>
    <t>For Satellite DR</t>
  </si>
  <si>
    <t xml:space="preserve">140Mhz IF,13.75-14.5 Ghz upconverters,With 1 KHz Step stability </t>
  </si>
  <si>
    <t>Miteq   U9956</t>
  </si>
  <si>
    <t>Total for RF Manesar</t>
  </si>
  <si>
    <t>NOC equipment</t>
  </si>
  <si>
    <t>Total AMC Charges</t>
  </si>
  <si>
    <t>AOP Budget for RF Bangalore</t>
  </si>
  <si>
    <t>Miscellaneous (Repair &amp; Maintenance)</t>
  </si>
  <si>
    <t>Total AMC Equipment &amp; Repair &amp; Maintenance</t>
  </si>
  <si>
    <t>Office &amp; Miscellaneous (Manesar)</t>
  </si>
  <si>
    <t>Modulator DVBS2  Qpsk/8Psk  including license</t>
  </si>
  <si>
    <t>Ericsson   SM6620/BAS</t>
  </si>
  <si>
    <t xml:space="preserve">House keeping </t>
  </si>
  <si>
    <t>STM-1 (155mb)Single mode</t>
  </si>
  <si>
    <t>TNG (Bharti)</t>
  </si>
  <si>
    <t>Approved under NFA CAF/2010-11/SNG/0004</t>
  </si>
  <si>
    <t>Loading of 82% on DTH after discussion with Bajinder</t>
  </si>
  <si>
    <t>Upgradation of Diversity Site for SES7 11 TP's</t>
  </si>
  <si>
    <t>GSI</t>
  </si>
  <si>
    <t xml:space="preserve">Security </t>
  </si>
  <si>
    <t>Food/Meal ( Nirvaan Foods )</t>
  </si>
  <si>
    <t>Blue colored items to be shifted under HR budget</t>
  </si>
  <si>
    <t>Distilled water ( Raj Enterprises + Shree Sai Enter. )</t>
  </si>
  <si>
    <t>Approved under NFA CAF/2010-11/SNG/0004. PO already placed to GSI, PO no.2884</t>
  </si>
  <si>
    <t>Beverages ( Tea &amp; Coffee) (Taste Bud Beverages)</t>
  </si>
  <si>
    <t>Total for RF Bangalore</t>
  </si>
  <si>
    <t>Bus services</t>
  </si>
  <si>
    <t xml:space="preserve">AOP Budget for Broadcast </t>
  </si>
  <si>
    <t>AMINET130</t>
  </si>
  <si>
    <t>Taxi ( Shree Hari Tours )</t>
  </si>
  <si>
    <t xml:space="preserve">Amino set top box </t>
  </si>
  <si>
    <t>Misc Imprest</t>
  </si>
  <si>
    <t>for Seachange output monitoring.</t>
  </si>
  <si>
    <t xml:space="preserve">Mali </t>
  </si>
  <si>
    <t>Evertz MViP</t>
  </si>
  <si>
    <t xml:space="preserve">IP multi-viewer </t>
  </si>
  <si>
    <t>Removed as per discussion with Bajinder</t>
  </si>
  <si>
    <t>Cabs  ( Shree Hari Tours )</t>
  </si>
  <si>
    <t>Icon Logo</t>
  </si>
  <si>
    <t>Ticker Card Chassis with 7 cards &amp; licences</t>
  </si>
  <si>
    <t>Spare ticker card (MGI-3901)  for ticker insertion.</t>
  </si>
  <si>
    <t>Norton Antivirus</t>
  </si>
  <si>
    <t>Antivirus Software</t>
  </si>
  <si>
    <t xml:space="preserve">Out sourced Manpower Services (Computer India) </t>
  </si>
  <si>
    <t>Complete broadcast Services</t>
  </si>
  <si>
    <t>Aten (Model Number K004-01)</t>
  </si>
  <si>
    <t>Courrier</t>
  </si>
  <si>
    <t>KVM Switch monitor</t>
  </si>
  <si>
    <t xml:space="preserve">Lease + Landline </t>
  </si>
  <si>
    <t>1)Pixel Metrix 
2) Quick-view application</t>
  </si>
  <si>
    <t>Aten (Model Number CE800 R &amp; L)</t>
  </si>
  <si>
    <t>KVM Extender</t>
  </si>
  <si>
    <t xml:space="preserve">1)WOI help channel
2) Replace faulty </t>
  </si>
  <si>
    <t>FR-6800+QXF (with dual power supply)</t>
  </si>
  <si>
    <t>Video Frame</t>
  </si>
  <si>
    <t>PPV Services</t>
  </si>
  <si>
    <t>Harris (SFS Card- SFS6803+D)</t>
  </si>
  <si>
    <t>MUX &amp; Demux Card</t>
  </si>
  <si>
    <t>3k amount reduced after discussion with Bajinder</t>
  </si>
  <si>
    <t>Stationery &amp; Cartridges</t>
  </si>
  <si>
    <t>Spares for Complete broadcast Services</t>
  </si>
  <si>
    <t>Harris Demux Card (DMX6800+A4C2Z)</t>
  </si>
  <si>
    <t xml:space="preserve">Demux Card </t>
  </si>
  <si>
    <t>5K reduced/month after discussion witgh Bajinder</t>
  </si>
  <si>
    <t>Travelling</t>
  </si>
  <si>
    <t>Training/ Journals</t>
  </si>
  <si>
    <t>Spare for i-Darshan &amp; i-goodlife Services.</t>
  </si>
  <si>
    <t>Harris (VEA 6800+ Card)</t>
  </si>
  <si>
    <t>Distribution Card</t>
  </si>
  <si>
    <t>Spare i-News</t>
  </si>
  <si>
    <t xml:space="preserve">Harris (MSA6800+C4D) </t>
  </si>
  <si>
    <t xml:space="preserve">MUX Card </t>
  </si>
  <si>
    <t>Total Office &amp; Miscellaneous</t>
  </si>
  <si>
    <t>Demux card (DMX6800+C2D )</t>
  </si>
  <si>
    <t>Demux Card</t>
  </si>
  <si>
    <t>Spares for iNews &amp; iSports</t>
  </si>
  <si>
    <t>Dell (2009Wt)</t>
  </si>
  <si>
    <t>VGA Monitor</t>
  </si>
  <si>
    <t>Pixel Metrix Dvstation</t>
  </si>
  <si>
    <t>Dvstation with 12 Cards</t>
  </si>
  <si>
    <t>For recorded stream analysis</t>
  </si>
  <si>
    <t>Dvstor with DAS (including SCSI Card &amp; Accessories)</t>
  </si>
  <si>
    <t>for 12th TS expansion</t>
  </si>
  <si>
    <t>TandbergIRD (RX1290) with CAM card</t>
  </si>
  <si>
    <t>Lease Rent (DR Site)</t>
  </si>
  <si>
    <t>Ateme Encoder</t>
  </si>
  <si>
    <t>For file based encoding</t>
  </si>
  <si>
    <t>Area</t>
  </si>
  <si>
    <t>Sq. Ft.</t>
  </si>
  <si>
    <t>For trick mode support</t>
  </si>
  <si>
    <t>For live feed encoding</t>
  </si>
  <si>
    <t>Sony</t>
  </si>
  <si>
    <t>Digibeta Tapes</t>
  </si>
  <si>
    <t>Content delivery</t>
  </si>
  <si>
    <t>Harris Server including storage, accesaries &amp; software bundle.</t>
  </si>
  <si>
    <t>4 channel playout Architecture &amp; redundancy upgrade in exsisting setup.</t>
  </si>
  <si>
    <t>Total Rent</t>
  </si>
  <si>
    <t>Redundancy in the existing system. Value reduced to half as per Ajai</t>
  </si>
  <si>
    <t xml:space="preserve"> Harris Automation</t>
  </si>
  <si>
    <t>For controlling existing and new playout setup</t>
  </si>
  <si>
    <t>Facility  Charges (DR Site) 
 Security,Water,Safety Office &amp; Miscellaneous expenses</t>
  </si>
  <si>
    <t>For controlling existing and new playout setup. Value reduced to half as per Ajai</t>
  </si>
  <si>
    <t>HD  Playout Setup</t>
  </si>
  <si>
    <t xml:space="preserve">1-to-4 CH, HD Playout setup with server redundancy, Automation, playlist &amp; ingest clients, router, T&amp;M and Branding etc. </t>
  </si>
  <si>
    <t>For HD PPV Channels. Value reduced to half as per Ajai</t>
  </si>
  <si>
    <t>Total for Broadcast</t>
  </si>
  <si>
    <t>Power &amp; Fuel (DR Site)</t>
  </si>
  <si>
    <t>KWH</t>
  </si>
  <si>
    <t>Rs.Mn</t>
  </si>
  <si>
    <t>Units of DG set consumed</t>
  </si>
  <si>
    <t>AMC Equipment &amp; Repair &amp; Maintenance (DR Site)</t>
  </si>
  <si>
    <t xml:space="preserve"> </t>
  </si>
  <si>
    <t>CAPEX -MONITORING REQUIREMENT FOR FY 2010-2011</t>
  </si>
  <si>
    <t>SNo</t>
  </si>
  <si>
    <t>Utility AMC-Honeywell</t>
  </si>
  <si>
    <t>Consumable 
(Cables &amp; Connectors, KPA Blower &amp;Filters  etc.,)
</t>
  </si>
  <si>
    <t>Fire AMC</t>
  </si>
  <si>
    <t>Facility AC &amp; Inline/Exhaust FAN</t>
  </si>
  <si>
    <t>8 app</t>
  </si>
  <si>
    <t>PAC</t>
  </si>
  <si>
    <t>EPG development</t>
  </si>
  <si>
    <t>Repairs</t>
  </si>
  <si>
    <t>Budget Aprrovals for DTH Product and Application Projects :</t>
  </si>
  <si>
    <t>Sn</t>
  </si>
  <si>
    <t>Office Expenses</t>
  </si>
  <si>
    <t>Misclenaeous (DR Site)</t>
  </si>
  <si>
    <t xml:space="preserve"> Title</t>
  </si>
  <si>
    <t>Rate(USD)</t>
  </si>
  <si>
    <t>Total(USD)</t>
  </si>
  <si>
    <t xml:space="preserve">EPG New development </t>
  </si>
  <si>
    <t>EPG 4.0 and EPG 4.5</t>
  </si>
  <si>
    <t xml:space="preserve">Games </t>
  </si>
  <si>
    <t>Nill</t>
  </si>
  <si>
    <t>Application</t>
  </si>
  <si>
    <t>Data Application ( Broadcasting )</t>
  </si>
  <si>
    <t>Tentative, final list awaited from Mkt</t>
  </si>
  <si>
    <t>Data Application ( Return Path)</t>
  </si>
  <si>
    <t>Video for Applications</t>
  </si>
  <si>
    <t>iLearn has 1 A/V as PPV service and 10 Audio services.</t>
  </si>
  <si>
    <t>Vendor</t>
  </si>
  <si>
    <t>Model</t>
  </si>
  <si>
    <t>CAP/OP</t>
  </si>
  <si>
    <t>Unit Price</t>
  </si>
  <si>
    <t>Total Price</t>
  </si>
  <si>
    <t xml:space="preserve">1. Confidence Monitoring </t>
  </si>
  <si>
    <t>a</t>
  </si>
  <si>
    <t>STB's</t>
  </si>
  <si>
    <t>Bharti</t>
  </si>
  <si>
    <t>CAPEX</t>
  </si>
  <si>
    <t>High</t>
  </si>
  <si>
    <t>25 for A/V service and 16 for radio Service, 4 will be as a backup</t>
  </si>
  <si>
    <t>b</t>
  </si>
  <si>
    <t>CABLING from MVP TO STB RACKS</t>
  </si>
  <si>
    <t>KV Mohan</t>
  </si>
  <si>
    <t>NA</t>
  </si>
  <si>
    <t>For Monitoring</t>
  </si>
  <si>
    <t>c</t>
  </si>
  <si>
    <t>CHAIN VIEW IRDs (IP IN)</t>
  </si>
  <si>
    <t>Ericsson</t>
  </si>
  <si>
    <t>RX-1290 (SD License)</t>
  </si>
  <si>
    <t>1 for Each SES TS</t>
  </si>
  <si>
    <t>d</t>
  </si>
  <si>
    <t>CHAIN VIEW IRDs (RF IN)</t>
  </si>
  <si>
    <t>e</t>
  </si>
  <si>
    <t>RX-1290 (HD License)</t>
  </si>
  <si>
    <t>f</t>
  </si>
  <si>
    <t>l</t>
  </si>
  <si>
    <t>VL Pro License Update</t>
  </si>
  <si>
    <t>EVERTZ</t>
  </si>
  <si>
    <t>VL Pro Server</t>
  </si>
  <si>
    <t>OPEX</t>
  </si>
  <si>
    <t xml:space="preserve">Required to control, monitor &amp; addition of new hardware </t>
  </si>
  <si>
    <t>g</t>
  </si>
  <si>
    <t>Fiber Cables (Serial to DVI)</t>
  </si>
  <si>
    <t>Optical</t>
  </si>
  <si>
    <t>1 cable for Each Data Input which includes 5 new clients. 3 Automation Server output. 2 spares</t>
  </si>
  <si>
    <t>2. User Station Monitoring</t>
  </si>
  <si>
    <t>Video Convertors</t>
  </si>
  <si>
    <t>Spacelink</t>
  </si>
  <si>
    <t xml:space="preserve"> HDMI to HD-SDI</t>
  </si>
  <si>
    <t>Each Convertor for per QC station and 1 for User station</t>
  </si>
  <si>
    <t xml:space="preserve">HDMI to DVI </t>
  </si>
  <si>
    <t>Med</t>
  </si>
  <si>
    <t>Removed asper Ajai</t>
  </si>
  <si>
    <t>22" LCD TV (HDMI)</t>
  </si>
  <si>
    <t>LG</t>
  </si>
  <si>
    <t>22LD346</t>
  </si>
  <si>
    <t xml:space="preserve">LCDs for real time user experience and troubleshooting in customer specific issues. Resolution &amp; aspect ratio testing. 1 LCD will be for Field team and 1 LCD will be for Quality team </t>
  </si>
  <si>
    <t>Panasonic</t>
  </si>
  <si>
    <t>VIERA TH-L24C20D</t>
  </si>
  <si>
    <t>32" LED TV</t>
  </si>
  <si>
    <t>NX800</t>
  </si>
  <si>
    <t xml:space="preserve">It will be used to check the A/V Quality and testing of Resolution, aspect ratio  to understand the user experience </t>
  </si>
  <si>
    <t>Tower Type Server</t>
  </si>
  <si>
    <t>Dell</t>
  </si>
  <si>
    <t>12GB RAM, i7 Processor, 3TB HDD</t>
  </si>
  <si>
    <t>low</t>
  </si>
  <si>
    <t>Need high end machine to pull the data for analysis &amp; ECRM related activities</t>
  </si>
  <si>
    <t>Customized Rack for Video Monitoring</t>
  </si>
  <si>
    <t>Local</t>
  </si>
  <si>
    <t>Customized</t>
  </si>
  <si>
    <t>Required to place the LCD monitors of different size and make with different STB Types.</t>
  </si>
  <si>
    <t>3. Quality Monitoring</t>
  </si>
  <si>
    <t>Testing multi bay rack</t>
  </si>
  <si>
    <t>Middle Atlantic</t>
  </si>
  <si>
    <t>VRK Series</t>
  </si>
  <si>
    <t>Required to place the STBs &amp; Equipments at one place for ease in testing</t>
  </si>
  <si>
    <t>Satellite Meter</t>
  </si>
  <si>
    <t>Roversat</t>
  </si>
  <si>
    <t>Examiner HD</t>
  </si>
  <si>
    <t>Required to test &amp; analysis the competitor RF signal &amp; for tuning the antennas</t>
  </si>
  <si>
    <t>Dolby Audio Analyzer</t>
  </si>
  <si>
    <t>Wohler</t>
  </si>
  <si>
    <t>AMP2-16V</t>
  </si>
  <si>
    <t>1 For each QC station to analysis of loudness, pitch &amp; noise in AAC, AC-3 &amp; HE-AAC (5.1 or 7.1)</t>
  </si>
  <si>
    <t>MPEG TS/RF/IP Analyzer</t>
  </si>
  <si>
    <t>Dv Station</t>
  </si>
  <si>
    <t>Required for real-time compression system &amp; RF signal monitoring. 1 For H Polarity and 1 for V Polarity</t>
  </si>
  <si>
    <t>h</t>
  </si>
  <si>
    <t>Mosaic Generators 16:1</t>
  </si>
  <si>
    <t>MVP</t>
  </si>
  <si>
    <t>Required to monitor all available output of STBs  simultaneously to check &amp; test the video &amp; OTA performance</t>
  </si>
  <si>
    <t>i</t>
  </si>
  <si>
    <t>Application &amp; STB Tester</t>
  </si>
  <si>
    <t>Pixelmatrix</t>
  </si>
  <si>
    <t>ECP</t>
  </si>
  <si>
    <t>Required to monitor the ZAP time, Boot Time, Loudness level across services, application health, encryption missing &amp; hardware stress test remotely</t>
  </si>
  <si>
    <t>j</t>
  </si>
  <si>
    <t>STB Testing Report Generator</t>
  </si>
  <si>
    <t>Consolidator</t>
  </si>
  <si>
    <t xml:space="preserve">Required to control n number of ECPs placed in remote locations for STB testing, to make/edit testing script &amp; to generate reports for STB performance </t>
  </si>
  <si>
    <t>k</t>
  </si>
  <si>
    <t>Quality Check Station</t>
  </si>
  <si>
    <t>Expansion to existing</t>
  </si>
  <si>
    <t>Required to add more QC Station to check the quality of additional new services.</t>
  </si>
  <si>
    <t>m</t>
  </si>
  <si>
    <t>SDI ROUTER with RCP</t>
  </si>
  <si>
    <t>EVERTZ/Harris</t>
  </si>
  <si>
    <t>32X32</t>
  </si>
  <si>
    <t>Required as per expansion of compression PODs ,quality stations and to route the signal for PQA, SDI analyzer &amp; MVPs etc..</t>
  </si>
  <si>
    <t>Application/Games Modification</t>
  </si>
  <si>
    <t>Current deployed application modification</t>
  </si>
  <si>
    <t>PC Client</t>
  </si>
  <si>
    <t>NDS cost to be discussed for Rev share model</t>
  </si>
  <si>
    <t>PDL Epxansion</t>
  </si>
  <si>
    <t>STB Remote Diagnostic</t>
  </si>
  <si>
    <t>Unified CMT Setup</t>
  </si>
  <si>
    <t>Licence Cost ( AMS )</t>
  </si>
  <si>
    <t xml:space="preserve">POC </t>
  </si>
  <si>
    <t>Third Party integration for App Store, Home Networking devices, Headend unified Content aggregation</t>
  </si>
  <si>
    <t>Test Lab Expansion</t>
  </si>
  <si>
    <t>Automation, Equipment for testing and tools</t>
  </si>
  <si>
    <t>Bandwidth Details of additional services due to development</t>
  </si>
  <si>
    <t>Service Type</t>
  </si>
  <si>
    <t>Number of Service</t>
  </si>
  <si>
    <t>BW Rate</t>
  </si>
  <si>
    <t>DU</t>
  </si>
  <si>
    <t xml:space="preserve"> Application</t>
  </si>
  <si>
    <t>Considering RP Application doesn't consume Satelite BW</t>
  </si>
  <si>
    <t>OTA</t>
  </si>
  <si>
    <t>EPG Language</t>
  </si>
  <si>
    <t>DVB S2 L-Band Modulator Card</t>
  </si>
  <si>
    <t>Dektec</t>
  </si>
  <si>
    <t>DTA-107-S2-SP</t>
  </si>
  <si>
    <t>Required to reproduce the issues for testing &amp; resolution</t>
  </si>
  <si>
    <t>o</t>
  </si>
  <si>
    <t>ASI TS Recorder</t>
  </si>
  <si>
    <t>DTU245</t>
  </si>
  <si>
    <t>Required to capture &amp; analyze the transport stream instantly</t>
  </si>
  <si>
    <t>p</t>
  </si>
  <si>
    <t>A to D Card</t>
  </si>
  <si>
    <t>7736 CD2A4</t>
  </si>
  <si>
    <t>Required to digitize the signal of all competitor STBs for picture quality analysis &amp; routing purpose</t>
  </si>
  <si>
    <t>q</t>
  </si>
  <si>
    <t>Chassis</t>
  </si>
  <si>
    <t>7700 FR</t>
  </si>
  <si>
    <t>Required to power up &amp; control A2D cards from Vistalink</t>
  </si>
  <si>
    <t>r</t>
  </si>
  <si>
    <t>BNC Patch Panels</t>
  </si>
  <si>
    <t>ADC</t>
  </si>
  <si>
    <t>16x16</t>
  </si>
  <si>
    <t>Required to patch the AV signal for testing requirement</t>
  </si>
  <si>
    <t>4. Competitor Monitoring &amp; Analysis</t>
  </si>
  <si>
    <t>Dolby Audio Monitor</t>
  </si>
  <si>
    <t>Yamaha</t>
  </si>
  <si>
    <t>YHT-791</t>
  </si>
  <si>
    <t>To compare the user experience of Dolby services with competitors .</t>
  </si>
  <si>
    <t>Network Quality</t>
  </si>
  <si>
    <t>INR</t>
  </si>
  <si>
    <t>OPEX -MONITORING REQUIREMENT FOR FY 2010-2011</t>
  </si>
  <si>
    <t xml:space="preserve">5. Barco </t>
  </si>
  <si>
    <t>AMC of BARCO</t>
  </si>
  <si>
    <t>BARCO</t>
  </si>
  <si>
    <t>AMC Contact for 30 barco Screens</t>
  </si>
  <si>
    <t>BARCO Lamps</t>
  </si>
  <si>
    <t>120 Watt</t>
  </si>
  <si>
    <t>Each Barco use 2 lamps. So for 30 Barco needed 60</t>
  </si>
  <si>
    <t>BARCO Filter</t>
  </si>
  <si>
    <t>We need two Filters per Barco which needs to be replaced after 6 month so considering 30 barco we need 120 filters .</t>
  </si>
  <si>
    <t>6. Consumables Items</t>
  </si>
  <si>
    <t>Connectors</t>
  </si>
  <si>
    <t>Canaray</t>
  </si>
  <si>
    <t>BNC</t>
  </si>
  <si>
    <t xml:space="preserve">Consumable items, required for integration purpose.
(connectivity from antenna to STBs, Transfer SDI signal from the A2D cards to the router and MVP, Video analyzers to Switch and finally to workstations) </t>
  </si>
  <si>
    <t>RCA</t>
  </si>
  <si>
    <t>F Type</t>
  </si>
  <si>
    <t>F Type i</t>
  </si>
  <si>
    <t>BNC i</t>
  </si>
  <si>
    <t>RCA to BNC</t>
  </si>
  <si>
    <t>RJ 45</t>
  </si>
  <si>
    <t>Cables</t>
  </si>
  <si>
    <t>Belden</t>
  </si>
  <si>
    <t>RG 6</t>
  </si>
  <si>
    <t>RG 11</t>
  </si>
  <si>
    <t>CAT 5</t>
  </si>
  <si>
    <t>HDMI</t>
  </si>
  <si>
    <t>Shifted to Opex</t>
  </si>
  <si>
    <t>Competitor CPEs</t>
  </si>
  <si>
    <t>All Competitors</t>
  </si>
  <si>
    <t>To monitor the services of competitor</t>
  </si>
  <si>
    <t>n</t>
  </si>
  <si>
    <t>Service activation/renewal</t>
  </si>
  <si>
    <t>Activation &amp; recharge charges for competitor</t>
  </si>
  <si>
    <t>Tool Kit</t>
  </si>
  <si>
    <t>Craftsman</t>
  </si>
  <si>
    <t xml:space="preserve">For Backend Job of cables, connectors &amp; installations of equipments </t>
  </si>
  <si>
    <t>Portable HDD</t>
  </si>
  <si>
    <t>Seagate</t>
  </si>
  <si>
    <t>1 TB</t>
  </si>
  <si>
    <t xml:space="preserve">For Transport Stream recordings and Delivery to the concerned department or authorities </t>
  </si>
  <si>
    <t>Utility Accessories (Power Strips etc)</t>
  </si>
  <si>
    <t>As required</t>
  </si>
  <si>
    <t>Required to provide power to additional equipments</t>
  </si>
  <si>
    <t>RF Multi Switch</t>
  </si>
  <si>
    <t>Fracarro</t>
  </si>
  <si>
    <t>SW14408</t>
  </si>
  <si>
    <t xml:space="preserve">required to supply RF signal of all polarities </t>
  </si>
  <si>
    <t>s</t>
  </si>
  <si>
    <t>L Band Amplifier</t>
  </si>
  <si>
    <t>AMP2150</t>
  </si>
  <si>
    <t xml:space="preserve">Required to amplify the RF signal for real time monitoring  </t>
  </si>
  <si>
    <t>Gross Capex + Opex</t>
  </si>
  <si>
    <t>DR site Exclusions</t>
  </si>
  <si>
    <t>Sl No.</t>
  </si>
  <si>
    <t>Exclusion Description</t>
  </si>
  <si>
    <t>Impact of Exclusion</t>
  </si>
  <si>
    <t>RO Antenna - No redundancy</t>
  </si>
  <si>
    <t>If any of the LNB goes bad OR there is an issue with the Antenna, few OR all services will get impacted</t>
  </si>
  <si>
    <t>IRDs - No Hot redundancy</t>
  </si>
  <si>
    <t>When the IRD goes bad, that service will get impacted</t>
  </si>
  <si>
    <t xml:space="preserve">No AGC  </t>
  </si>
  <si>
    <t>While zapping thru the channels, Audio level will vary</t>
  </si>
  <si>
    <t>CAS - manual data Updation</t>
  </si>
  <si>
    <t>No new activations/Deactivation at the time of Disaster</t>
  </si>
  <si>
    <t>Compliance recording of 90days content</t>
  </si>
  <si>
    <t>Provisioned for 30days compliance recording</t>
  </si>
  <si>
    <t>No PPV, Interactive services and Games</t>
  </si>
  <si>
    <t>At the time Disaster, PPV, Interactive Application &amp; Games will not be available</t>
  </si>
  <si>
    <t>AoP Budget for  DR Headend Equipment  (150 Channels)</t>
  </si>
  <si>
    <t>Sno</t>
  </si>
  <si>
    <t xml:space="preserve">QTY </t>
  </si>
  <si>
    <t>Unit Price USD</t>
  </si>
  <si>
    <t>Total USD</t>
  </si>
  <si>
    <t>I</t>
  </si>
  <si>
    <t>RF L Band &amp; ACQUISITION</t>
  </si>
  <si>
    <t>Simulsat Antenna</t>
  </si>
  <si>
    <t>Andrew/Prodelin</t>
  </si>
  <si>
    <t>AOP Vs Actual 2010-11</t>
  </si>
  <si>
    <t>Sr #</t>
  </si>
  <si>
    <t>Single Antenna to Receive signals from various Broadcaster</t>
  </si>
  <si>
    <t>1a</t>
  </si>
  <si>
    <t>Civil work( consultant for structural strength, antenna instl.)</t>
  </si>
  <si>
    <t>Facility Line Items</t>
  </si>
  <si>
    <t>Sub FL item</t>
  </si>
  <si>
    <t>April</t>
  </si>
  <si>
    <t xml:space="preserve"> May</t>
  </si>
  <si>
    <t>July</t>
  </si>
  <si>
    <t xml:space="preserve"> August</t>
  </si>
  <si>
    <t xml:space="preserve"> September</t>
  </si>
  <si>
    <t xml:space="preserve"> October</t>
  </si>
  <si>
    <t xml:space="preserve"> November</t>
  </si>
  <si>
    <t xml:space="preserve"> December</t>
  </si>
  <si>
    <t xml:space="preserve"> January</t>
  </si>
  <si>
    <t xml:space="preserve"> February</t>
  </si>
  <si>
    <t xml:space="preserve"> March</t>
  </si>
  <si>
    <t>Rentals</t>
  </si>
  <si>
    <t>For installation of Ant &amp;Misc</t>
  </si>
  <si>
    <t>C-LNB ( Dual Feed) 17 degree K (3.4 to 4.2)</t>
  </si>
  <si>
    <t>Norsat</t>
  </si>
  <si>
    <t>for L Band Distribution</t>
  </si>
  <si>
    <t>LNB redundant power supply (for 16 LNB's)</t>
  </si>
  <si>
    <t>BRL FM 1/3 Salary</t>
  </si>
  <si>
    <t>Tech team C&amp;W</t>
  </si>
  <si>
    <t>HKS</t>
  </si>
  <si>
    <t>L band line amplifiers -non redundant. 4 amplifiers per chassis -</t>
  </si>
  <si>
    <t>Horticulture</t>
  </si>
  <si>
    <t>L band divider panels (24 Port)</t>
  </si>
  <si>
    <t>L band patch &amp; cables (24 Port)</t>
  </si>
  <si>
    <t>Cleaning Material</t>
  </si>
  <si>
    <t>Cleaning Machinery</t>
  </si>
  <si>
    <t>4 Port Quad L Band Passive Splitter</t>
  </si>
  <si>
    <t>Pest Control</t>
  </si>
  <si>
    <t>Coaxial Cable RG 11 (KM)</t>
  </si>
  <si>
    <t>Comscope/Beldan</t>
  </si>
  <si>
    <t>Security</t>
  </si>
  <si>
    <t>Manpower</t>
  </si>
  <si>
    <t>Under Carriage Mirror</t>
  </si>
  <si>
    <t>HH MD</t>
  </si>
  <si>
    <t>Wireless</t>
  </si>
  <si>
    <t>Misc Exp</t>
  </si>
  <si>
    <t>Stationery</t>
  </si>
  <si>
    <t>Coaxial Cable RG 6 (KM)</t>
  </si>
  <si>
    <t>Shift Mobile</t>
  </si>
  <si>
    <t>Façade Cleaning</t>
  </si>
  <si>
    <t>L Band Distribution Rack with Installation Material</t>
  </si>
  <si>
    <t>Misc</t>
  </si>
  <si>
    <t>C&amp;W Mgmt Fess</t>
  </si>
  <si>
    <t>Sub Total</t>
  </si>
  <si>
    <t>F Type Connectors for RG 11 (Compressed)</t>
  </si>
  <si>
    <t>F Type Connectors for RG 6 (Compressed)</t>
  </si>
  <si>
    <t>Function - Technical</t>
  </si>
  <si>
    <t>Units</t>
  </si>
  <si>
    <t>12 Port Active L-Band Splitter</t>
  </si>
  <si>
    <t xml:space="preserve">Quintech </t>
  </si>
  <si>
    <t>Foreign Travel</t>
  </si>
  <si>
    <t>No of trips</t>
  </si>
  <si>
    <t>No</t>
  </si>
  <si>
    <t>Single Channel SD 4:2:0 Receiver MPEG 4</t>
  </si>
  <si>
    <t>Tandberg 8330</t>
  </si>
  <si>
    <t>No of Days</t>
  </si>
  <si>
    <t>Air Fare per trip</t>
  </si>
  <si>
    <t>Hotel &amp; Other cost per day</t>
  </si>
  <si>
    <t>Total Foreign travel cost</t>
  </si>
  <si>
    <t>To receive &amp; decode channels</t>
  </si>
  <si>
    <t>Single Channel SD 4:2:0 Receiver</t>
  </si>
  <si>
    <t>Tandberg TT1220</t>
  </si>
  <si>
    <t>For Star Package</t>
  </si>
  <si>
    <t xml:space="preserve">Single Channel 4:2:0 Receiver for MPEG-4 Reception </t>
  </si>
  <si>
    <t>PowervU IRD's</t>
  </si>
  <si>
    <t xml:space="preserve">Scientfic Atlanta D 9850 </t>
  </si>
  <si>
    <t>Markup Sr. No 2 to 8</t>
  </si>
  <si>
    <t>initial requirement sent</t>
  </si>
  <si>
    <t>Common Area E/Markup</t>
  </si>
  <si>
    <t>Domestic Travel</t>
  </si>
  <si>
    <t>Cost Of HSD</t>
  </si>
  <si>
    <t>No of employees</t>
  </si>
  <si>
    <t>No.</t>
  </si>
  <si>
    <t>iTV support for PDL content</t>
  </si>
  <si>
    <t>Markup On HSD</t>
  </si>
  <si>
    <t>No of trips per employee (By air)</t>
  </si>
  <si>
    <t>For Sony Package</t>
  </si>
  <si>
    <t>Irdeto CAM</t>
  </si>
  <si>
    <t>SMIT</t>
  </si>
  <si>
    <t>AMCs</t>
  </si>
  <si>
    <t>DG sets</t>
  </si>
  <si>
    <t>For decryption of BC channels</t>
  </si>
  <si>
    <t>Conax CAM</t>
  </si>
  <si>
    <t>No of trips per employee (Other modes)</t>
  </si>
  <si>
    <t>No of days per trip (By air)</t>
  </si>
  <si>
    <t>ACB</t>
  </si>
  <si>
    <t>No of days per trip (By other modes)</t>
  </si>
  <si>
    <t>2000 hours VOD content</t>
  </si>
  <si>
    <t>Crypto Works CAM</t>
  </si>
  <si>
    <t>Air fare</t>
  </si>
  <si>
    <t>Other modes fare</t>
  </si>
  <si>
    <t>A/D Convertors</t>
  </si>
  <si>
    <t>Evertz 7736CD2-A4</t>
  </si>
  <si>
    <t>Hotel &amp; Food &amp; Conv. per day</t>
  </si>
  <si>
    <t>PLC</t>
  </si>
  <si>
    <t>Total Domestic Travel</t>
  </si>
  <si>
    <t>For converting Analog to Digital for 30 Channels</t>
  </si>
  <si>
    <t>AGC Equipment</t>
  </si>
  <si>
    <t>Chiller Pumps</t>
  </si>
  <si>
    <t>Evertz</t>
  </si>
  <si>
    <t>Elevator</t>
  </si>
  <si>
    <t>256X256 SDI Router/Switch</t>
  </si>
  <si>
    <t>Leitch Platinim MX PM FR 9</t>
  </si>
  <si>
    <t>Encoders and misc</t>
  </si>
  <si>
    <t xml:space="preserve">For routing of channels </t>
  </si>
  <si>
    <t>2X26 Patch Panels</t>
  </si>
  <si>
    <t>Canare</t>
  </si>
  <si>
    <t>To take care of Router failure</t>
  </si>
  <si>
    <t>2X 20 RCA Patch Panels</t>
  </si>
  <si>
    <t>3. NetFront Licence per STB</t>
  </si>
  <si>
    <t>BNC Connectors</t>
  </si>
  <si>
    <t>Total Travel</t>
  </si>
  <si>
    <t>1.iKids</t>
  </si>
  <si>
    <t>8-10 Audio streams, pictures, no video</t>
  </si>
  <si>
    <t xml:space="preserve">Cabling </t>
  </si>
  <si>
    <t>Std Fire &amp;Sp  Perils</t>
  </si>
  <si>
    <t>Video Cable (Ohm) (KM)</t>
  </si>
  <si>
    <t>Beldan Model 8451</t>
  </si>
  <si>
    <t>2. iLearn upgrade - Add classes 6-10, competitive learning</t>
  </si>
  <si>
    <t>Burgulary</t>
  </si>
  <si>
    <t>Machinery Breakdown</t>
  </si>
  <si>
    <t>Audio Cable (600 Ohm) (KM)</t>
  </si>
  <si>
    <t>Beldan Model 1694A</t>
  </si>
  <si>
    <t>One video + audio stream (like PPV). Interactive app with 10 audio streams for recap modules</t>
  </si>
  <si>
    <t>DG Sets</t>
  </si>
  <si>
    <t>3. Newspaper/Magazine/Comics/Gossip news on TV</t>
  </si>
  <si>
    <t>Audio Router/Switch</t>
  </si>
  <si>
    <t>Leitch P32X4A2I</t>
  </si>
  <si>
    <t>Transformers</t>
  </si>
  <si>
    <t>Pictures + Text. Different languages support</t>
  </si>
  <si>
    <t>HT Panel</t>
  </si>
  <si>
    <t>For routing of Audio channels</t>
  </si>
  <si>
    <t>4. Photo sharing via satellite</t>
  </si>
  <si>
    <t xml:space="preserve"> Ethernet Switches</t>
  </si>
  <si>
    <t>LT Panel</t>
  </si>
  <si>
    <t>Other Costs</t>
  </si>
  <si>
    <t>iTV Application (RP)</t>
  </si>
  <si>
    <t>1.App store launch</t>
  </si>
  <si>
    <t>App Store (Photo Sharing, Twitter, Facebook etc )</t>
  </si>
  <si>
    <t>Multiplayer Game app (1 app)</t>
  </si>
  <si>
    <t>Part of Indiagames deliverables, no cost</t>
  </si>
  <si>
    <t>2. 1 Indian context app (Matrimony / Horoscope / Jobs)</t>
  </si>
  <si>
    <t>Cisco 2960</t>
  </si>
  <si>
    <t>3. 1 Transactional app (Banking / Ticket booking / Shopping)</t>
  </si>
  <si>
    <t>4.Ilearn with return path (1 app)</t>
  </si>
  <si>
    <t>For control of devices</t>
  </si>
  <si>
    <t>Integrated Racks</t>
  </si>
  <si>
    <t>Rittal 42U</t>
  </si>
  <si>
    <t>Stat Compliance</t>
  </si>
  <si>
    <t>for equipment installation</t>
  </si>
  <si>
    <t>Power PDUs</t>
  </si>
  <si>
    <t>Imprest</t>
  </si>
  <si>
    <t>Power distribution to racks</t>
  </si>
  <si>
    <t>Patch Cords</t>
  </si>
  <si>
    <t>Cost of B Check( R &amp; M)</t>
  </si>
  <si>
    <t xml:space="preserve">To by pass router </t>
  </si>
  <si>
    <t>II</t>
  </si>
  <si>
    <t>COMPRESSION</t>
  </si>
  <si>
    <t>Civil Maint.+ Help Desk</t>
  </si>
  <si>
    <t>Tech. Audit</t>
  </si>
  <si>
    <t>SD Encoders - MPEG4 with VBR
with IPTV License</t>
  </si>
  <si>
    <t>Required to Encode 150 channels with only 10 as redundant</t>
  </si>
  <si>
    <t xml:space="preserve">Audio Encoder </t>
  </si>
  <si>
    <t>Tandberg 5720</t>
  </si>
  <si>
    <t>For Audio channels</t>
  </si>
  <si>
    <t>ASI Router (8X8)</t>
  </si>
  <si>
    <t>Leitch</t>
  </si>
  <si>
    <t>for Routing of MUX output</t>
  </si>
  <si>
    <t>IP Routing</t>
  </si>
  <si>
    <t xml:space="preserve">Cisco 3560 </t>
  </si>
  <si>
    <t>Routing, control &amp; aggregation</t>
  </si>
  <si>
    <t>Cisco 4948</t>
  </si>
  <si>
    <t>Statistical Multiplexer</t>
  </si>
  <si>
    <t>For 8 Transport streams</t>
  </si>
  <si>
    <t>Grid Power Cost</t>
  </si>
  <si>
    <t>DVB-S2 Modulator</t>
  </si>
  <si>
    <t>NMS</t>
  </si>
  <si>
    <t>Network Management System</t>
  </si>
  <si>
    <t xml:space="preserve"> Integration Racks</t>
  </si>
  <si>
    <t>Tandberg - Racks &amp; Wiring</t>
  </si>
  <si>
    <t>To install compression equipments</t>
  </si>
  <si>
    <t>L Band Converotrs</t>
  </si>
  <si>
    <t>Av.</t>
  </si>
  <si>
    <t>reqd  for local monitoring</t>
  </si>
  <si>
    <t>IF Switch for Modulator Redundancy</t>
  </si>
  <si>
    <t>DEV Modulator Router Switch</t>
  </si>
  <si>
    <t>Power availibility</t>
  </si>
  <si>
    <t>FLCs</t>
  </si>
  <si>
    <t>Total Grid Power Units.</t>
  </si>
  <si>
    <t>Sortlisted other than Tandberg</t>
  </si>
  <si>
    <t>8 Window Mosaic Genarotrs</t>
  </si>
  <si>
    <t>Neo Suite</t>
  </si>
  <si>
    <t>DA for ref Sync distribution fully loaded</t>
  </si>
  <si>
    <t>Leitch Video Distribution Amplifier</t>
  </si>
  <si>
    <t>Rate per liter</t>
  </si>
  <si>
    <t>ref clock signal for all equip</t>
  </si>
  <si>
    <t>Analog Video Equilizing Ditribution Amplifier</t>
  </si>
  <si>
    <t>Evertz Model 7700</t>
  </si>
  <si>
    <t>Total DG Power Units.</t>
  </si>
  <si>
    <t>Unit per liter</t>
  </si>
  <si>
    <t>Cost per unit</t>
  </si>
  <si>
    <t>sync reference</t>
  </si>
  <si>
    <t>III</t>
  </si>
  <si>
    <t>MONITORING</t>
  </si>
  <si>
    <t>Single Channel 4:2:0 Receiver for MPEG-4 Reception with IP Output</t>
  </si>
  <si>
    <t>RX 1290 IP Output</t>
  </si>
  <si>
    <t>Bharti STB</t>
  </si>
  <si>
    <t>Transport Stream Analyser</t>
  </si>
  <si>
    <t>Tektronix</t>
  </si>
  <si>
    <t>Reqd for local quality analysis</t>
  </si>
  <si>
    <t>DECTEC DTA 140</t>
  </si>
  <si>
    <t>Total Grid+DG Unit</t>
  </si>
  <si>
    <t>Waveform Monitor</t>
  </si>
  <si>
    <t>Videotek</t>
  </si>
  <si>
    <t>Patch Panels</t>
  </si>
  <si>
    <t>Handheld Video Monitor</t>
  </si>
  <si>
    <t>Reqd for local Operations &amp; Monitoring</t>
  </si>
  <si>
    <t xml:space="preserve"> Professional LCD SD video monitor 15 Inch</t>
  </si>
  <si>
    <t>XY Alphanumeric Remote Panel</t>
  </si>
  <si>
    <t>Digital/Analog self-powered speaker</t>
  </si>
  <si>
    <t>Whooler</t>
  </si>
  <si>
    <t>Signal Strength Meter with DVB S2</t>
  </si>
  <si>
    <t>Promax</t>
  </si>
  <si>
    <t>Actual Data for 2010-2011</t>
  </si>
  <si>
    <t>IV</t>
  </si>
  <si>
    <t xml:space="preserve">TIMING &amp; SYNC </t>
  </si>
  <si>
    <t>Reference Clock &amp; Sync for synchronizing all equipments</t>
  </si>
  <si>
    <t>GPS receiver, antenna and cable</t>
  </si>
  <si>
    <t>Analog digital clk-12" WALL MOUNT</t>
  </si>
  <si>
    <t>Master Reference Signal Generator Including 2 MTG-3901-FM modules</t>
  </si>
  <si>
    <t xml:space="preserve">   -universal power supply</t>
  </si>
  <si>
    <t xml:space="preserve">   -NEO Test Generator</t>
  </si>
  <si>
    <t>V</t>
  </si>
  <si>
    <t>CAS</t>
  </si>
  <si>
    <t>Reqd for continuing services to all existing customers</t>
  </si>
  <si>
    <t>Cost of BOM</t>
  </si>
  <si>
    <t>Replication Software with Backup servers</t>
  </si>
  <si>
    <t>Integration</t>
  </si>
  <si>
    <t>Bharti &amp; Compression Supplier</t>
  </si>
  <si>
    <t>VI</t>
  </si>
  <si>
    <t>30days Compliance recording</t>
  </si>
  <si>
    <t>Total Grid+DG Unit ( 2011-12 )</t>
  </si>
  <si>
    <t>Optional. Required for regulatory compliance, planned for 30 days</t>
  </si>
  <si>
    <t>System Installation and commissioning</t>
  </si>
  <si>
    <t>Expansion load</t>
  </si>
  <si>
    <t>Complete system installation &amp; commissioning</t>
  </si>
  <si>
    <t xml:space="preserve">Connectivity charges </t>
  </si>
  <si>
    <t>STM-1 link</t>
  </si>
  <si>
    <t>from Manesar to bangalore</t>
  </si>
  <si>
    <t>Extra BW requirement for remote monitoring</t>
  </si>
  <si>
    <t>E1 link</t>
  </si>
  <si>
    <t>Forecast for AoP 2011-2012</t>
  </si>
  <si>
    <t>Total Grid Power Units.fy 11-12</t>
  </si>
  <si>
    <t>VII</t>
  </si>
  <si>
    <t>Access Control System</t>
  </si>
  <si>
    <t>Costs as was shared by C N Ravindranath
S. No. 5 includes 22140 installation cost
S. No. 6 includes 17000 installation cost</t>
  </si>
  <si>
    <t>PA System</t>
  </si>
  <si>
    <t>Rodent System</t>
  </si>
  <si>
    <t>CCTV System</t>
  </si>
  <si>
    <t>HILTI Fire Extingusher</t>
  </si>
  <si>
    <t>Voice &amp; Data Cabling</t>
  </si>
  <si>
    <t>Total (USD)</t>
  </si>
  <si>
    <t>Total Load</t>
  </si>
  <si>
    <t>Total (INR)</t>
  </si>
  <si>
    <t>Salaries Break up</t>
  </si>
  <si>
    <t>Desig,</t>
  </si>
  <si>
    <t>No of Emps</t>
  </si>
  <si>
    <t>Rate PM</t>
  </si>
  <si>
    <t>Current</t>
  </si>
  <si>
    <t>Proposed</t>
  </si>
  <si>
    <t>Cushman &amp; wake field</t>
  </si>
  <si>
    <t>APM</t>
  </si>
  <si>
    <t>Shift I/C</t>
  </si>
  <si>
    <t>Compliance recording</t>
  </si>
  <si>
    <t>Regulatory requirement</t>
  </si>
  <si>
    <t>DG Operator</t>
  </si>
  <si>
    <t>MST</t>
  </si>
  <si>
    <t>AC operator</t>
  </si>
  <si>
    <t>For uninterrupted service to existing customers</t>
  </si>
  <si>
    <t>Monitoring</t>
  </si>
  <si>
    <t>Plumber</t>
  </si>
  <si>
    <t>Helper</t>
  </si>
  <si>
    <t>Compression + Timing &amp; Sync</t>
  </si>
  <si>
    <t>For 150 channels</t>
  </si>
  <si>
    <t>RF and Acqisition</t>
  </si>
  <si>
    <t>Supervisor</t>
  </si>
  <si>
    <t>System installation &amp; Commissioning</t>
  </si>
  <si>
    <t>Connectivity</t>
  </si>
  <si>
    <t xml:space="preserve">One STM-1 from manesar to Bangalore </t>
  </si>
  <si>
    <t>Utility &amp; BMS</t>
  </si>
  <si>
    <t>Guards</t>
  </si>
  <si>
    <t>For HE, CAS &amp; Ops area</t>
  </si>
  <si>
    <t>Gunman</t>
  </si>
  <si>
    <t xml:space="preserve">Note: DR HE equipments considered above is for 150 channel provisioning and based on the technical evaluation done between three solution provider in the first half of last year. </t>
  </si>
  <si>
    <t>House keeping</t>
  </si>
  <si>
    <t>Houseman</t>
  </si>
  <si>
    <t>Mali</t>
  </si>
  <si>
    <t>Machinery Rentals</t>
  </si>
  <si>
    <t>Cleaning Materials</t>
  </si>
  <si>
    <t>Wireless systems</t>
  </si>
  <si>
    <t>Misc Expenses</t>
  </si>
  <si>
    <t>C&amp;W Management Fees</t>
  </si>
  <si>
    <t>Proposed Expenses</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</si>
</sst>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d-MMM"/>
    <numFmt numFmtId="165" formatCode="MMM-yy"/>
    <numFmt numFmtId="166" formatCode="m/d/yyyy h:mm:ss"/>
    <numFmt numFmtId="167" formatCode=" #,##0.00 ;(#,##0.00)"/>
    <numFmt numFmtId="168" formatCode=" #,##0 ;(#,##0)"/>
    <numFmt numFmtId="169" formatCode="#,##0.0 ;(#,##0.0)"/>
    <numFmt numFmtId="170" formatCode="#,##0.00;(#,##0.00)"/>
    <numFmt numFmtId="171" formatCode="#,##0.000 ;(#,##0.000)"/>
    <numFmt numFmtId="172" formatCode="#,##0;(#,##0)"/>
    <numFmt numFmtId="173" formatCode="0.0"/>
    <numFmt numFmtId="174" formatCode="#,##0.0"/>
    <numFmt numFmtId="175" formatCode="&quot;$&quot;#,##0"/>
    <numFmt numFmtId="176" formatCode="#,##0.0;(#,##0.0)"/>
    <numFmt numFmtId="177" formatCode="0.0000"/>
    <numFmt numFmtId="178" formatCode="&quot;$&quot;#,##0 ;&quot;$&quot;(#,##0)"/>
    <numFmt numFmtId="179" formatCode="&quot;$&quot;#,##0.00 ;&quot;$&quot;(#,##0.00)"/>
  </numFmts>
  <fonts count="38">
    <font>
      <sz val="10.0"/>
      <color rgb="FF000000"/>
      <name val="Arial"/>
    </font>
    <font/>
    <font>
      <b/>
      <sz val="12.0"/>
      <color rgb="FF000000"/>
    </font>
    <font>
      <b/>
      <sz val="11.0"/>
      <color rgb="FF000000"/>
    </font>
    <font>
      <sz val="11.0"/>
      <color rgb="FF000000"/>
    </font>
    <font>
      <b/>
      <sz val="16.0"/>
      <color rgb="FF000000"/>
    </font>
    <font>
      <b/>
      <u/>
      <sz val="11.0"/>
      <color rgb="FF000000"/>
    </font>
    <font>
      <b/>
      <u/>
      <sz val="11.0"/>
      <color rgb="FF000000"/>
    </font>
    <font>
      <b/>
      <sz val="14.0"/>
      <color rgb="FF000000"/>
    </font>
    <font>
      <sz val="11.0"/>
      <color rgb="FFFF0000"/>
    </font>
    <font>
      <b/>
      <sz val="10.0"/>
      <color rgb="FF000000"/>
    </font>
    <font>
      <sz val="11.0"/>
      <color rgb="FF00B0F0"/>
    </font>
    <font>
      <sz val="10.0"/>
      <color rgb="FF000000"/>
    </font>
    <font>
      <sz val="11.0"/>
      <color rgb="FFFFFFFF"/>
    </font>
    <font>
      <b/>
      <i/>
      <sz val="11.0"/>
      <color rgb="FF000000"/>
    </font>
    <font>
      <b/>
      <u/>
      <sz val="12.0"/>
      <color rgb="FFFF0000"/>
    </font>
    <font>
      <b/>
      <u/>
      <sz val="12.0"/>
      <color rgb="FFFF0000"/>
    </font>
    <font>
      <b/>
      <sz val="11.0"/>
      <color rgb="FFFF0000"/>
    </font>
    <font>
      <sz val="10.0"/>
      <color rgb="FF003366"/>
    </font>
    <font>
      <b/>
      <sz val="10.0"/>
      <color rgb="FF003366"/>
    </font>
    <font>
      <b/>
      <u/>
      <sz val="12.0"/>
      <color rgb="FFFF0000"/>
    </font>
    <font>
      <sz val="10.0"/>
      <color rgb="FF000000"/>
      <name val="Verdana"/>
    </font>
    <font>
      <sz val="10.0"/>
      <color rgb="FF003300"/>
      <name val="Verdana"/>
    </font>
    <font>
      <u/>
      <sz val="11.0"/>
      <color rgb="FF0000FF"/>
    </font>
    <font>
      <b/>
      <u/>
      <sz val="11.0"/>
      <color rgb="FF0000FF"/>
    </font>
    <font>
      <b/>
      <sz val="14.0"/>
      <color rgb="FFFFFFFF"/>
      <name val="Times New Roman"/>
    </font>
    <font>
      <b/>
      <sz val="12.0"/>
      <color rgb="FF000000"/>
      <name val="Times New Roman"/>
    </font>
    <font>
      <b/>
      <sz val="11.0"/>
      <color rgb="FFFFFFFF"/>
    </font>
    <font>
      <sz val="12.0"/>
      <color rgb="FF602827"/>
      <name val="Times New Roman"/>
    </font>
    <font>
      <sz val="12.0"/>
      <color rgb="FF0000FF"/>
      <name val="Times New Roman"/>
    </font>
    <font>
      <b/>
      <sz val="12.0"/>
      <color rgb="FF002060"/>
      <name val="Times New Roman"/>
    </font>
    <font>
      <sz val="12.0"/>
      <color rgb="FF602827"/>
    </font>
    <font>
      <sz val="12.0"/>
      <color rgb="FF000000"/>
    </font>
    <font>
      <b/>
      <sz val="12.0"/>
      <color rgb="FFFF0000"/>
    </font>
    <font>
      <b/>
      <sz val="10.0"/>
      <color rgb="FFFF0000"/>
    </font>
    <font>
      <b/>
      <u/>
      <sz val="10.0"/>
      <color rgb="FF000000"/>
    </font>
    <font>
      <b/>
      <u/>
      <sz val="12.0"/>
      <color rgb="FFFF0000"/>
    </font>
    <font>
      <sz val="10.0"/>
      <color rgb="FFFF0000"/>
    </font>
  </fonts>
  <fills count="29">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D2DBE5"/>
        <bgColor rgb="FFD2DBE5"/>
      </patternFill>
    </fill>
    <fill>
      <patternFill patternType="solid">
        <fgColor rgb="FFA6A6A6"/>
        <bgColor rgb="FFA6A6A6"/>
      </patternFill>
    </fill>
    <fill>
      <patternFill patternType="solid">
        <fgColor rgb="FF99CCFF"/>
        <bgColor rgb="FF99CCFF"/>
      </patternFill>
    </fill>
    <fill>
      <patternFill patternType="solid">
        <fgColor rgb="FFF2DCDB"/>
        <bgColor rgb="FFF2DCDB"/>
      </patternFill>
    </fill>
    <fill>
      <patternFill patternType="solid">
        <fgColor rgb="FFC00000"/>
        <bgColor rgb="FFC00000"/>
      </patternFill>
    </fill>
    <fill>
      <patternFill patternType="solid">
        <fgColor rgb="FFFFFFFF"/>
        <bgColor rgb="FFFFFFFF"/>
      </patternFill>
    </fill>
    <fill>
      <patternFill patternType="solid">
        <fgColor rgb="FFA5B6CB"/>
        <bgColor rgb="FFA5B6CB"/>
      </patternFill>
    </fill>
    <fill>
      <patternFill patternType="solid">
        <fgColor rgb="FFCCC1DA"/>
        <bgColor rgb="FFCCC1DA"/>
      </patternFill>
    </fill>
    <fill>
      <patternFill patternType="solid">
        <fgColor rgb="FFD9D9D9"/>
        <bgColor rgb="FFD9D9D9"/>
      </patternFill>
    </fill>
    <fill>
      <patternFill patternType="solid">
        <fgColor rgb="FFFF0000"/>
        <bgColor rgb="FFFF0000"/>
      </patternFill>
    </fill>
    <fill>
      <patternFill patternType="solid">
        <fgColor rgb="FFFFCC00"/>
        <bgColor rgb="FFFFCC00"/>
      </patternFill>
    </fill>
    <fill>
      <patternFill patternType="solid">
        <fgColor rgb="FFFFFF99"/>
        <bgColor rgb="FFFFFF99"/>
      </patternFill>
    </fill>
    <fill>
      <patternFill patternType="solid">
        <fgColor rgb="FFCCFFFF"/>
        <bgColor rgb="FFCCFFFF"/>
      </patternFill>
    </fill>
    <fill>
      <patternFill patternType="solid">
        <fgColor rgb="FFB7DEE8"/>
        <bgColor rgb="FFB7DEE8"/>
      </patternFill>
    </fill>
    <fill>
      <patternFill patternType="solid">
        <fgColor rgb="FFB97135"/>
        <bgColor rgb="FFB97135"/>
      </patternFill>
    </fill>
    <fill>
      <patternFill patternType="solid">
        <fgColor rgb="FF95B3D7"/>
        <bgColor rgb="FF95B3D7"/>
      </patternFill>
    </fill>
    <fill>
      <patternFill patternType="solid">
        <fgColor rgb="FF000080"/>
        <bgColor rgb="FF000080"/>
      </patternFill>
    </fill>
    <fill>
      <patternFill patternType="solid">
        <fgColor rgb="FF333399"/>
        <bgColor rgb="FF333399"/>
      </patternFill>
    </fill>
    <fill>
      <patternFill patternType="solid">
        <fgColor rgb="FF00B0F0"/>
        <bgColor rgb="FF00B0F0"/>
      </patternFill>
    </fill>
    <fill>
      <patternFill patternType="solid">
        <fgColor rgb="FF0070C0"/>
        <bgColor rgb="FF0070C0"/>
      </patternFill>
    </fill>
    <fill>
      <patternFill patternType="solid">
        <fgColor rgb="FFC0C0C0"/>
        <bgColor rgb="FFC0C0C0"/>
      </patternFill>
    </fill>
    <fill>
      <patternFill patternType="solid">
        <fgColor rgb="FF00FF00"/>
        <bgColor rgb="FF00FF00"/>
      </patternFill>
    </fill>
    <fill>
      <patternFill patternType="solid">
        <fgColor rgb="FF0066CC"/>
        <bgColor rgb="FF0066CC"/>
      </patternFill>
    </fill>
    <fill>
      <patternFill patternType="solid">
        <fgColor rgb="FFCCFFCC"/>
        <bgColor rgb="FFCCFFCC"/>
      </patternFill>
    </fill>
    <fill>
      <patternFill patternType="solid">
        <fgColor rgb="FF969696"/>
        <bgColor rgb="FF969696"/>
      </patternFill>
    </fill>
  </fills>
  <borders count="16">
    <border>
      <left/>
      <right/>
      <top/>
      <bottom/>
    </border>
    <border>
      <left/>
      <right/>
      <top/>
      <bottom style="thin">
        <color rgb="FF000000"/>
      </bottom>
    </border>
    <border>
      <left/>
      <right style="thin">
        <color rgb="FF000000"/>
      </right>
      <top/>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style="thin">
        <color rgb="FF000000"/>
      </top>
      <bottom/>
    </border>
    <border>
      <left style="thin">
        <color rgb="FF000000"/>
      </left>
      <right/>
      <top style="thin">
        <color rgb="FF000000"/>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505">
    <xf borderId="0" fillId="0" fontId="0" numFmtId="0" xfId="0" applyAlignment="1" applyFont="1">
      <alignment wrapText="1"/>
    </xf>
    <xf borderId="1" fillId="0" fontId="1" numFmtId="0" xfId="0" applyAlignment="1" applyBorder="1" applyFont="1">
      <alignment wrapText="1"/>
    </xf>
    <xf borderId="2" fillId="0" fontId="1" numFmtId="0" xfId="0" applyAlignment="1" applyBorder="1" applyFont="1">
      <alignment wrapText="1"/>
    </xf>
    <xf borderId="3" fillId="2" fontId="2" numFmtId="0" xfId="0" applyAlignment="1" applyBorder="1" applyFill="1" applyFont="1">
      <alignment/>
    </xf>
    <xf borderId="3" fillId="2" fontId="3" numFmtId="0" xfId="0" applyAlignment="1" applyBorder="1" applyFont="1">
      <alignment/>
    </xf>
    <xf borderId="3" fillId="2" fontId="3" numFmtId="0" xfId="0" applyAlignment="1" applyBorder="1" applyFont="1">
      <alignment horizontal="right"/>
    </xf>
    <xf borderId="3" fillId="0" fontId="4" numFmtId="0" xfId="0" applyAlignment="1" applyBorder="1" applyFont="1">
      <alignment/>
    </xf>
    <xf borderId="3" fillId="0" fontId="4" numFmtId="3" xfId="0" applyAlignment="1" applyBorder="1" applyFont="1" applyNumberFormat="1">
      <alignment/>
    </xf>
    <xf borderId="3" fillId="0" fontId="4" numFmtId="3" xfId="0" applyAlignment="1" applyBorder="1" applyFont="1" applyNumberFormat="1">
      <alignment/>
    </xf>
    <xf borderId="3" fillId="3" fontId="4" numFmtId="3" xfId="0" applyAlignment="1" applyBorder="1" applyFill="1" applyFont="1" applyNumberFormat="1">
      <alignment/>
    </xf>
    <xf borderId="3" fillId="0" fontId="3" numFmtId="0" xfId="0" applyAlignment="1" applyBorder="1" applyFont="1">
      <alignment/>
    </xf>
    <xf borderId="3" fillId="0" fontId="3" numFmtId="3" xfId="0" applyAlignment="1" applyBorder="1" applyFont="1" applyNumberFormat="1">
      <alignment/>
    </xf>
    <xf borderId="4" fillId="0" fontId="1" numFmtId="0" xfId="0" applyAlignment="1" applyBorder="1" applyFont="1">
      <alignment wrapText="1"/>
    </xf>
    <xf borderId="3" fillId="4" fontId="3" numFmtId="0" xfId="0" applyAlignment="1" applyBorder="1" applyFill="1" applyFont="1">
      <alignment horizontal="center"/>
    </xf>
    <xf borderId="5" fillId="4" fontId="3" numFmtId="0" xfId="0" applyAlignment="1" applyBorder="1" applyFont="1">
      <alignment horizontal="center" vertical="center"/>
    </xf>
    <xf borderId="6" fillId="0" fontId="1" numFmtId="0" xfId="0" applyAlignment="1" applyBorder="1" applyFont="1">
      <alignment wrapText="1"/>
    </xf>
    <xf borderId="3" fillId="4" fontId="3" numFmtId="0" xfId="0" applyAlignment="1" applyBorder="1" applyFont="1">
      <alignment horizontal="center" wrapText="1"/>
    </xf>
    <xf borderId="3" fillId="4" fontId="3" numFmtId="0" xfId="0" applyAlignment="1" applyBorder="1" applyFont="1">
      <alignment horizontal="center"/>
    </xf>
    <xf borderId="7" fillId="0" fontId="1" numFmtId="0" xfId="0" applyAlignment="1" applyBorder="1" applyFont="1">
      <alignment wrapText="1"/>
    </xf>
    <xf borderId="3" fillId="0" fontId="4" numFmtId="0" xfId="0" applyAlignment="1" applyBorder="1" applyFont="1">
      <alignment/>
    </xf>
    <xf borderId="3" fillId="0" fontId="5" numFmtId="0" xfId="0" applyAlignment="1" applyBorder="1" applyFont="1">
      <alignment horizontal="center" vertical="center"/>
    </xf>
    <xf borderId="3" fillId="0" fontId="4" numFmtId="0" xfId="0" applyAlignment="1" applyBorder="1" applyFont="1">
      <alignment horizontal="center" vertical="center" wrapText="1"/>
    </xf>
    <xf borderId="3" fillId="0" fontId="4" numFmtId="0" xfId="0" applyAlignment="1" applyBorder="1" applyFont="1">
      <alignment wrapText="1"/>
    </xf>
    <xf borderId="7" fillId="0" fontId="4" numFmtId="0" xfId="0" applyAlignment="1" applyBorder="1" applyFont="1">
      <alignment/>
    </xf>
    <xf borderId="3" fillId="0" fontId="5" numFmtId="0" xfId="0" applyAlignment="1" applyBorder="1" applyFont="1">
      <alignment horizontal="center" vertical="center"/>
    </xf>
    <xf borderId="3" fillId="0" fontId="4" numFmtId="0" xfId="0" applyAlignment="1" applyBorder="1" applyFont="1">
      <alignment horizontal="center" vertical="center" wrapText="1"/>
    </xf>
    <xf borderId="3" fillId="5" fontId="3" numFmtId="0" xfId="0" applyAlignment="1" applyBorder="1" applyFill="1" applyFont="1">
      <alignment wrapText="1"/>
    </xf>
    <xf borderId="3" fillId="3" fontId="6" numFmtId="0" xfId="0" applyAlignment="1" applyBorder="1" applyFont="1">
      <alignment horizontal="left" vertical="center" wrapText="1"/>
    </xf>
    <xf borderId="3" fillId="5" fontId="3" numFmtId="0" xfId="0" applyAlignment="1" applyBorder="1" applyFont="1">
      <alignment/>
    </xf>
    <xf borderId="3" fillId="0" fontId="4" numFmtId="0" xfId="0" applyAlignment="1" applyBorder="1" applyFont="1">
      <alignment wrapText="1"/>
    </xf>
    <xf borderId="3" fillId="3" fontId="7" numFmtId="0" xfId="0" applyAlignment="1" applyBorder="1" applyFont="1">
      <alignment horizontal="center" vertical="center" wrapText="1"/>
    </xf>
    <xf borderId="2" fillId="0" fontId="4" numFmtId="0" xfId="0" applyAlignment="1" applyBorder="1" applyFont="1">
      <alignment/>
    </xf>
    <xf borderId="3" fillId="0" fontId="4" numFmtId="0" xfId="0" applyAlignment="1" applyBorder="1" applyFont="1">
      <alignment horizontal="left" vertical="center" wrapText="1"/>
    </xf>
    <xf borderId="3" fillId="0" fontId="4" numFmtId="0" xfId="0" applyAlignment="1" applyBorder="1" applyFont="1">
      <alignment horizontal="center" vertical="center"/>
    </xf>
    <xf borderId="3" fillId="0" fontId="4" numFmtId="164" xfId="0" applyAlignment="1" applyBorder="1" applyFont="1" applyNumberFormat="1">
      <alignment horizontal="center" vertical="center"/>
    </xf>
    <xf borderId="3" fillId="0" fontId="4" numFmtId="0" xfId="0" applyAlignment="1" applyBorder="1" applyFont="1">
      <alignment horizontal="right"/>
    </xf>
    <xf borderId="8" fillId="0" fontId="8" numFmtId="0" xfId="0" applyAlignment="1" applyBorder="1" applyFont="1">
      <alignment horizontal="center" vertical="center"/>
    </xf>
    <xf borderId="5" fillId="0" fontId="3" numFmtId="0" xfId="0" applyAlignment="1" applyBorder="1" applyFont="1">
      <alignment horizontal="left"/>
    </xf>
    <xf borderId="7" fillId="0" fontId="9" numFmtId="0" xfId="0" applyAlignment="1" applyBorder="1" applyFont="1">
      <alignment/>
    </xf>
    <xf borderId="0" fillId="0" fontId="4" numFmtId="0" xfId="0" applyAlignment="1" applyFont="1">
      <alignment/>
    </xf>
    <xf borderId="9" fillId="0" fontId="8" numFmtId="0" xfId="0" applyAlignment="1" applyBorder="1" applyFont="1">
      <alignment horizontal="center" vertical="center"/>
    </xf>
    <xf borderId="10" fillId="0" fontId="4" numFmtId="0" xfId="0" applyAlignment="1" applyBorder="1" applyFont="1">
      <alignment horizontal="left" vertical="center" wrapText="1"/>
    </xf>
    <xf borderId="3" fillId="0" fontId="9" numFmtId="0" xfId="0" applyAlignment="1" applyBorder="1" applyFont="1">
      <alignment/>
    </xf>
    <xf borderId="8" fillId="0" fontId="4" numFmtId="0" xfId="0" applyAlignment="1" applyBorder="1" applyFont="1">
      <alignment horizontal="left" vertical="center" wrapText="1"/>
    </xf>
    <xf borderId="5" fillId="6" fontId="3" numFmtId="0" xfId="0" applyAlignment="1" applyBorder="1" applyFill="1" applyFont="1">
      <alignment horizontal="center"/>
    </xf>
    <xf borderId="11" fillId="0" fontId="4" numFmtId="0" xfId="0" applyAlignment="1" applyBorder="1" applyFont="1">
      <alignment horizontal="center" vertical="center"/>
    </xf>
    <xf borderId="10" fillId="0" fontId="1" numFmtId="0" xfId="0" applyAlignment="1" applyBorder="1" applyFont="1">
      <alignment wrapText="1"/>
    </xf>
    <xf borderId="12" fillId="0" fontId="1" numFmtId="0" xfId="0" applyAlignment="1" applyBorder="1" applyFont="1">
      <alignment wrapText="1"/>
    </xf>
    <xf borderId="13" fillId="0" fontId="4" numFmtId="0" xfId="0" applyAlignment="1" applyBorder="1" applyFont="1">
      <alignment horizontal="left" vertical="center" wrapText="1"/>
    </xf>
    <xf borderId="14" fillId="0" fontId="1" numFmtId="0" xfId="0" applyAlignment="1" applyBorder="1" applyFont="1">
      <alignment wrapText="1"/>
    </xf>
    <xf borderId="3" fillId="0" fontId="4" numFmtId="0" xfId="0" applyAlignment="1" applyBorder="1" applyFont="1">
      <alignment horizontal="right"/>
    </xf>
    <xf borderId="0" fillId="0" fontId="10" numFmtId="0" xfId="0" applyAlignment="1" applyFont="1">
      <alignment horizontal="center"/>
    </xf>
    <xf borderId="0" fillId="0" fontId="3" numFmtId="165" xfId="0" applyAlignment="1" applyFont="1" applyNumberFormat="1">
      <alignment horizontal="center" vertical="center"/>
    </xf>
    <xf borderId="0" fillId="0" fontId="3" numFmtId="166" xfId="0" applyAlignment="1" applyFont="1" applyNumberFormat="1">
      <alignment horizontal="center" vertical="center"/>
    </xf>
    <xf borderId="0" fillId="0" fontId="3" numFmtId="166" xfId="0" applyAlignment="1" applyFont="1" applyNumberFormat="1">
      <alignment horizontal="center" vertical="center" wrapText="1"/>
    </xf>
    <xf borderId="3" fillId="0" fontId="11" numFmtId="0" xfId="0" applyAlignment="1" applyBorder="1" applyFont="1">
      <alignment/>
    </xf>
    <xf borderId="0" fillId="0" fontId="10" numFmtId="0" xfId="0" applyAlignment="1" applyFont="1">
      <alignment wrapText="1"/>
    </xf>
    <xf borderId="0" fillId="0" fontId="12" numFmtId="0" xfId="0" applyAlignment="1" applyFont="1">
      <alignment/>
    </xf>
    <xf borderId="0" fillId="0" fontId="10" numFmtId="2" xfId="0" applyAlignment="1" applyFont="1" applyNumberFormat="1">
      <alignment/>
    </xf>
    <xf borderId="0" fillId="0" fontId="10" numFmtId="0" xfId="0" applyAlignment="1" applyFont="1">
      <alignment/>
    </xf>
    <xf borderId="0" fillId="7" fontId="3" numFmtId="165" xfId="0" applyAlignment="1" applyFill="1" applyFont="1" applyNumberFormat="1">
      <alignment horizontal="center" vertical="center"/>
    </xf>
    <xf borderId="0" fillId="7" fontId="3" numFmtId="166" xfId="0" applyAlignment="1" applyFont="1" applyNumberFormat="1">
      <alignment horizontal="center" vertical="center" wrapText="1"/>
    </xf>
    <xf borderId="0" fillId="0" fontId="12" numFmtId="0" xfId="0" applyAlignment="1" applyFont="1">
      <alignment/>
    </xf>
    <xf borderId="0" fillId="7" fontId="3" numFmtId="166" xfId="0" applyAlignment="1" applyFont="1" applyNumberFormat="1">
      <alignment horizontal="center" vertical="center"/>
    </xf>
    <xf borderId="0" fillId="7" fontId="3" numFmtId="166" xfId="0" applyAlignment="1" applyFont="1" applyNumberFormat="1">
      <alignment horizontal="center" vertical="center"/>
    </xf>
    <xf borderId="0" fillId="7" fontId="3" numFmtId="166" xfId="0" applyAlignment="1" applyFont="1" applyNumberFormat="1">
      <alignment horizontal="center" vertical="center" wrapText="1"/>
    </xf>
    <xf borderId="15" fillId="0" fontId="1" numFmtId="0" xfId="0" applyAlignment="1" applyBorder="1" applyFont="1">
      <alignment wrapText="1"/>
    </xf>
    <xf borderId="1" fillId="7" fontId="3" numFmtId="166" xfId="0" applyAlignment="1" applyBorder="1" applyFont="1" applyNumberFormat="1">
      <alignment horizontal="center" vertical="center" wrapText="1"/>
    </xf>
    <xf borderId="3" fillId="0" fontId="4" numFmtId="0" xfId="0" applyAlignment="1" applyBorder="1" applyFont="1">
      <alignment horizontal="right" wrapText="1"/>
    </xf>
    <xf borderId="0" fillId="7" fontId="12" numFmtId="0" xfId="0" applyAlignment="1" applyFont="1">
      <alignment/>
    </xf>
    <xf borderId="0" fillId="0" fontId="10" numFmtId="2" xfId="0" applyAlignment="1" applyFont="1" applyNumberFormat="1">
      <alignment/>
    </xf>
    <xf borderId="0" fillId="0" fontId="12" numFmtId="2" xfId="0" applyAlignment="1" applyFont="1" applyNumberFormat="1">
      <alignment/>
    </xf>
    <xf borderId="0" fillId="0" fontId="4" numFmtId="1" xfId="0" applyAlignment="1" applyFont="1" applyNumberFormat="1">
      <alignment horizontal="center" vertical="center" wrapText="1"/>
    </xf>
    <xf borderId="3" fillId="0" fontId="3" numFmtId="0" xfId="0" applyAlignment="1" applyBorder="1" applyFont="1">
      <alignment horizontal="left"/>
    </xf>
    <xf borderId="3" fillId="0" fontId="4" numFmtId="0" xfId="0" applyAlignment="1" applyBorder="1" applyFont="1">
      <alignment horizontal="left" wrapText="1"/>
    </xf>
    <xf borderId="0" fillId="0" fontId="3" numFmtId="1" xfId="0" applyAlignment="1" applyFont="1" applyNumberFormat="1">
      <alignment horizontal="center" vertical="center" wrapText="1"/>
    </xf>
    <xf borderId="0" fillId="7" fontId="4" numFmtId="1" xfId="0" applyAlignment="1" applyFont="1" applyNumberFormat="1">
      <alignment horizontal="center" vertical="center" wrapText="1"/>
    </xf>
    <xf borderId="3" fillId="0" fontId="3" numFmtId="0" xfId="0" applyAlignment="1" applyBorder="1" applyFont="1">
      <alignment horizontal="left"/>
    </xf>
    <xf borderId="3" fillId="0" fontId="4" numFmtId="0" xfId="0" applyAlignment="1" applyBorder="1" applyFont="1">
      <alignment horizontal="left"/>
    </xf>
    <xf borderId="3" fillId="6" fontId="3" numFmtId="0" xfId="0" applyAlignment="1" applyBorder="1" applyFont="1">
      <alignment horizontal="center"/>
    </xf>
    <xf borderId="13" fillId="0" fontId="8" numFmtId="0" xfId="0" applyAlignment="1" applyBorder="1" applyFont="1">
      <alignment horizontal="center" vertical="center"/>
    </xf>
    <xf borderId="0" fillId="3" fontId="12" numFmtId="0" xfId="0" applyAlignment="1" applyFont="1">
      <alignment/>
    </xf>
    <xf borderId="0" fillId="0" fontId="3" numFmtId="0" xfId="0" applyAlignment="1" applyFont="1">
      <alignment horizontal="left" vertical="center"/>
    </xf>
    <xf borderId="0" fillId="7" fontId="3" numFmtId="1" xfId="0" applyAlignment="1" applyFont="1" applyNumberFormat="1">
      <alignment horizontal="center" vertical="center" wrapText="1"/>
    </xf>
    <xf borderId="0" fillId="0" fontId="3" numFmtId="1" xfId="0" applyAlignment="1" applyFont="1" applyNumberFormat="1">
      <alignment horizontal="center" vertical="center" wrapText="1"/>
    </xf>
    <xf borderId="0" fillId="0" fontId="3" numFmtId="0" xfId="0" applyAlignment="1" applyFont="1">
      <alignment horizontal="center" vertical="center"/>
    </xf>
    <xf borderId="0" fillId="7" fontId="4" numFmtId="1" xfId="0" applyAlignment="1" applyFont="1" applyNumberFormat="1">
      <alignment horizontal="center" vertical="center" wrapText="1"/>
    </xf>
    <xf borderId="0" fillId="8" fontId="13" numFmtId="166" xfId="0" applyAlignment="1" applyFill="1" applyFont="1" applyNumberFormat="1">
      <alignment horizontal="center" vertical="center"/>
    </xf>
    <xf borderId="0" fillId="8" fontId="13" numFmtId="165" xfId="0" applyAlignment="1" applyFont="1" applyNumberFormat="1">
      <alignment horizontal="center" vertical="center"/>
    </xf>
    <xf borderId="0" fillId="8" fontId="13" numFmtId="166" xfId="0" applyAlignment="1" applyFont="1" applyNumberFormat="1">
      <alignment horizontal="center" vertical="center"/>
    </xf>
    <xf borderId="3" fillId="0" fontId="8" numFmtId="0" xfId="0" applyAlignment="1" applyBorder="1" applyFont="1">
      <alignment vertical="center"/>
    </xf>
    <xf borderId="3" fillId="5" fontId="3" numFmtId="0" xfId="0" applyAlignment="1" applyBorder="1" applyFont="1">
      <alignment/>
    </xf>
    <xf borderId="3" fillId="0" fontId="8" numFmtId="0" xfId="0" applyAlignment="1" applyBorder="1" applyFont="1">
      <alignment horizontal="center"/>
    </xf>
    <xf borderId="3" fillId="0" fontId="8" numFmtId="0" xfId="0" applyAlignment="1" applyBorder="1" applyFont="1">
      <alignment horizontal="center"/>
    </xf>
    <xf borderId="5" fillId="0" fontId="4" numFmtId="0" xfId="0" applyAlignment="1" applyBorder="1" applyFont="1">
      <alignment horizontal="left"/>
    </xf>
    <xf borderId="3" fillId="0" fontId="8" numFmtId="0" xfId="0" applyAlignment="1" applyBorder="1" applyFont="1">
      <alignment horizontal="center" vertical="center"/>
    </xf>
    <xf borderId="0" fillId="0" fontId="4" numFmtId="166" xfId="0" applyAlignment="1" applyFont="1" applyNumberFormat="1">
      <alignment horizontal="center" vertical="center"/>
    </xf>
    <xf borderId="5" fillId="9" fontId="4" numFmtId="0" xfId="0" applyAlignment="1" applyBorder="1" applyFill="1" applyFont="1">
      <alignment horizontal="left" vertical="center" wrapText="1"/>
    </xf>
    <xf borderId="3" fillId="6" fontId="3" numFmtId="0" xfId="0" applyAlignment="1" applyBorder="1" applyFont="1">
      <alignment/>
    </xf>
    <xf borderId="3" fillId="9" fontId="4" numFmtId="0" xfId="0" applyAlignment="1" applyBorder="1" applyFont="1">
      <alignment horizontal="left" vertical="center" wrapText="1"/>
    </xf>
    <xf borderId="3" fillId="0" fontId="8" numFmtId="0" xfId="0" applyAlignment="1" applyBorder="1" applyFont="1">
      <alignment horizontal="center" vertical="center"/>
    </xf>
    <xf borderId="3" fillId="6" fontId="3" numFmtId="0" xfId="0" applyAlignment="1" applyBorder="1" applyFont="1">
      <alignment horizontal="left"/>
    </xf>
    <xf borderId="3" fillId="6" fontId="3" numFmtId="0" xfId="0" applyAlignment="1" applyBorder="1" applyFont="1">
      <alignment wrapText="1"/>
    </xf>
    <xf borderId="0" fillId="2" fontId="3" numFmtId="167" xfId="0" applyAlignment="1" applyFont="1" applyNumberFormat="1">
      <alignment horizontal="center" vertical="center"/>
    </xf>
    <xf borderId="5" fillId="10" fontId="3" numFmtId="0" xfId="0" applyAlignment="1" applyBorder="1" applyFill="1" applyFont="1">
      <alignment horizontal="center"/>
    </xf>
    <xf borderId="0" fillId="0" fontId="4" numFmtId="1" xfId="0" applyAlignment="1" applyFont="1" applyNumberFormat="1">
      <alignment horizontal="center" vertical="center" wrapText="1"/>
    </xf>
    <xf borderId="3" fillId="11" fontId="3" numFmtId="0" xfId="0" applyAlignment="1" applyBorder="1" applyFill="1" applyFont="1">
      <alignment horizontal="center"/>
    </xf>
    <xf borderId="3" fillId="11" fontId="3" numFmtId="0" xfId="0" applyAlignment="1" applyBorder="1" applyFont="1">
      <alignment horizontal="left"/>
    </xf>
    <xf borderId="3" fillId="0" fontId="3" numFmtId="0" xfId="0" applyAlignment="1" applyBorder="1" applyFont="1">
      <alignment horizontal="center"/>
    </xf>
    <xf borderId="3" fillId="0" fontId="12" numFmtId="0" xfId="0" applyAlignment="1" applyBorder="1" applyFont="1">
      <alignment horizontal="center" vertical="center"/>
    </xf>
    <xf borderId="3" fillId="0" fontId="12" numFmtId="0" xfId="0" applyAlignment="1" applyBorder="1" applyFont="1">
      <alignment vertical="center" wrapText="1"/>
    </xf>
    <xf borderId="3" fillId="0" fontId="12" numFmtId="0" xfId="0" applyAlignment="1" applyBorder="1" applyFont="1">
      <alignment horizontal="center" vertical="center" wrapText="1"/>
    </xf>
    <xf borderId="3" fillId="0" fontId="12" numFmtId="3" xfId="0" applyAlignment="1" applyBorder="1" applyFont="1" applyNumberFormat="1">
      <alignment horizontal="center" vertical="center"/>
    </xf>
    <xf borderId="3" fillId="0" fontId="12" numFmtId="3" xfId="0" applyAlignment="1" applyBorder="1" applyFont="1" applyNumberFormat="1">
      <alignment horizontal="center" vertical="center"/>
    </xf>
    <xf borderId="3" fillId="0" fontId="12" numFmtId="0" xfId="0" applyAlignment="1" applyBorder="1" applyFont="1">
      <alignment horizontal="center" vertical="center"/>
    </xf>
    <xf borderId="3" fillId="0" fontId="12" numFmtId="0" xfId="0" applyAlignment="1" applyBorder="1" applyFont="1">
      <alignment vertical="center"/>
    </xf>
    <xf borderId="3" fillId="0" fontId="12" numFmtId="0" xfId="0" applyAlignment="1" applyBorder="1" applyFont="1">
      <alignment wrapText="1"/>
    </xf>
    <xf borderId="3" fillId="0" fontId="12" numFmtId="0" xfId="0" applyAlignment="1" applyBorder="1" applyFont="1">
      <alignment horizontal="left" vertical="top" wrapText="1"/>
    </xf>
    <xf borderId="3" fillId="11" fontId="3" numFmtId="0" xfId="0" applyAlignment="1" applyBorder="1" applyFont="1">
      <alignment horizontal="center" vertical="center"/>
    </xf>
    <xf borderId="3" fillId="11" fontId="3" numFmtId="0" xfId="0" applyAlignment="1" applyBorder="1" applyFont="1">
      <alignment vertical="center" wrapText="1"/>
    </xf>
    <xf borderId="3" fillId="0" fontId="12" numFmtId="0" xfId="0" applyAlignment="1" applyBorder="1" applyFont="1">
      <alignment horizontal="center" vertical="center"/>
    </xf>
    <xf borderId="3" fillId="0" fontId="12" numFmtId="0" xfId="0" applyAlignment="1" applyBorder="1" applyFont="1">
      <alignment vertical="center" wrapText="1"/>
    </xf>
    <xf borderId="4" fillId="0" fontId="10" numFmtId="0" xfId="0" applyAlignment="1" applyBorder="1" applyFont="1">
      <alignment horizontal="left" vertical="center"/>
    </xf>
    <xf borderId="4" fillId="0" fontId="10" numFmtId="3" xfId="0" applyAlignment="1" applyBorder="1" applyFont="1" applyNumberFormat="1">
      <alignment horizontal="center" vertical="center"/>
    </xf>
    <xf borderId="0" fillId="0" fontId="12" numFmtId="3" xfId="0" applyAlignment="1" applyFont="1" applyNumberFormat="1">
      <alignment horizontal="center" vertical="center"/>
    </xf>
    <xf borderId="0" fillId="0" fontId="4" numFmtId="2" xfId="0" applyAlignment="1" applyFont="1" applyNumberFormat="1">
      <alignment horizontal="center" vertical="center" wrapText="1"/>
    </xf>
    <xf borderId="0" fillId="2" fontId="3" numFmtId="168" xfId="0" applyAlignment="1" applyFont="1" applyNumberFormat="1">
      <alignment vertical="center"/>
    </xf>
    <xf borderId="5" fillId="9" fontId="9" numFmtId="0" xfId="0" applyAlignment="1" applyBorder="1" applyFont="1">
      <alignment horizontal="left" vertical="center" wrapText="1"/>
    </xf>
    <xf borderId="0" fillId="0" fontId="3" numFmtId="167" xfId="0" applyAlignment="1" applyFont="1" applyNumberFormat="1">
      <alignment horizontal="center" vertical="center"/>
    </xf>
    <xf borderId="0" fillId="0" fontId="3" numFmtId="168" xfId="0" applyAlignment="1" applyFont="1" applyNumberFormat="1">
      <alignment vertical="center"/>
    </xf>
    <xf borderId="5" fillId="0" fontId="4" numFmtId="0" xfId="0" applyAlignment="1" applyBorder="1" applyFont="1">
      <alignment horizontal="left" vertical="center" wrapText="1"/>
    </xf>
    <xf borderId="0" fillId="0" fontId="4" numFmtId="167" xfId="0" applyAlignment="1" applyFont="1" applyNumberFormat="1">
      <alignment horizontal="center" vertical="center"/>
    </xf>
    <xf borderId="0" fillId="0" fontId="3" numFmtId="167" xfId="0" applyAlignment="1" applyFont="1" applyNumberFormat="1">
      <alignment horizontal="left" vertical="center"/>
    </xf>
    <xf borderId="0" fillId="0" fontId="4" numFmtId="167" xfId="0" applyAlignment="1" applyFont="1" applyNumberFormat="1">
      <alignment horizontal="center" vertical="center"/>
    </xf>
    <xf borderId="5" fillId="0" fontId="9" numFmtId="0" xfId="0" applyAlignment="1" applyBorder="1" applyFont="1">
      <alignment horizontal="left" vertical="center" wrapText="1"/>
    </xf>
    <xf borderId="0" fillId="0" fontId="4" numFmtId="167" xfId="0" applyAlignment="1" applyFont="1" applyNumberFormat="1">
      <alignment vertical="center"/>
    </xf>
    <xf borderId="3" fillId="0" fontId="4" numFmtId="0" xfId="0" applyAlignment="1" applyBorder="1" applyFont="1">
      <alignment vertical="center" wrapText="1"/>
    </xf>
    <xf borderId="0" fillId="0" fontId="4" numFmtId="167" xfId="0" applyAlignment="1" applyFont="1" applyNumberFormat="1">
      <alignment vertical="center"/>
    </xf>
    <xf borderId="0" fillId="0" fontId="4" numFmtId="169" xfId="0" applyAlignment="1" applyFont="1" applyNumberFormat="1">
      <alignment horizontal="left" vertical="center"/>
    </xf>
    <xf borderId="0" fillId="0" fontId="4" numFmtId="169" xfId="0" applyAlignment="1" applyFont="1" applyNumberFormat="1">
      <alignment horizontal="center" vertical="center"/>
    </xf>
    <xf borderId="0" fillId="0" fontId="4" numFmtId="169" xfId="0" applyAlignment="1" applyFont="1" applyNumberFormat="1">
      <alignment vertical="center"/>
    </xf>
    <xf borderId="0" fillId="0" fontId="4" numFmtId="168" xfId="0" applyAlignment="1" applyFont="1" applyNumberFormat="1">
      <alignment horizontal="left" vertical="center"/>
    </xf>
    <xf borderId="8" fillId="2" fontId="4" numFmtId="0" xfId="0" applyAlignment="1" applyBorder="1" applyFont="1">
      <alignment horizontal="left" vertical="center" wrapText="1"/>
    </xf>
    <xf borderId="0" fillId="0" fontId="4" numFmtId="168" xfId="0" applyAlignment="1" applyFont="1" applyNumberFormat="1">
      <alignment horizontal="center" vertical="center"/>
    </xf>
    <xf borderId="11" fillId="2" fontId="4" numFmtId="0" xfId="0" applyAlignment="1" applyBorder="1" applyFont="1">
      <alignment/>
    </xf>
    <xf borderId="0" fillId="0" fontId="4" numFmtId="168" xfId="0" applyAlignment="1" applyFont="1" applyNumberFormat="1">
      <alignment horizontal="center" vertical="center"/>
    </xf>
    <xf borderId="0" fillId="0" fontId="4" numFmtId="168" xfId="0" applyAlignment="1" applyFont="1" applyNumberFormat="1">
      <alignment vertical="center"/>
    </xf>
    <xf borderId="0" fillId="0" fontId="4" numFmtId="169" xfId="0" applyAlignment="1" applyFont="1" applyNumberFormat="1">
      <alignment horizontal="center" vertical="center"/>
    </xf>
    <xf borderId="0" fillId="0" fontId="4" numFmtId="169" xfId="0" applyAlignment="1" applyFont="1" applyNumberFormat="1">
      <alignment vertical="center"/>
    </xf>
    <xf borderId="0" fillId="0" fontId="4" numFmtId="167" xfId="0" applyAlignment="1" applyFont="1" applyNumberFormat="1">
      <alignment horizontal="left" vertical="center"/>
    </xf>
    <xf borderId="0" fillId="0" fontId="14" numFmtId="168" xfId="0" applyAlignment="1" applyFont="1" applyNumberFormat="1">
      <alignment vertical="center"/>
    </xf>
    <xf borderId="0" fillId="0" fontId="3" numFmtId="168" xfId="0" applyAlignment="1" applyFont="1" applyNumberFormat="1">
      <alignment horizontal="center" vertical="center"/>
    </xf>
    <xf borderId="0" fillId="0" fontId="3" numFmtId="168" xfId="0" applyAlignment="1" applyFont="1" applyNumberFormat="1">
      <alignment horizontal="center" vertical="center"/>
    </xf>
    <xf borderId="0" fillId="0" fontId="4" numFmtId="0" xfId="0" applyAlignment="1" applyFont="1">
      <alignment vertical="center"/>
    </xf>
    <xf borderId="0" fillId="0" fontId="3" numFmtId="168" xfId="0" applyAlignment="1" applyFont="1" applyNumberFormat="1">
      <alignment horizontal="left" vertical="center"/>
    </xf>
    <xf borderId="0" fillId="0" fontId="4" numFmtId="4" xfId="0" applyAlignment="1" applyFont="1" applyNumberFormat="1">
      <alignment horizontal="center" vertical="center"/>
    </xf>
    <xf borderId="0" fillId="0" fontId="4" numFmtId="170" xfId="0" applyAlignment="1" applyFont="1" applyNumberFormat="1">
      <alignment horizontal="center" vertical="center"/>
    </xf>
    <xf borderId="0" fillId="0" fontId="3" numFmtId="0" xfId="0" applyAlignment="1" applyFont="1">
      <alignment vertical="center"/>
    </xf>
    <xf borderId="0" fillId="0" fontId="3" numFmtId="0" xfId="0" applyAlignment="1" applyFont="1">
      <alignment vertical="center"/>
    </xf>
    <xf borderId="0" fillId="0" fontId="4" numFmtId="171" xfId="0" applyAlignment="1" applyFont="1" applyNumberFormat="1">
      <alignment horizontal="center" vertical="center"/>
    </xf>
    <xf borderId="0" fillId="0" fontId="3" numFmtId="4" xfId="0" applyAlignment="1" applyFont="1" applyNumberFormat="1">
      <alignment horizontal="center" vertical="center"/>
    </xf>
    <xf borderId="0" fillId="0" fontId="3" numFmtId="3" xfId="0" applyAlignment="1" applyFont="1" applyNumberFormat="1">
      <alignment horizontal="left" vertical="center"/>
    </xf>
    <xf borderId="0" fillId="0" fontId="4" numFmtId="3" xfId="0" applyAlignment="1" applyFont="1" applyNumberFormat="1">
      <alignment horizontal="left" vertical="center"/>
    </xf>
    <xf borderId="0" fillId="0" fontId="4" numFmtId="3" xfId="0" applyAlignment="1" applyFont="1" applyNumberFormat="1">
      <alignment horizontal="center" vertical="center"/>
    </xf>
    <xf borderId="0" fillId="0" fontId="4" numFmtId="0" xfId="0" applyAlignment="1" applyFont="1">
      <alignment vertical="center"/>
    </xf>
    <xf borderId="0" fillId="0" fontId="4" numFmtId="3" xfId="0" applyAlignment="1" applyFont="1" applyNumberFormat="1">
      <alignment vertical="center"/>
    </xf>
    <xf borderId="0" fillId="0" fontId="4" numFmtId="3" xfId="0" applyAlignment="1" applyFont="1" applyNumberFormat="1">
      <alignment vertical="center"/>
    </xf>
    <xf borderId="0" fillId="0" fontId="4" numFmtId="0" xfId="0" applyAlignment="1" applyFont="1">
      <alignment vertical="center" wrapText="1"/>
    </xf>
    <xf borderId="0" fillId="0" fontId="4" numFmtId="0" xfId="0" applyAlignment="1" applyFont="1">
      <alignment horizontal="center" vertical="center"/>
    </xf>
    <xf borderId="0" fillId="0" fontId="3" numFmtId="172" xfId="0" applyAlignment="1" applyFont="1" applyNumberFormat="1">
      <alignment vertical="center"/>
    </xf>
    <xf borderId="0" fillId="0" fontId="4" numFmtId="172" xfId="0" applyAlignment="1" applyFont="1" applyNumberFormat="1">
      <alignment vertical="center"/>
    </xf>
    <xf borderId="0" fillId="0" fontId="3" numFmtId="0" xfId="0" applyAlignment="1" applyFont="1">
      <alignment vertical="center" wrapText="1"/>
    </xf>
    <xf borderId="0" fillId="0" fontId="3" numFmtId="0" xfId="0" applyAlignment="1" applyFont="1">
      <alignment horizontal="center" vertical="center"/>
    </xf>
    <xf borderId="0" fillId="0" fontId="3" numFmtId="173" xfId="0" applyAlignment="1" applyFont="1" applyNumberFormat="1">
      <alignment horizontal="center" vertical="center"/>
    </xf>
    <xf borderId="0" fillId="0" fontId="3" numFmtId="173" xfId="0" applyAlignment="1" applyFont="1" applyNumberFormat="1">
      <alignment vertical="center"/>
    </xf>
    <xf borderId="0" fillId="0" fontId="3" numFmtId="2" xfId="0" applyAlignment="1" applyFont="1" applyNumberFormat="1">
      <alignment vertical="center"/>
    </xf>
    <xf borderId="0" fillId="0" fontId="3" numFmtId="171" xfId="0" applyAlignment="1" applyFont="1" applyNumberFormat="1">
      <alignment horizontal="center" vertical="center"/>
    </xf>
    <xf borderId="0" fillId="0" fontId="4" numFmtId="4" xfId="0" applyAlignment="1" applyFont="1" applyNumberFormat="1">
      <alignment vertical="center"/>
    </xf>
    <xf borderId="0" fillId="0" fontId="4" numFmtId="173" xfId="0" applyAlignment="1" applyFont="1" applyNumberFormat="1">
      <alignment horizontal="center" vertical="center"/>
    </xf>
    <xf borderId="0" fillId="0" fontId="3" numFmtId="2" xfId="0" applyAlignment="1" applyFont="1" applyNumberFormat="1">
      <alignment horizontal="center" vertical="center"/>
    </xf>
    <xf borderId="0" fillId="0" fontId="4" numFmtId="173" xfId="0" applyAlignment="1" applyFont="1" applyNumberFormat="1">
      <alignment vertical="center"/>
    </xf>
    <xf borderId="0" fillId="3" fontId="3" numFmtId="168" xfId="0" applyAlignment="1" applyFont="1" applyNumberFormat="1">
      <alignment vertical="center"/>
    </xf>
    <xf borderId="0" fillId="0" fontId="3" numFmtId="168" xfId="0" applyAlignment="1" applyFont="1" applyNumberFormat="1">
      <alignment vertical="center"/>
    </xf>
    <xf borderId="0" fillId="12" fontId="3" numFmtId="2" xfId="0" applyAlignment="1" applyFill="1" applyFont="1" applyNumberFormat="1">
      <alignment horizontal="center" vertical="center"/>
    </xf>
    <xf borderId="0" fillId="13" fontId="4" numFmtId="167" xfId="0" applyAlignment="1" applyFill="1" applyFont="1" applyNumberFormat="1">
      <alignment vertical="center"/>
    </xf>
    <xf borderId="0" fillId="12" fontId="3" numFmtId="0" xfId="0" applyAlignment="1" applyFont="1">
      <alignment vertical="center"/>
    </xf>
    <xf borderId="0" fillId="0" fontId="4" numFmtId="3" xfId="0" applyAlignment="1" applyFont="1" applyNumberFormat="1">
      <alignment horizontal="center" vertical="center"/>
    </xf>
    <xf borderId="0" fillId="0" fontId="3" numFmtId="4" xfId="0" applyAlignment="1" applyFont="1" applyNumberFormat="1">
      <alignment horizontal="center" vertical="center"/>
    </xf>
    <xf borderId="0" fillId="0" fontId="4" numFmtId="0" xfId="0" applyAlignment="1" applyFont="1">
      <alignment vertical="center"/>
    </xf>
    <xf borderId="0" fillId="0" fontId="4" numFmtId="2" xfId="0" applyAlignment="1" applyFont="1" applyNumberFormat="1">
      <alignment horizontal="center" vertical="center"/>
    </xf>
    <xf borderId="0" fillId="3" fontId="4" numFmtId="0" xfId="0" applyAlignment="1" applyFont="1">
      <alignment vertical="center"/>
    </xf>
    <xf borderId="0" fillId="3" fontId="4" numFmtId="168" xfId="0" applyAlignment="1" applyFont="1" applyNumberFormat="1">
      <alignment horizontal="center" vertical="center"/>
    </xf>
    <xf borderId="0" fillId="0" fontId="4" numFmtId="174" xfId="0" applyAlignment="1" applyFont="1" applyNumberFormat="1">
      <alignment vertical="center"/>
    </xf>
    <xf borderId="0" fillId="0" fontId="4" numFmtId="174" xfId="0" applyAlignment="1" applyFont="1" applyNumberFormat="1">
      <alignment vertical="center"/>
    </xf>
    <xf borderId="0" fillId="13" fontId="3" numFmtId="173" xfId="0" applyAlignment="1" applyFont="1" applyNumberFormat="1">
      <alignment vertical="center"/>
    </xf>
    <xf borderId="0" fillId="14" fontId="3" numFmtId="0" xfId="0" applyAlignment="1" applyFill="1" applyFont="1">
      <alignment horizontal="center" vertical="center"/>
    </xf>
    <xf borderId="0" fillId="14" fontId="3" numFmtId="0" xfId="0" applyAlignment="1" applyFont="1">
      <alignment horizontal="center" vertical="center"/>
    </xf>
    <xf borderId="0" fillId="14" fontId="3" numFmtId="173" xfId="0" applyAlignment="1" applyFont="1" applyNumberFormat="1">
      <alignment horizontal="center" vertical="center"/>
    </xf>
    <xf borderId="0" fillId="0" fontId="12" numFmtId="172" xfId="0" applyAlignment="1" applyFont="1" applyNumberFormat="1">
      <alignment/>
    </xf>
    <xf borderId="0" fillId="0" fontId="12" numFmtId="175" xfId="0" applyAlignment="1" applyFont="1" applyNumberFormat="1">
      <alignment vertical="top" wrapText="1"/>
    </xf>
    <xf borderId="0" fillId="0" fontId="10" numFmtId="175" xfId="0" applyAlignment="1" applyFont="1" applyNumberFormat="1">
      <alignment vertical="top" wrapText="1"/>
    </xf>
    <xf borderId="0" fillId="3" fontId="4" numFmtId="168" xfId="0" applyAlignment="1" applyFont="1" applyNumberFormat="1">
      <alignment horizontal="center" vertical="center"/>
    </xf>
    <xf borderId="0" fillId="0" fontId="10" numFmtId="0" xfId="0" applyAlignment="1" applyFont="1">
      <alignment vertical="top" wrapText="1"/>
    </xf>
    <xf borderId="0" fillId="0" fontId="10" numFmtId="9" xfId="0" applyAlignment="1" applyFont="1" applyNumberFormat="1">
      <alignment vertical="top" wrapText="1"/>
    </xf>
    <xf borderId="0" fillId="0" fontId="12" numFmtId="10" xfId="0" applyAlignment="1" applyFont="1" applyNumberFormat="1">
      <alignment vertical="top" wrapText="1"/>
    </xf>
    <xf borderId="0" fillId="0" fontId="12" numFmtId="176" xfId="0" applyAlignment="1" applyFont="1" applyNumberFormat="1">
      <alignment/>
    </xf>
    <xf borderId="0" fillId="0" fontId="12" numFmtId="10" xfId="0" applyAlignment="1" applyFont="1" applyNumberFormat="1">
      <alignment vertical="top" wrapText="1"/>
    </xf>
    <xf borderId="0" fillId="0" fontId="15" numFmtId="0" xfId="0" applyAlignment="1" applyFont="1">
      <alignment horizontal="center" vertical="top" wrapText="1"/>
    </xf>
    <xf borderId="1" fillId="0" fontId="16" numFmtId="0" xfId="0" applyAlignment="1" applyBorder="1" applyFont="1">
      <alignment horizontal="center" vertical="top" wrapText="1"/>
    </xf>
    <xf borderId="3" fillId="15" fontId="17" numFmtId="0" xfId="0" applyAlignment="1" applyBorder="1" applyFill="1" applyFont="1">
      <alignment horizontal="center" vertical="top" wrapText="1"/>
    </xf>
    <xf borderId="3" fillId="15" fontId="17" numFmtId="175" xfId="0" applyAlignment="1" applyBorder="1" applyFont="1" applyNumberFormat="1">
      <alignment horizontal="center" vertical="top" wrapText="1"/>
    </xf>
    <xf borderId="3" fillId="15" fontId="12" numFmtId="0" xfId="0" applyAlignment="1" applyBorder="1" applyFont="1">
      <alignment vertical="top" wrapText="1"/>
    </xf>
    <xf borderId="7" fillId="0" fontId="12" numFmtId="0" xfId="0" applyAlignment="1" applyBorder="1" applyFont="1">
      <alignment vertical="top" wrapText="1"/>
    </xf>
    <xf borderId="3" fillId="0" fontId="12" numFmtId="0" xfId="0" applyAlignment="1" applyBorder="1" applyFont="1">
      <alignment horizontal="center"/>
    </xf>
    <xf borderId="3" fillId="0" fontId="18" numFmtId="0" xfId="0" applyAlignment="1" applyBorder="1" applyFont="1">
      <alignment vertical="top" wrapText="1"/>
    </xf>
    <xf borderId="3" fillId="0" fontId="18" numFmtId="0" xfId="0" applyAlignment="1" applyBorder="1" applyFont="1">
      <alignment horizontal="center" vertical="top" wrapText="1"/>
    </xf>
    <xf borderId="3" fillId="0" fontId="18" numFmtId="3" xfId="0" applyAlignment="1" applyBorder="1" applyFont="1" applyNumberFormat="1">
      <alignment horizontal="right" vertical="top" wrapText="1"/>
    </xf>
    <xf borderId="3" fillId="0" fontId="18" numFmtId="3" xfId="0" applyAlignment="1" applyBorder="1" applyFont="1" applyNumberFormat="1">
      <alignment vertical="top" wrapText="1"/>
    </xf>
    <xf borderId="3" fillId="0" fontId="12" numFmtId="0" xfId="0" applyAlignment="1" applyBorder="1" applyFont="1">
      <alignment vertical="top" wrapText="1"/>
    </xf>
    <xf borderId="3" fillId="0" fontId="12" numFmtId="0" xfId="0" applyAlignment="1" applyBorder="1" applyFont="1">
      <alignment horizontal="center" wrapText="1"/>
    </xf>
    <xf borderId="0" fillId="0" fontId="12" numFmtId="0" xfId="0" applyAlignment="1" applyFont="1">
      <alignment vertical="top" wrapText="1"/>
    </xf>
    <xf borderId="0" fillId="0" fontId="12" numFmtId="2" xfId="0" applyAlignment="1" applyFont="1" applyNumberFormat="1">
      <alignment vertical="top" wrapText="1"/>
    </xf>
    <xf borderId="0" fillId="0" fontId="12" numFmtId="3" xfId="0" applyAlignment="1" applyFont="1" applyNumberFormat="1">
      <alignment vertical="top" wrapText="1"/>
    </xf>
    <xf borderId="3" fillId="13" fontId="12" numFmtId="0" xfId="0" applyAlignment="1" applyBorder="1" applyFont="1">
      <alignment horizontal="center"/>
    </xf>
    <xf borderId="0" fillId="0" fontId="12" numFmtId="0" xfId="0" applyAlignment="1" applyFont="1">
      <alignment vertical="top" wrapText="1"/>
    </xf>
    <xf borderId="3" fillId="0" fontId="12" numFmtId="0" xfId="0" applyAlignment="1" applyBorder="1" applyFont="1">
      <alignment vertical="top" wrapText="1"/>
    </xf>
    <xf borderId="3" fillId="13" fontId="18" numFmtId="3" xfId="0" applyAlignment="1" applyBorder="1" applyFont="1" applyNumberFormat="1">
      <alignment horizontal="right" vertical="top" wrapText="1"/>
    </xf>
    <xf borderId="3" fillId="0" fontId="12" numFmtId="0" xfId="0" applyAlignment="1" applyBorder="1" applyFont="1">
      <alignment horizontal="center" wrapText="1"/>
    </xf>
    <xf borderId="3" fillId="16" fontId="19" numFmtId="0" xfId="0" applyAlignment="1" applyBorder="1" applyFill="1" applyFont="1">
      <alignment horizontal="center" vertical="top" wrapText="1"/>
    </xf>
    <xf borderId="5" fillId="16" fontId="19" numFmtId="0" xfId="0" applyAlignment="1" applyBorder="1" applyFont="1">
      <alignment horizontal="center" vertical="top" wrapText="1"/>
    </xf>
    <xf borderId="3" fillId="16" fontId="19" numFmtId="3" xfId="0" applyAlignment="1" applyBorder="1" applyFont="1" applyNumberFormat="1">
      <alignment horizontal="right" vertical="top" wrapText="1"/>
    </xf>
    <xf borderId="3" fillId="16" fontId="19" numFmtId="3" xfId="0" applyAlignment="1" applyBorder="1" applyFont="1" applyNumberFormat="1">
      <alignment vertical="top" wrapText="1"/>
    </xf>
    <xf borderId="0" fillId="0" fontId="3" numFmtId="169" xfId="0" applyAlignment="1" applyFont="1" applyNumberFormat="1">
      <alignment vertical="center"/>
    </xf>
    <xf borderId="0" fillId="0" fontId="3" numFmtId="169" xfId="0" applyAlignment="1" applyFont="1" applyNumberFormat="1">
      <alignment horizontal="center" vertical="center"/>
    </xf>
    <xf borderId="0" fillId="0" fontId="3" numFmtId="2" xfId="0" applyAlignment="1" applyFont="1" applyNumberFormat="1">
      <alignment horizontal="center" vertical="center"/>
    </xf>
    <xf borderId="4" fillId="0" fontId="19" numFmtId="0" xfId="0" applyAlignment="1" applyBorder="1" applyFont="1">
      <alignment horizontal="center" vertical="top" wrapText="1"/>
    </xf>
    <xf borderId="4" fillId="0" fontId="19" numFmtId="0" xfId="0" applyAlignment="1" applyBorder="1" applyFont="1">
      <alignment horizontal="center" vertical="top" wrapText="1"/>
    </xf>
    <xf borderId="4" fillId="0" fontId="19" numFmtId="3" xfId="0" applyAlignment="1" applyBorder="1" applyFont="1" applyNumberFormat="1">
      <alignment horizontal="right" vertical="top" wrapText="1"/>
    </xf>
    <xf borderId="4" fillId="0" fontId="19" numFmtId="3" xfId="0" applyAlignment="1" applyBorder="1" applyFont="1" applyNumberFormat="1">
      <alignment vertical="top" wrapText="1"/>
    </xf>
    <xf borderId="0" fillId="0" fontId="19" numFmtId="0" xfId="0" applyAlignment="1" applyFont="1">
      <alignment horizontal="center" vertical="top" wrapText="1"/>
    </xf>
    <xf borderId="0" fillId="0" fontId="19" numFmtId="0" xfId="0" applyAlignment="1" applyFont="1">
      <alignment horizontal="center" vertical="top" wrapText="1"/>
    </xf>
    <xf borderId="0" fillId="0" fontId="19" numFmtId="3" xfId="0" applyAlignment="1" applyFont="1" applyNumberFormat="1">
      <alignment horizontal="right" vertical="top" wrapText="1"/>
    </xf>
    <xf borderId="0" fillId="0" fontId="19" numFmtId="3" xfId="0" applyAlignment="1" applyFont="1" applyNumberFormat="1">
      <alignment vertical="top" wrapText="1"/>
    </xf>
    <xf borderId="0" fillId="0" fontId="12" numFmtId="0" xfId="0" applyAlignment="1" applyFont="1">
      <alignment horizontal="center"/>
    </xf>
    <xf borderId="0" fillId="0" fontId="12" numFmtId="0" xfId="0" applyAlignment="1" applyFont="1">
      <alignment horizontal="center" wrapText="1"/>
    </xf>
    <xf borderId="0" fillId="0" fontId="12" numFmtId="0" xfId="0" applyAlignment="1" applyFont="1">
      <alignment horizontal="center" wrapText="1"/>
    </xf>
    <xf borderId="0" fillId="0" fontId="18" numFmtId="3" xfId="0" applyAlignment="1" applyFont="1" applyNumberFormat="1">
      <alignment vertical="top" wrapText="1"/>
    </xf>
    <xf borderId="0" fillId="0" fontId="12" numFmtId="0" xfId="0" applyAlignment="1" applyFont="1">
      <alignment vertical="top" wrapText="1"/>
    </xf>
    <xf borderId="1" fillId="0" fontId="20" numFmtId="0" xfId="0" applyAlignment="1" applyBorder="1" applyFont="1">
      <alignment horizontal="center" vertical="top" wrapText="1"/>
    </xf>
    <xf borderId="3" fillId="0" fontId="18" numFmtId="3" xfId="0" applyAlignment="1" applyBorder="1" applyFont="1" applyNumberFormat="1">
      <alignment vertical="top" wrapText="1"/>
    </xf>
    <xf borderId="3" fillId="0" fontId="12" numFmtId="0" xfId="0" applyAlignment="1" applyBorder="1" applyFont="1">
      <alignment vertical="top" wrapText="1"/>
    </xf>
    <xf borderId="3" fillId="0" fontId="12" numFmtId="0" xfId="0" applyAlignment="1" applyBorder="1" applyFont="1">
      <alignment horizontal="center"/>
    </xf>
    <xf borderId="3" fillId="0" fontId="18" numFmtId="0" xfId="0" applyAlignment="1" applyBorder="1" applyFont="1">
      <alignment vertical="top" wrapText="1"/>
    </xf>
    <xf borderId="3" fillId="0" fontId="18" numFmtId="0" xfId="0" applyAlignment="1" applyBorder="1" applyFont="1">
      <alignment horizontal="center" vertical="top" wrapText="1"/>
    </xf>
    <xf borderId="3" fillId="0" fontId="21" numFmtId="0" xfId="0" applyAlignment="1" applyBorder="1" applyFont="1">
      <alignment horizontal="center" vertical="center"/>
    </xf>
    <xf borderId="3" fillId="0" fontId="12" numFmtId="0" xfId="0" applyAlignment="1" applyBorder="1" applyFont="1">
      <alignment horizontal="left" vertical="center"/>
    </xf>
    <xf borderId="3" fillId="0" fontId="18" numFmtId="3" xfId="0" applyAlignment="1" applyBorder="1" applyFont="1" applyNumberFormat="1">
      <alignment horizontal="right" vertical="center" wrapText="1"/>
    </xf>
    <xf borderId="3" fillId="0" fontId="12" numFmtId="0" xfId="0" applyAlignment="1" applyBorder="1" applyFont="1">
      <alignment/>
    </xf>
    <xf borderId="5" fillId="0" fontId="18" numFmtId="3" xfId="0" applyAlignment="1" applyBorder="1" applyFont="1" applyNumberFormat="1">
      <alignment horizontal="right" vertical="center" wrapText="1"/>
    </xf>
    <xf borderId="3" fillId="0" fontId="22" numFmtId="175" xfId="0" applyAlignment="1" applyBorder="1" applyFont="1" applyNumberFormat="1">
      <alignment horizontal="center" vertical="center" wrapText="1"/>
    </xf>
    <xf borderId="11" fillId="0" fontId="21" numFmtId="0" xfId="0" applyAlignment="1" applyBorder="1" applyFont="1">
      <alignment horizontal="center" vertical="center"/>
    </xf>
    <xf borderId="4" fillId="0" fontId="12" numFmtId="0" xfId="0" applyAlignment="1" applyBorder="1" applyFont="1">
      <alignment/>
    </xf>
    <xf borderId="4" fillId="0" fontId="22" numFmtId="175" xfId="0" applyAlignment="1" applyBorder="1" applyFont="1" applyNumberFormat="1">
      <alignment horizontal="center" vertical="center" wrapText="1"/>
    </xf>
    <xf borderId="4" fillId="0" fontId="12" numFmtId="0" xfId="0" applyAlignment="1" applyBorder="1" applyFont="1">
      <alignment horizontal="center"/>
    </xf>
    <xf borderId="4" fillId="0" fontId="18" numFmtId="3" xfId="0" applyAlignment="1" applyBorder="1" applyFont="1" applyNumberFormat="1">
      <alignment vertical="top" wrapText="1"/>
    </xf>
    <xf borderId="4" fillId="0" fontId="18" numFmtId="3" xfId="0" applyAlignment="1" applyBorder="1" applyFont="1" applyNumberFormat="1">
      <alignment horizontal="right" vertical="center" wrapText="1"/>
    </xf>
    <xf borderId="4" fillId="0" fontId="12" numFmtId="0" xfId="0" applyAlignment="1" applyBorder="1" applyFont="1">
      <alignment vertical="top" wrapText="1"/>
    </xf>
    <xf borderId="4" fillId="0" fontId="18" numFmtId="0" xfId="0" applyAlignment="1" applyBorder="1" applyFont="1">
      <alignment vertical="top" wrapText="1"/>
    </xf>
    <xf borderId="3" fillId="0" fontId="18" numFmtId="3" xfId="0" applyAlignment="1" applyBorder="1" applyFont="1" applyNumberFormat="1">
      <alignment horizontal="right" vertical="top" wrapText="1"/>
    </xf>
    <xf borderId="0" fillId="17" fontId="4" numFmtId="168" xfId="0" applyAlignment="1" applyFill="1" applyFont="1" applyNumberFormat="1">
      <alignment horizontal="center" vertical="center"/>
    </xf>
    <xf borderId="0" fillId="17" fontId="4" numFmtId="168" xfId="0" applyAlignment="1" applyFont="1" applyNumberFormat="1">
      <alignment horizontal="center" vertical="center"/>
    </xf>
    <xf borderId="3" fillId="0" fontId="12" numFmtId="0" xfId="0" applyAlignment="1" applyBorder="1" applyFont="1">
      <alignment horizontal="left" wrapText="1"/>
    </xf>
    <xf borderId="3" fillId="0" fontId="12" numFmtId="3" xfId="0" applyAlignment="1" applyBorder="1" applyFont="1" applyNumberFormat="1">
      <alignment wrapText="1"/>
    </xf>
    <xf borderId="3" fillId="0" fontId="12" numFmtId="0" xfId="0" applyAlignment="1" applyBorder="1" applyFont="1">
      <alignment horizontal="left"/>
    </xf>
    <xf borderId="3" fillId="0" fontId="12" numFmtId="0" xfId="0" applyAlignment="1" applyBorder="1" applyFont="1">
      <alignment horizontal="left" vertical="center" wrapText="1"/>
    </xf>
    <xf borderId="0" fillId="0" fontId="3" numFmtId="169" xfId="0" applyAlignment="1" applyFont="1" applyNumberFormat="1">
      <alignment horizontal="center" vertical="center"/>
    </xf>
    <xf borderId="3" fillId="13" fontId="12" numFmtId="0" xfId="0" applyAlignment="1" applyBorder="1" applyFont="1">
      <alignment wrapText="1"/>
    </xf>
    <xf borderId="3" fillId="7" fontId="12" numFmtId="0" xfId="0" applyAlignment="1" applyBorder="1" applyFont="1">
      <alignment horizontal="left" wrapText="1"/>
    </xf>
    <xf borderId="0" fillId="0" fontId="4" numFmtId="1" xfId="0" applyAlignment="1" applyFont="1" applyNumberFormat="1">
      <alignment horizontal="center" vertical="center"/>
    </xf>
    <xf borderId="3" fillId="13" fontId="12" numFmtId="3" xfId="0" applyAlignment="1" applyBorder="1" applyFont="1" applyNumberFormat="1">
      <alignment wrapText="1"/>
    </xf>
    <xf borderId="0" fillId="0" fontId="3" numFmtId="177" xfId="0" applyAlignment="1" applyFont="1" applyNumberFormat="1">
      <alignment horizontal="center" vertical="center"/>
    </xf>
    <xf borderId="3" fillId="0" fontId="12" numFmtId="0" xfId="0" applyAlignment="1" applyBorder="1" applyFont="1">
      <alignment wrapText="1"/>
    </xf>
    <xf borderId="0" fillId="0" fontId="4" numFmtId="1" xfId="0" applyAlignment="1" applyFont="1" applyNumberFormat="1">
      <alignment horizontal="center" vertical="center"/>
    </xf>
    <xf borderId="0" fillId="0" fontId="23" numFmtId="168" xfId="0" applyAlignment="1" applyFont="1" applyNumberFormat="1">
      <alignment horizontal="center" vertical="center"/>
    </xf>
    <xf borderId="0" fillId="0" fontId="4" numFmtId="2" xfId="0" applyAlignment="1" applyFont="1" applyNumberFormat="1">
      <alignment horizontal="center" vertical="center"/>
    </xf>
    <xf borderId="0" fillId="0" fontId="3" numFmtId="167" xfId="0" applyAlignment="1" applyFont="1" applyNumberFormat="1">
      <alignment vertical="center"/>
    </xf>
    <xf borderId="0" fillId="0" fontId="24" numFmtId="167" xfId="0" applyAlignment="1" applyFont="1" applyNumberFormat="1">
      <alignment horizontal="center" vertical="center"/>
    </xf>
    <xf borderId="0" fillId="0" fontId="4" numFmtId="175" xfId="0" applyAlignment="1" applyFont="1" applyNumberFormat="1">
      <alignment vertical="top" wrapText="1"/>
    </xf>
    <xf borderId="1" fillId="0" fontId="12" numFmtId="175" xfId="0" applyAlignment="1" applyBorder="1" applyFont="1" applyNumberFormat="1">
      <alignment vertical="top" wrapText="1"/>
    </xf>
    <xf borderId="1" fillId="0" fontId="12" numFmtId="10" xfId="0" applyAlignment="1" applyBorder="1" applyFont="1" applyNumberFormat="1">
      <alignment vertical="top" wrapText="1"/>
    </xf>
    <xf borderId="5" fillId="18" fontId="25" numFmtId="0" xfId="0" applyAlignment="1" applyBorder="1" applyFill="1" applyFont="1">
      <alignment horizontal="center" vertical="center" wrapText="1"/>
    </xf>
    <xf borderId="3" fillId="19" fontId="26" numFmtId="2" xfId="0" applyAlignment="1" applyBorder="1" applyFill="1" applyFont="1" applyNumberFormat="1">
      <alignment horizontal="left" vertical="center" wrapText="1"/>
    </xf>
    <xf borderId="0" fillId="0" fontId="4" numFmtId="177" xfId="0" applyAlignment="1" applyFont="1" applyNumberFormat="1">
      <alignment horizontal="center" vertical="center"/>
    </xf>
    <xf borderId="0" fillId="0" fontId="4" numFmtId="10" xfId="0" applyAlignment="1" applyFont="1" applyNumberFormat="1">
      <alignment vertical="top" wrapText="1"/>
    </xf>
    <xf borderId="0" fillId="0" fontId="4" numFmtId="3" xfId="0" applyAlignment="1" applyFont="1" applyNumberFormat="1">
      <alignment/>
    </xf>
    <xf borderId="0" fillId="0" fontId="4" numFmtId="172" xfId="0" applyAlignment="1" applyFont="1" applyNumberFormat="1">
      <alignment/>
    </xf>
    <xf borderId="0" fillId="0" fontId="4" numFmtId="0" xfId="0" applyAlignment="1" applyFont="1">
      <alignment/>
    </xf>
    <xf borderId="0" fillId="9" fontId="4" numFmtId="172" xfId="0" applyAlignment="1" applyFont="1" applyNumberFormat="1">
      <alignment/>
    </xf>
    <xf borderId="5" fillId="20" fontId="27" numFmtId="0" xfId="0" applyAlignment="1" applyBorder="1" applyFill="1" applyFont="1">
      <alignment horizontal="center"/>
    </xf>
    <xf borderId="3" fillId="21" fontId="27" numFmtId="0" xfId="0" applyAlignment="1" applyBorder="1" applyFill="1" applyFont="1">
      <alignment horizontal="center"/>
    </xf>
    <xf borderId="3" fillId="21" fontId="27" numFmtId="0" xfId="0" applyAlignment="1" applyBorder="1" applyFont="1">
      <alignment horizontal="center" wrapText="1"/>
    </xf>
    <xf borderId="3" fillId="9" fontId="4" numFmtId="3" xfId="0" applyAlignment="1" applyBorder="1" applyFont="1" applyNumberFormat="1">
      <alignment horizontal="left"/>
    </xf>
    <xf borderId="3" fillId="0" fontId="4" numFmtId="3" xfId="0" applyAlignment="1" applyBorder="1" applyFont="1" applyNumberFormat="1">
      <alignment horizontal="left"/>
    </xf>
    <xf borderId="3" fillId="0" fontId="4" numFmtId="3" xfId="0" applyAlignment="1" applyBorder="1" applyFont="1" applyNumberFormat="1">
      <alignment horizontal="left"/>
    </xf>
    <xf borderId="3" fillId="0" fontId="4" numFmtId="0" xfId="0" applyAlignment="1" applyBorder="1" applyFont="1">
      <alignment horizontal="left"/>
    </xf>
    <xf borderId="3" fillId="9" fontId="4" numFmtId="0" xfId="0" applyAlignment="1" applyBorder="1" applyFont="1">
      <alignment horizontal="left"/>
    </xf>
    <xf borderId="3" fillId="19" fontId="26" numFmtId="0" xfId="0" applyAlignment="1" applyBorder="1" applyFont="1">
      <alignment horizontal="left" vertical="center" wrapText="1"/>
    </xf>
    <xf borderId="3" fillId="19" fontId="26" numFmtId="0" xfId="0" applyAlignment="1" applyBorder="1" applyFont="1">
      <alignment horizontal="center" vertical="center" wrapText="1"/>
    </xf>
    <xf borderId="3" fillId="19" fontId="26" numFmtId="0" xfId="0" applyAlignment="1" applyBorder="1" applyFont="1">
      <alignment horizontal="center" vertical="center" wrapText="1"/>
    </xf>
    <xf borderId="3" fillId="19" fontId="28" numFmtId="0" xfId="0" applyAlignment="1" applyBorder="1" applyFont="1">
      <alignment horizontal="center" vertical="center" wrapText="1"/>
    </xf>
    <xf borderId="5" fillId="22" fontId="26" numFmtId="0" xfId="0" applyAlignment="1" applyBorder="1" applyFill="1" applyFont="1">
      <alignment horizontal="left" vertical="center" wrapText="1"/>
    </xf>
    <xf borderId="3" fillId="9" fontId="26" numFmtId="0" xfId="0" applyAlignment="1" applyBorder="1" applyFont="1">
      <alignment vertical="center" wrapText="1"/>
    </xf>
    <xf borderId="3" fillId="9" fontId="28" numFmtId="0" xfId="0" applyAlignment="1" applyBorder="1" applyFont="1">
      <alignment vertical="center" wrapText="1"/>
    </xf>
    <xf borderId="3" fillId="0" fontId="29" numFmtId="173" xfId="0" applyAlignment="1" applyBorder="1" applyFont="1" applyNumberFormat="1">
      <alignment horizontal="center" vertical="center" wrapText="1"/>
    </xf>
    <xf borderId="3" fillId="0" fontId="29" numFmtId="0" xfId="0" applyAlignment="1" applyBorder="1" applyFont="1">
      <alignment horizontal="left" vertical="center" wrapText="1"/>
    </xf>
    <xf borderId="3" fillId="0" fontId="29" numFmtId="0" xfId="0" applyAlignment="1" applyBorder="1" applyFont="1">
      <alignment horizontal="left" vertical="center"/>
    </xf>
    <xf borderId="3" fillId="0" fontId="29" numFmtId="0" xfId="0" applyAlignment="1" applyBorder="1" applyFont="1">
      <alignment horizontal="center" vertical="center"/>
    </xf>
    <xf borderId="3" fillId="0" fontId="29" numFmtId="178" xfId="0" applyAlignment="1" applyBorder="1" applyFont="1" applyNumberFormat="1">
      <alignment horizontal="left" vertical="center"/>
    </xf>
    <xf borderId="3" fillId="0" fontId="30" numFmtId="178" xfId="0" applyAlignment="1" applyBorder="1" applyFont="1" applyNumberFormat="1">
      <alignment horizontal="left" vertical="center"/>
    </xf>
    <xf borderId="3" fillId="0" fontId="30" numFmtId="178" xfId="0" applyAlignment="1" applyBorder="1" applyFont="1" applyNumberFormat="1">
      <alignment horizontal="left" vertical="center"/>
    </xf>
    <xf borderId="3" fillId="0" fontId="28" numFmtId="0" xfId="0" applyAlignment="1" applyBorder="1" applyFont="1">
      <alignment horizontal="left" vertical="center" wrapText="1"/>
    </xf>
    <xf borderId="3" fillId="9" fontId="29" numFmtId="0" xfId="0" applyAlignment="1" applyBorder="1" applyFont="1">
      <alignment horizontal="left" vertical="center" wrapText="1"/>
    </xf>
    <xf borderId="3" fillId="9" fontId="29" numFmtId="0" xfId="0" applyAlignment="1" applyBorder="1" applyFont="1">
      <alignment horizontal="left" vertical="center"/>
    </xf>
    <xf borderId="3" fillId="9" fontId="29" numFmtId="0" xfId="0" applyAlignment="1" applyBorder="1" applyFont="1">
      <alignment horizontal="center" vertical="center"/>
    </xf>
    <xf borderId="3" fillId="9" fontId="29" numFmtId="178" xfId="0" applyAlignment="1" applyBorder="1" applyFont="1" applyNumberFormat="1">
      <alignment horizontal="left" vertical="center"/>
    </xf>
    <xf borderId="3" fillId="9" fontId="30" numFmtId="178" xfId="0" applyAlignment="1" applyBorder="1" applyFont="1" applyNumberFormat="1">
      <alignment horizontal="left" vertical="center"/>
    </xf>
    <xf borderId="3" fillId="9" fontId="30" numFmtId="178" xfId="0" applyAlignment="1" applyBorder="1" applyFont="1" applyNumberFormat="1">
      <alignment horizontal="left" vertical="center"/>
    </xf>
    <xf borderId="3" fillId="9" fontId="28" numFmtId="0" xfId="0" applyAlignment="1" applyBorder="1" applyFont="1">
      <alignment horizontal="left" vertical="center" wrapText="1"/>
    </xf>
    <xf borderId="3" fillId="0" fontId="29" numFmtId="2" xfId="0" applyAlignment="1" applyBorder="1" applyFont="1" applyNumberFormat="1">
      <alignment horizontal="center" vertical="center" wrapText="1"/>
    </xf>
    <xf borderId="3" fillId="0" fontId="31" numFmtId="0" xfId="0" applyAlignment="1" applyBorder="1" applyFont="1">
      <alignment vertical="center" wrapText="1"/>
    </xf>
    <xf borderId="5" fillId="22" fontId="26" numFmtId="0" xfId="0" applyAlignment="1" applyBorder="1" applyFont="1">
      <alignment vertical="center" wrapText="1"/>
    </xf>
    <xf borderId="3" fillId="9" fontId="30" numFmtId="0" xfId="0" applyAlignment="1" applyBorder="1" applyFont="1">
      <alignment vertical="center" wrapText="1"/>
    </xf>
    <xf borderId="7" fillId="9" fontId="32" numFmtId="0" xfId="0" applyAlignment="1" applyBorder="1" applyFont="1">
      <alignment/>
    </xf>
    <xf borderId="3" fillId="9" fontId="29" numFmtId="2" xfId="0" applyAlignment="1" applyBorder="1" applyFont="1" applyNumberFormat="1">
      <alignment horizontal="center" vertical="center" wrapText="1"/>
    </xf>
    <xf borderId="3" fillId="13" fontId="29" numFmtId="0" xfId="0" applyAlignment="1" applyBorder="1" applyFont="1">
      <alignment horizontal="center" vertical="center"/>
    </xf>
    <xf borderId="3" fillId="0" fontId="28" numFmtId="0" xfId="0" applyAlignment="1" applyBorder="1" applyFont="1">
      <alignment vertical="center" wrapText="1"/>
    </xf>
    <xf borderId="3" fillId="0" fontId="31" numFmtId="179" xfId="0" applyAlignment="1" applyBorder="1" applyFont="1" applyNumberFormat="1">
      <alignment vertical="center" wrapText="1"/>
    </xf>
    <xf borderId="3" fillId="9" fontId="31" numFmtId="0" xfId="0" applyAlignment="1" applyBorder="1" applyFont="1">
      <alignment vertical="center" wrapText="1"/>
    </xf>
    <xf borderId="3" fillId="9" fontId="4" numFmtId="3" xfId="0" applyAlignment="1" applyBorder="1" applyFont="1" applyNumberFormat="1">
      <alignment horizontal="left"/>
    </xf>
    <xf borderId="11" fillId="0" fontId="4" numFmtId="0" xfId="0" applyAlignment="1" applyBorder="1" applyFont="1">
      <alignment/>
    </xf>
    <xf borderId="10" fillId="0" fontId="4" numFmtId="0" xfId="0" applyAlignment="1" applyBorder="1" applyFont="1">
      <alignment wrapText="1"/>
    </xf>
    <xf borderId="14" fillId="0" fontId="4" numFmtId="0" xfId="0" applyAlignment="1" applyBorder="1" applyFont="1">
      <alignment/>
    </xf>
    <xf borderId="1" fillId="0" fontId="4" numFmtId="0" xfId="0" applyAlignment="1" applyBorder="1" applyFont="1">
      <alignment/>
    </xf>
    <xf borderId="1" fillId="0" fontId="4" numFmtId="3" xfId="0" applyAlignment="1" applyBorder="1" applyFont="1" applyNumberFormat="1">
      <alignment/>
    </xf>
    <xf borderId="1" fillId="0" fontId="4" numFmtId="3" xfId="0" applyAlignment="1" applyBorder="1" applyFont="1" applyNumberFormat="1">
      <alignment horizontal="left"/>
    </xf>
    <xf borderId="12" fillId="0" fontId="4" numFmtId="0" xfId="0" applyAlignment="1" applyBorder="1" applyFont="1">
      <alignment wrapText="1"/>
    </xf>
    <xf borderId="0" fillId="0" fontId="4" numFmtId="0" xfId="0" applyAlignment="1" applyFont="1">
      <alignment horizontal="center"/>
    </xf>
    <xf borderId="0" fillId="0" fontId="4" numFmtId="0" xfId="0" applyAlignment="1" applyFont="1">
      <alignment wrapText="1"/>
    </xf>
    <xf borderId="5" fillId="23" fontId="26" numFmtId="0" xfId="0" applyAlignment="1" applyBorder="1" applyFill="1" applyFont="1">
      <alignment vertical="center" wrapText="1"/>
    </xf>
    <xf borderId="3" fillId="9" fontId="26" numFmtId="0" xfId="0" applyAlignment="1" applyBorder="1" applyFont="1">
      <alignment horizontal="left" vertical="center" wrapText="1"/>
    </xf>
    <xf borderId="0" fillId="3" fontId="30" numFmtId="178" xfId="0" applyAlignment="1" applyFont="1" applyNumberFormat="1">
      <alignment horizontal="right" vertical="center"/>
    </xf>
    <xf borderId="0" fillId="0" fontId="30" numFmtId="168" xfId="0" applyAlignment="1" applyFont="1" applyNumberFormat="1">
      <alignment horizontal="right" vertical="center"/>
    </xf>
    <xf borderId="0" fillId="0" fontId="29" numFmtId="0" xfId="0" applyAlignment="1" applyFont="1">
      <alignment horizontal="left" vertical="center" wrapText="1"/>
    </xf>
    <xf borderId="0" fillId="0" fontId="29" numFmtId="0" xfId="0" applyAlignment="1" applyFont="1">
      <alignment horizontal="center" vertical="center"/>
    </xf>
    <xf borderId="0" fillId="9" fontId="30" numFmtId="178" xfId="0" applyAlignment="1" applyFont="1" applyNumberFormat="1">
      <alignment horizontal="left" vertical="center"/>
    </xf>
    <xf borderId="14" fillId="18" fontId="25" numFmtId="0" xfId="0" applyAlignment="1" applyBorder="1" applyFont="1">
      <alignment horizontal="center" vertical="center" wrapText="1"/>
    </xf>
    <xf borderId="5" fillId="23" fontId="26" numFmtId="0" xfId="0" applyAlignment="1" applyBorder="1" applyFont="1">
      <alignment horizontal="left" vertical="center" wrapText="1"/>
    </xf>
    <xf borderId="3" fillId="9" fontId="26" numFmtId="0" xfId="0" applyAlignment="1" applyBorder="1" applyFont="1">
      <alignment horizontal="center" vertical="center" wrapText="1"/>
    </xf>
    <xf borderId="3" fillId="9" fontId="28" numFmtId="0" xfId="0" applyAlignment="1" applyBorder="1" applyFont="1">
      <alignment horizontal="center" vertical="center" wrapText="1"/>
    </xf>
    <xf borderId="3" fillId="3" fontId="29" numFmtId="178" xfId="0" applyAlignment="1" applyBorder="1" applyFont="1" applyNumberFormat="1">
      <alignment horizontal="left" vertical="center"/>
    </xf>
    <xf borderId="8" fillId="0" fontId="30" numFmtId="178" xfId="0" applyAlignment="1" applyBorder="1" applyFont="1" applyNumberFormat="1">
      <alignment horizontal="left" vertical="center"/>
    </xf>
    <xf borderId="8" fillId="0" fontId="28" numFmtId="0" xfId="0" applyAlignment="1" applyBorder="1" applyFont="1">
      <alignment horizontal="left" vertical="center" wrapText="1"/>
    </xf>
    <xf borderId="9" fillId="0" fontId="30" numFmtId="178" xfId="0" applyAlignment="1" applyBorder="1" applyFont="1" applyNumberFormat="1">
      <alignment horizontal="left" vertical="center"/>
    </xf>
    <xf borderId="9" fillId="0" fontId="28" numFmtId="0" xfId="0" applyAlignment="1" applyBorder="1" applyFont="1">
      <alignment horizontal="left" vertical="center" wrapText="1"/>
    </xf>
    <xf borderId="13" fillId="0" fontId="30" numFmtId="178" xfId="0" applyAlignment="1" applyBorder="1" applyFont="1" applyNumberFormat="1">
      <alignment horizontal="left" vertical="center"/>
    </xf>
    <xf borderId="13" fillId="0" fontId="28" numFmtId="0" xfId="0" applyAlignment="1" applyBorder="1" applyFont="1">
      <alignment horizontal="left" vertical="center" wrapText="1"/>
    </xf>
    <xf borderId="3" fillId="0" fontId="29" numFmtId="0" xfId="0" applyAlignment="1" applyBorder="1" applyFont="1">
      <alignment horizontal="center" vertical="center" wrapText="1"/>
    </xf>
    <xf borderId="3" fillId="3" fontId="30" numFmtId="178" xfId="0" applyAlignment="1" applyBorder="1" applyFont="1" applyNumberFormat="1">
      <alignment horizontal="right" vertical="center"/>
    </xf>
    <xf borderId="11" fillId="3" fontId="30" numFmtId="178" xfId="0" applyAlignment="1" applyBorder="1" applyFont="1" applyNumberFormat="1">
      <alignment horizontal="right" vertical="center"/>
    </xf>
    <xf borderId="15" fillId="9" fontId="30" numFmtId="178" xfId="0" applyAlignment="1" applyBorder="1" applyFont="1" applyNumberFormat="1">
      <alignment horizontal="left" vertical="center"/>
    </xf>
    <xf borderId="5" fillId="3" fontId="2" numFmtId="0" xfId="0" applyAlignment="1" applyBorder="1" applyFont="1">
      <alignment/>
    </xf>
    <xf borderId="15" fillId="3" fontId="2" numFmtId="0" xfId="0" applyAlignment="1" applyBorder="1" applyFont="1">
      <alignment/>
    </xf>
    <xf borderId="6" fillId="3" fontId="2" numFmtId="178" xfId="0" applyAlignment="1" applyBorder="1" applyFont="1" applyNumberFormat="1">
      <alignment/>
    </xf>
    <xf borderId="7" fillId="3" fontId="2" numFmtId="178" xfId="0" applyAlignment="1" applyBorder="1" applyFont="1" applyNumberFormat="1">
      <alignment/>
    </xf>
    <xf borderId="0" fillId="0" fontId="32" numFmtId="0" xfId="0" applyAlignment="1" applyFont="1">
      <alignment/>
    </xf>
    <xf borderId="0" fillId="0" fontId="32" numFmtId="178" xfId="0" applyAlignment="1" applyFont="1" applyNumberFormat="1">
      <alignment/>
    </xf>
    <xf borderId="0" fillId="0" fontId="32" numFmtId="168" xfId="0" applyAlignment="1" applyFont="1" applyNumberFormat="1">
      <alignment/>
    </xf>
    <xf borderId="0" fillId="0" fontId="32" numFmtId="1" xfId="0" applyAlignment="1" applyFont="1" applyNumberFormat="1">
      <alignment/>
    </xf>
    <xf borderId="0" fillId="0" fontId="12" numFmtId="0" xfId="0" applyAlignment="1" applyFont="1">
      <alignment horizontal="left"/>
    </xf>
    <xf borderId="5" fillId="3" fontId="33" numFmtId="0" xfId="0" applyAlignment="1" applyBorder="1" applyFont="1">
      <alignment horizontal="center" vertical="top" wrapText="1"/>
    </xf>
    <xf borderId="3" fillId="3" fontId="10" numFmtId="0" xfId="0" applyAlignment="1" applyBorder="1" applyFont="1">
      <alignment horizontal="center" vertical="top" wrapText="1"/>
    </xf>
    <xf borderId="3" fillId="3" fontId="10" numFmtId="0" xfId="0" applyAlignment="1" applyBorder="1" applyFont="1">
      <alignment vertical="top" wrapText="1"/>
    </xf>
    <xf borderId="3" fillId="0" fontId="12" numFmtId="0" xfId="0" applyAlignment="1" applyBorder="1" applyFont="1">
      <alignment horizontal="center" vertical="top" wrapText="1"/>
    </xf>
    <xf borderId="3" fillId="3" fontId="34" numFmtId="0" xfId="0" applyAlignment="1" applyBorder="1" applyFont="1">
      <alignment horizontal="center" vertical="top" wrapText="1"/>
    </xf>
    <xf borderId="3" fillId="24" fontId="19" numFmtId="0" xfId="0" applyAlignment="1" applyBorder="1" applyFill="1" applyFont="1">
      <alignment horizontal="center" vertical="top" wrapText="1"/>
    </xf>
    <xf borderId="3" fillId="24" fontId="19" numFmtId="0" xfId="0" applyAlignment="1" applyBorder="1" applyFont="1">
      <alignment vertical="top" wrapText="1"/>
    </xf>
    <xf borderId="3" fillId="24" fontId="18" numFmtId="0" xfId="0" applyAlignment="1" applyBorder="1" applyFont="1">
      <alignment vertical="top" wrapText="1"/>
    </xf>
    <xf borderId="3" fillId="24" fontId="18" numFmtId="0" xfId="0" applyAlignment="1" applyBorder="1" applyFont="1">
      <alignment horizontal="center" vertical="top" wrapText="1"/>
    </xf>
    <xf borderId="3" fillId="14" fontId="19" numFmtId="0" xfId="0" applyAlignment="1" applyBorder="1" applyFont="1">
      <alignment horizontal="center" vertical="top" wrapText="1"/>
    </xf>
    <xf borderId="3" fillId="24" fontId="12" numFmtId="0" xfId="0" applyAlignment="1" applyBorder="1" applyFont="1">
      <alignment vertical="top" wrapText="1"/>
    </xf>
    <xf borderId="3" fillId="0" fontId="18" numFmtId="0" xfId="0" applyAlignment="1" applyBorder="1" applyFont="1">
      <alignment/>
    </xf>
    <xf borderId="3" fillId="0" fontId="18" numFmtId="0" xfId="0" applyAlignment="1" applyBorder="1" applyFont="1">
      <alignment horizontal="center"/>
    </xf>
    <xf borderId="3" fillId="25" fontId="12" numFmtId="0" xfId="0" applyAlignment="1" applyBorder="1" applyFill="1" applyFont="1">
      <alignment vertical="top" wrapText="1"/>
    </xf>
    <xf borderId="0" fillId="0" fontId="8" numFmtId="0" xfId="0" applyAlignment="1" applyFont="1">
      <alignment horizontal="center"/>
    </xf>
    <xf borderId="3" fillId="0" fontId="18" numFmtId="0" xfId="0" applyAlignment="1" applyBorder="1" applyFont="1">
      <alignment horizontal="right"/>
    </xf>
    <xf borderId="3" fillId="0" fontId="34" numFmtId="0" xfId="0" applyAlignment="1" applyBorder="1" applyFont="1">
      <alignment horizontal="center"/>
    </xf>
    <xf borderId="3" fillId="0" fontId="12" numFmtId="0" xfId="0" applyAlignment="1" applyBorder="1" applyFont="1">
      <alignment/>
    </xf>
    <xf borderId="3" fillId="0" fontId="12" numFmtId="0" xfId="0" applyAlignment="1" applyBorder="1" applyFont="1">
      <alignment horizontal="left"/>
    </xf>
    <xf borderId="3" fillId="0" fontId="12" numFmtId="0" xfId="0" applyAlignment="1" applyBorder="1" applyFont="1">
      <alignment horizontal="center"/>
    </xf>
    <xf borderId="3" fillId="3" fontId="18" numFmtId="0" xfId="0" applyAlignment="1" applyBorder="1" applyFont="1">
      <alignment/>
    </xf>
    <xf borderId="3" fillId="0" fontId="18" numFmtId="0" xfId="0" applyAlignment="1" applyBorder="1" applyFont="1">
      <alignment/>
    </xf>
    <xf borderId="3" fillId="0" fontId="18" numFmtId="175" xfId="0" applyAlignment="1" applyBorder="1" applyFont="1" applyNumberFormat="1">
      <alignment horizontal="left" vertical="top" wrapText="1"/>
    </xf>
    <xf borderId="3" fillId="25" fontId="12" numFmtId="0" xfId="0" applyAlignment="1" applyBorder="1" applyFont="1">
      <alignment vertical="top" wrapText="1"/>
    </xf>
    <xf borderId="3" fillId="0" fontId="10" numFmtId="0" xfId="0" applyAlignment="1" applyBorder="1" applyFont="1">
      <alignment horizontal="right"/>
    </xf>
    <xf borderId="0" fillId="0" fontId="10" numFmtId="165" xfId="0" applyAlignment="1" applyFont="1" applyNumberFormat="1">
      <alignment horizontal="center"/>
    </xf>
    <xf borderId="3" fillId="0" fontId="10" numFmtId="0" xfId="0" applyAlignment="1" applyBorder="1" applyFont="1">
      <alignment horizontal="center"/>
    </xf>
    <xf borderId="0" fillId="0" fontId="12" numFmtId="168" xfId="0" applyAlignment="1" applyFont="1" applyNumberFormat="1">
      <alignment horizontal="center" vertical="center"/>
    </xf>
    <xf borderId="0" fillId="0" fontId="10" numFmtId="168" xfId="0" applyAlignment="1" applyFont="1" applyNumberFormat="1">
      <alignment horizontal="center" vertical="center"/>
    </xf>
    <xf borderId="3" fillId="0" fontId="10" numFmtId="0" xfId="0" applyAlignment="1" applyBorder="1" applyFont="1">
      <alignment horizontal="left"/>
    </xf>
    <xf borderId="3" fillId="25" fontId="12" numFmtId="1" xfId="0" applyAlignment="1" applyBorder="1" applyFont="1" applyNumberFormat="1">
      <alignment vertical="top" wrapText="1"/>
    </xf>
    <xf borderId="3" fillId="0" fontId="12" numFmtId="0" xfId="0" applyAlignment="1" applyBorder="1" applyFont="1">
      <alignment horizontal="center" vertical="center" wrapText="1"/>
    </xf>
    <xf borderId="0" fillId="0" fontId="10" numFmtId="168" xfId="0" applyAlignment="1" applyFont="1" applyNumberFormat="1">
      <alignment horizontal="center" vertical="center"/>
    </xf>
    <xf borderId="0" fillId="0" fontId="35" numFmtId="0" xfId="0" applyAlignment="1" applyFont="1">
      <alignment/>
    </xf>
    <xf borderId="0" fillId="0" fontId="12" numFmtId="0" xfId="0" applyAlignment="1" applyFont="1">
      <alignment horizontal="center"/>
    </xf>
    <xf borderId="3" fillId="0" fontId="12" numFmtId="0" xfId="0" applyAlignment="1" applyBorder="1" applyFont="1">
      <alignment wrapText="1"/>
    </xf>
    <xf borderId="3" fillId="0" fontId="18" numFmtId="1" xfId="0" applyAlignment="1" applyBorder="1" applyFont="1" applyNumberFormat="1">
      <alignment horizontal="right"/>
    </xf>
    <xf borderId="0" fillId="0" fontId="12" numFmtId="0" xfId="0" applyAlignment="1" applyFont="1">
      <alignment horizontal="left"/>
    </xf>
    <xf borderId="3" fillId="0" fontId="12" numFmtId="0" xfId="0" applyAlignment="1" applyBorder="1" applyFont="1">
      <alignment horizontal="right" wrapText="1"/>
    </xf>
    <xf borderId="3" fillId="0" fontId="12" numFmtId="0" xfId="0" applyAlignment="1" applyBorder="1" applyFont="1">
      <alignment horizontal="left" wrapText="1"/>
    </xf>
    <xf borderId="3" fillId="0" fontId="12" numFmtId="0" xfId="0" applyAlignment="1" applyBorder="1" applyFont="1">
      <alignment/>
    </xf>
    <xf borderId="3" fillId="9" fontId="12" numFmtId="0" xfId="0" applyAlignment="1" applyBorder="1" applyFont="1">
      <alignment/>
    </xf>
    <xf borderId="0" fillId="0" fontId="10" numFmtId="168" xfId="0" applyAlignment="1" applyFont="1" applyNumberFormat="1">
      <alignment/>
    </xf>
    <xf borderId="5" fillId="9" fontId="12" numFmtId="0" xfId="0" applyAlignment="1" applyBorder="1" applyFont="1">
      <alignment horizontal="left" wrapText="1"/>
    </xf>
    <xf borderId="3" fillId="9" fontId="12" numFmtId="0" xfId="0" applyAlignment="1" applyBorder="1" applyFont="1">
      <alignment wrapText="1"/>
    </xf>
    <xf borderId="3" fillId="9" fontId="12" numFmtId="0" xfId="0" applyAlignment="1" applyBorder="1" applyFont="1">
      <alignment horizontal="left"/>
    </xf>
    <xf borderId="3" fillId="9" fontId="12" numFmtId="0" xfId="0" applyAlignment="1" applyBorder="1" applyFont="1">
      <alignment horizontal="left"/>
    </xf>
    <xf borderId="3" fillId="0" fontId="10" numFmtId="0" xfId="0" applyAlignment="1" applyBorder="1" applyFont="1">
      <alignment/>
    </xf>
    <xf borderId="3" fillId="0" fontId="18" numFmtId="175" xfId="0" applyAlignment="1" applyBorder="1" applyFont="1" applyNumberFormat="1">
      <alignment vertical="top" wrapText="1"/>
    </xf>
    <xf borderId="4" fillId="5" fontId="3" numFmtId="0" xfId="0" applyAlignment="1" applyBorder="1" applyFont="1">
      <alignment/>
    </xf>
    <xf borderId="4" fillId="5" fontId="3" numFmtId="0" xfId="0" applyAlignment="1" applyBorder="1" applyFont="1">
      <alignment/>
    </xf>
    <xf borderId="3" fillId="14" fontId="19" numFmtId="170" xfId="0" applyAlignment="1" applyBorder="1" applyFont="1" applyNumberFormat="1">
      <alignment horizontal="right"/>
    </xf>
    <xf borderId="3" fillId="0" fontId="10" numFmtId="0" xfId="0" applyAlignment="1" applyBorder="1" applyFont="1">
      <alignment horizontal="center"/>
    </xf>
    <xf borderId="3" fillId="0" fontId="34" numFmtId="0" xfId="0" applyAlignment="1" applyBorder="1" applyFont="1">
      <alignment/>
    </xf>
    <xf borderId="0" fillId="3" fontId="12" numFmtId="0" xfId="0" applyAlignment="1" applyFont="1">
      <alignment/>
    </xf>
    <xf borderId="3" fillId="25" fontId="12" numFmtId="1" xfId="0" applyAlignment="1" applyBorder="1" applyFont="1" applyNumberFormat="1">
      <alignment vertical="top" wrapText="1"/>
    </xf>
    <xf borderId="7" fillId="0" fontId="12" numFmtId="0" xfId="0" applyAlignment="1" applyBorder="1" applyFont="1">
      <alignment/>
    </xf>
    <xf borderId="4" fillId="0" fontId="12" numFmtId="0" xfId="0" applyAlignment="1" applyBorder="1" applyFont="1">
      <alignment/>
    </xf>
    <xf borderId="3" fillId="14" fontId="19" numFmtId="0" xfId="0" applyAlignment="1" applyBorder="1" applyFont="1">
      <alignment horizontal="right"/>
    </xf>
    <xf borderId="0" fillId="0" fontId="34" numFmtId="0" xfId="0" applyAlignment="1" applyFont="1">
      <alignment/>
    </xf>
    <xf borderId="3" fillId="3" fontId="18" numFmtId="0" xfId="0" applyAlignment="1" applyBorder="1" applyFont="1">
      <alignment horizontal="right"/>
    </xf>
    <xf borderId="0" fillId="3" fontId="12" numFmtId="0" xfId="0" applyAlignment="1" applyFont="1">
      <alignment/>
    </xf>
    <xf borderId="3" fillId="24" fontId="18" numFmtId="0" xfId="0" applyAlignment="1" applyBorder="1" applyFont="1">
      <alignment vertical="top" wrapText="1"/>
    </xf>
    <xf borderId="3" fillId="24" fontId="18" numFmtId="0" xfId="0" applyAlignment="1" applyBorder="1" applyFont="1">
      <alignment horizontal="center" vertical="top" wrapText="1"/>
    </xf>
    <xf borderId="5" fillId="0" fontId="18" numFmtId="0" xfId="0" applyAlignment="1" applyBorder="1" applyFont="1">
      <alignment vertical="top" wrapText="1"/>
    </xf>
    <xf borderId="15" fillId="0" fontId="18" numFmtId="0" xfId="0" applyAlignment="1" applyBorder="1" applyFont="1">
      <alignment vertical="top" wrapText="1"/>
    </xf>
    <xf borderId="15" fillId="0" fontId="18" numFmtId="0" xfId="0" applyAlignment="1" applyBorder="1" applyFont="1">
      <alignment horizontal="center" vertical="top" wrapText="1"/>
    </xf>
    <xf borderId="6" fillId="0" fontId="18" numFmtId="0" xfId="0" applyAlignment="1" applyBorder="1" applyFont="1">
      <alignment horizontal="center" vertical="top" wrapText="1"/>
    </xf>
    <xf borderId="3" fillId="0" fontId="18" numFmtId="0" xfId="0" applyAlignment="1" applyBorder="1" applyFont="1">
      <alignment horizontal="right"/>
    </xf>
    <xf borderId="5" fillId="24" fontId="18" numFmtId="0" xfId="0" applyAlignment="1" applyBorder="1" applyFont="1">
      <alignment vertical="top" wrapText="1"/>
    </xf>
    <xf borderId="15" fillId="24" fontId="18" numFmtId="0" xfId="0" applyAlignment="1" applyBorder="1" applyFont="1">
      <alignment vertical="top" wrapText="1"/>
    </xf>
    <xf borderId="6" fillId="24" fontId="18" numFmtId="0" xfId="0" applyAlignment="1" applyBorder="1" applyFont="1">
      <alignment horizontal="center" vertical="top" wrapText="1"/>
    </xf>
    <xf borderId="3" fillId="14" fontId="18" numFmtId="172" xfId="0" applyAlignment="1" applyBorder="1" applyFont="1" applyNumberFormat="1">
      <alignment horizontal="right"/>
    </xf>
    <xf borderId="5" fillId="0" fontId="36" numFmtId="0" xfId="0" applyAlignment="1" applyBorder="1" applyFont="1">
      <alignment horizontal="center" vertical="top" wrapText="1"/>
    </xf>
    <xf borderId="11" fillId="0" fontId="1" numFmtId="0" xfId="0" applyAlignment="1" applyBorder="1" applyFont="1">
      <alignment wrapText="1"/>
    </xf>
    <xf borderId="2" fillId="0" fontId="12" numFmtId="0" xfId="0" applyAlignment="1" applyBorder="1" applyFont="1">
      <alignment horizontal="center" vertical="top" wrapText="1"/>
    </xf>
    <xf borderId="3" fillId="0" fontId="12" numFmtId="3" xfId="0" applyAlignment="1" applyBorder="1" applyFont="1" applyNumberFormat="1">
      <alignment vertical="top" wrapText="1"/>
    </xf>
    <xf borderId="3" fillId="25" fontId="12" numFmtId="172" xfId="0" applyAlignment="1" applyBorder="1" applyFont="1" applyNumberFormat="1">
      <alignment vertical="top" wrapText="1"/>
    </xf>
    <xf borderId="9" fillId="0" fontId="1" numFmtId="0" xfId="0" applyAlignment="1" applyBorder="1" applyFont="1">
      <alignment wrapText="1"/>
    </xf>
    <xf borderId="3" fillId="0" fontId="12" numFmtId="3" xfId="0" applyAlignment="1" applyBorder="1" applyFont="1" applyNumberFormat="1">
      <alignment vertical="top" wrapText="1"/>
    </xf>
    <xf borderId="1" fillId="26" fontId="10" numFmtId="0" xfId="0" applyAlignment="1" applyBorder="1" applyFill="1" applyFont="1">
      <alignment horizontal="center" vertical="top" wrapText="1"/>
    </xf>
    <xf borderId="1" fillId="26" fontId="10" numFmtId="0" xfId="0" applyAlignment="1" applyBorder="1" applyFont="1">
      <alignment vertical="top" wrapText="1"/>
    </xf>
    <xf borderId="1" fillId="26" fontId="10" numFmtId="0" xfId="0" applyAlignment="1" applyBorder="1" applyFont="1">
      <alignment vertical="top" wrapText="1"/>
    </xf>
    <xf borderId="12" fillId="26" fontId="10" numFmtId="175" xfId="0" applyAlignment="1" applyBorder="1" applyFont="1" applyNumberFormat="1">
      <alignment vertical="top" wrapText="1"/>
    </xf>
    <xf borderId="3" fillId="26" fontId="10" numFmtId="3" xfId="0" applyAlignment="1" applyBorder="1" applyFont="1" applyNumberFormat="1">
      <alignment vertical="top" wrapText="1"/>
    </xf>
    <xf borderId="3" fillId="0" fontId="10" numFmtId="0" xfId="0" applyAlignment="1" applyBorder="1" applyFont="1">
      <alignment horizontal="center" vertical="top" wrapText="1"/>
    </xf>
    <xf borderId="3" fillId="0" fontId="10" numFmtId="0" xfId="0" applyAlignment="1" applyBorder="1" applyFont="1">
      <alignment vertical="top" wrapText="1"/>
    </xf>
    <xf borderId="3" fillId="0" fontId="10" numFmtId="175" xfId="0" applyAlignment="1" applyBorder="1" applyFont="1" applyNumberFormat="1">
      <alignment vertical="top" wrapText="1"/>
    </xf>
    <xf borderId="3" fillId="0" fontId="10" numFmtId="3" xfId="0" applyAlignment="1" applyBorder="1" applyFont="1" applyNumberFormat="1">
      <alignment vertical="top" wrapText="1"/>
    </xf>
    <xf borderId="3" fillId="0" fontId="10" numFmtId="0" xfId="0" applyAlignment="1" applyBorder="1" applyFont="1">
      <alignment horizontal="center" vertical="top" wrapText="1"/>
    </xf>
    <xf borderId="3" fillId="0" fontId="10" numFmtId="0" xfId="0" applyAlignment="1" applyBorder="1" applyFont="1">
      <alignment vertical="top" wrapText="1"/>
    </xf>
    <xf borderId="8" fillId="0" fontId="12" numFmtId="0" xfId="0" applyAlignment="1" applyBorder="1" applyFont="1">
      <alignment horizontal="center" wrapText="1"/>
    </xf>
    <xf borderId="9" fillId="0" fontId="12" numFmtId="0" xfId="0" applyAlignment="1" applyBorder="1" applyFont="1">
      <alignment horizontal="center" wrapText="1"/>
    </xf>
    <xf borderId="13" fillId="0" fontId="12" numFmtId="0" xfId="0" applyAlignment="1" applyBorder="1" applyFont="1">
      <alignment horizontal="center" wrapText="1"/>
    </xf>
    <xf borderId="3" fillId="0" fontId="10" numFmtId="0" xfId="0" applyAlignment="1" applyBorder="1" applyFont="1">
      <alignment/>
    </xf>
    <xf borderId="3" fillId="0" fontId="18" numFmtId="170" xfId="0" applyAlignment="1" applyBorder="1" applyFont="1" applyNumberFormat="1">
      <alignment horizontal="right"/>
    </xf>
    <xf borderId="3" fillId="27" fontId="18" numFmtId="0" xfId="0" applyAlignment="1" applyBorder="1" applyFill="1" applyFont="1">
      <alignment horizontal="center" vertical="top" wrapText="1"/>
    </xf>
    <xf borderId="5" fillId="27" fontId="19" numFmtId="0" xfId="0" applyAlignment="1" applyBorder="1" applyFont="1">
      <alignment horizontal="center" vertical="top" wrapText="1"/>
    </xf>
    <xf borderId="3" fillId="27" fontId="19" numFmtId="170" xfId="0" applyAlignment="1" applyBorder="1" applyFont="1" applyNumberFormat="1">
      <alignment horizontal="right" vertical="top" wrapText="1"/>
    </xf>
    <xf borderId="11" fillId="0" fontId="12" numFmtId="175" xfId="0" applyAlignment="1" applyBorder="1" applyFont="1" applyNumberFormat="1">
      <alignment vertical="top" wrapText="1"/>
    </xf>
    <xf borderId="4" fillId="0" fontId="10" numFmtId="175" xfId="0" applyAlignment="1" applyBorder="1" applyFont="1" applyNumberFormat="1">
      <alignment vertical="top" wrapText="1"/>
    </xf>
    <xf borderId="4" fillId="0" fontId="10" numFmtId="0" xfId="0" applyAlignment="1" applyBorder="1" applyFont="1">
      <alignment vertical="top" wrapText="1"/>
    </xf>
    <xf borderId="6" fillId="27" fontId="19" numFmtId="0" xfId="0" applyAlignment="1" applyBorder="1" applyFont="1">
      <alignment horizontal="center" vertical="top" wrapText="1"/>
    </xf>
    <xf borderId="3" fillId="27" fontId="19" numFmtId="0" xfId="0" applyAlignment="1" applyBorder="1" applyFont="1">
      <alignment horizontal="right" vertical="top" wrapText="1"/>
    </xf>
    <xf borderId="7" fillId="0" fontId="12" numFmtId="175" xfId="0" applyAlignment="1" applyBorder="1" applyFont="1" applyNumberFormat="1">
      <alignment vertical="top" wrapText="1"/>
    </xf>
    <xf borderId="14" fillId="0" fontId="12" numFmtId="175" xfId="0" applyAlignment="1" applyBorder="1" applyFont="1" applyNumberFormat="1">
      <alignment vertical="top" wrapText="1"/>
    </xf>
    <xf borderId="1" fillId="0" fontId="12" numFmtId="10" xfId="0" applyAlignment="1" applyBorder="1" applyFont="1" applyNumberFormat="1">
      <alignment vertical="top" wrapText="1"/>
    </xf>
    <xf borderId="3" fillId="15" fontId="12" numFmtId="0" xfId="0" applyAlignment="1" applyBorder="1" applyFont="1">
      <alignment horizontal="center" vertical="top" wrapText="1"/>
    </xf>
    <xf borderId="5" fillId="15" fontId="19" numFmtId="0" xfId="0" applyAlignment="1" applyBorder="1" applyFont="1">
      <alignment horizontal="center" vertical="top" wrapText="1"/>
    </xf>
    <xf borderId="3" fillId="15" fontId="34" numFmtId="172" xfId="0" applyAlignment="1" applyBorder="1" applyFont="1" applyNumberFormat="1">
      <alignment vertical="top" wrapText="1"/>
    </xf>
    <xf borderId="0" fillId="28" fontId="12" numFmtId="0" xfId="0" applyAlignment="1" applyFill="1" applyFont="1">
      <alignment horizontal="center" vertical="top" wrapText="1"/>
    </xf>
    <xf borderId="0" fillId="28" fontId="12" numFmtId="0" xfId="0" applyAlignment="1" applyFont="1">
      <alignment vertical="top" wrapText="1"/>
    </xf>
    <xf borderId="0" fillId="28" fontId="12" numFmtId="0" xfId="0" applyAlignment="1" applyFont="1">
      <alignment vertical="top" wrapText="1"/>
    </xf>
    <xf borderId="2" fillId="28" fontId="12" numFmtId="0" xfId="0" applyAlignment="1" applyBorder="1" applyFont="1">
      <alignment horizontal="center" vertical="top" wrapText="1"/>
    </xf>
    <xf borderId="0" fillId="0" fontId="37" numFmtId="0" xfId="0" applyAlignment="1" applyFont="1">
      <alignment/>
    </xf>
    <xf borderId="9" fillId="14" fontId="12" numFmtId="0" xfId="0" applyAlignment="1" applyBorder="1" applyFont="1">
      <alignment horizontal="center" vertical="top" wrapText="1"/>
    </xf>
    <xf borderId="0" fillId="0" fontId="12" numFmtId="0" xfId="0" applyAlignment="1" applyFont="1">
      <alignment horizontal="center"/>
    </xf>
    <xf borderId="15" fillId="0" fontId="12" numFmtId="172" xfId="0" applyAlignment="1" applyBorder="1" applyFont="1" applyNumberFormat="1">
      <alignment vertical="top" wrapText="1"/>
    </xf>
    <xf borderId="2" fillId="0" fontId="12" numFmtId="175" xfId="0" applyAlignment="1" applyBorder="1" applyFont="1" applyNumberFormat="1">
      <alignment horizontal="center" vertical="top" wrapText="1"/>
    </xf>
    <xf borderId="2" fillId="0" fontId="12" numFmtId="178" xfId="0" applyAlignment="1" applyBorder="1" applyFont="1" applyNumberFormat="1">
      <alignment horizontal="center" vertical="top" wrapText="1"/>
    </xf>
    <xf borderId="2" fillId="0" fontId="12" numFmtId="175" xfId="0" applyAlignment="1" applyBorder="1" applyFont="1" applyNumberFormat="1">
      <alignment horizontal="center" vertical="top" wrapText="1"/>
    </xf>
    <xf borderId="4" fillId="0" fontId="12" numFmtId="172" xfId="0" applyAlignment="1" applyBorder="1" applyFont="1" applyNumberFormat="1">
      <alignment vertical="top" wrapText="1"/>
    </xf>
    <xf borderId="1" fillId="0" fontId="12" numFmtId="0" xfId="0" applyAlignment="1" applyBorder="1" applyFont="1">
      <alignment vertical="top" wrapText="1"/>
    </xf>
    <xf borderId="1" fillId="0" fontId="12" numFmtId="3" xfId="0" applyAlignment="1" applyBorder="1" applyFont="1" applyNumberFormat="1">
      <alignment vertical="top" wrapText="1"/>
    </xf>
    <xf borderId="5" fillId="0" fontId="10" numFmtId="0" xfId="0" applyAlignment="1" applyBorder="1" applyFont="1">
      <alignment horizontal="center" vertical="top" wrapText="1"/>
    </xf>
    <xf borderId="0" fillId="0" fontId="1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10.xml"/><Relationship Id="rId13" Type="http://schemas.openxmlformats.org/officeDocument/2006/relationships/worksheet" Target="worksheets/sheet9.xml"/><Relationship Id="rId12" Type="http://schemas.openxmlformats.org/officeDocument/2006/relationships/worksheet" Target="worksheets/sheet7.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4.xml"/><Relationship Id="rId14" Type="http://schemas.openxmlformats.org/officeDocument/2006/relationships/worksheet" Target="worksheets/sheet16.xml"/><Relationship Id="rId17" Type="http://schemas.openxmlformats.org/officeDocument/2006/relationships/worksheet" Target="worksheets/sheet12.xml"/><Relationship Id="rId16" Type="http://schemas.openxmlformats.org/officeDocument/2006/relationships/worksheet" Target="worksheets/sheet15.xml"/><Relationship Id="rId5" Type="http://schemas.openxmlformats.org/officeDocument/2006/relationships/worksheet" Target="worksheets/sheet3.xml"/><Relationship Id="rId6" Type="http://schemas.openxmlformats.org/officeDocument/2006/relationships/worksheet" Target="worksheets/sheet2.xml"/><Relationship Id="rId18" Type="http://schemas.openxmlformats.org/officeDocument/2006/relationships/worksheet" Target="worksheets/sheet13.xml"/><Relationship Id="rId7" Type="http://schemas.openxmlformats.org/officeDocument/2006/relationships/worksheet" Target="worksheets/sheet4.xml"/><Relationship Id="rId8" Type="http://schemas.openxmlformats.org/officeDocument/2006/relationships/worksheet" Target="worksheets/sheet1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Rs.Mn" TargetMode="External"/><Relationship Id="rId3" Type="http://schemas.openxmlformats.org/officeDocument/2006/relationships/hyperlink" Target="http://Rs.Mn" TargetMode="External"/><Relationship Id="rId4" Type="http://schemas.openxmlformats.org/officeDocument/2006/relationships/hyperlink" Target="http://Rs.Mn" TargetMode="External"/><Relationship Id="rId5" Type="http://schemas.openxmlformats.org/officeDocument/2006/relationships/drawing" Target="../drawings/worksheetdrawing11.xml"/><Relationship Id="rId6"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12.xml"/><Relationship Id="rId3"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worksheetdrawing16.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9.29"/>
    <col customWidth="1" min="2" max="2" width="35.14"/>
    <col customWidth="1" min="3" max="3" width="40.43"/>
    <col customWidth="1" min="4" max="4" width="15.29"/>
    <col customWidth="1" min="5" max="5" width="25.29"/>
    <col customWidth="1" min="6" max="6" width="18.14"/>
  </cols>
  <sheetData>
    <row r="1" ht="45.0" customHeight="1">
      <c r="A1" s="2"/>
      <c r="B1" s="27" t="s">
        <v>63</v>
      </c>
      <c r="C1" s="27" t="s">
        <v>15</v>
      </c>
      <c r="D1" s="27" t="s">
        <v>64</v>
      </c>
      <c r="E1" s="27" t="s">
        <v>65</v>
      </c>
      <c r="F1" s="30" t="s">
        <v>66</v>
      </c>
    </row>
    <row r="2" ht="15.0" customHeight="1">
      <c r="A2" s="31">
        <v>1.0</v>
      </c>
      <c r="B2" s="32" t="s">
        <v>69</v>
      </c>
      <c r="C2" s="32" t="s">
        <v>70</v>
      </c>
      <c r="D2" s="33" t="s">
        <v>71</v>
      </c>
      <c r="E2" s="34">
        <v>40558.0</v>
      </c>
      <c r="F2" s="35" t="s">
        <v>50</v>
      </c>
    </row>
    <row r="3" ht="15.0" customHeight="1">
      <c r="A3" s="31">
        <v>2.0</v>
      </c>
      <c r="B3" s="32" t="s">
        <v>72</v>
      </c>
      <c r="C3" s="32" t="s">
        <v>70</v>
      </c>
      <c r="D3" s="33" t="s">
        <v>71</v>
      </c>
      <c r="E3" s="34">
        <v>40558.0</v>
      </c>
      <c r="F3" s="35" t="s">
        <v>50</v>
      </c>
    </row>
    <row r="4" ht="15.0" customHeight="1">
      <c r="A4" s="31">
        <v>3.0</v>
      </c>
      <c r="B4" s="32" t="s">
        <v>73</v>
      </c>
      <c r="C4" s="32" t="s">
        <v>70</v>
      </c>
      <c r="D4" s="33" t="s">
        <v>71</v>
      </c>
      <c r="E4" s="34">
        <v>40558.0</v>
      </c>
      <c r="F4" s="35" t="s">
        <v>50</v>
      </c>
    </row>
    <row r="5" ht="15.0" customHeight="1">
      <c r="A5" s="31">
        <v>4.0</v>
      </c>
      <c r="B5" s="32" t="s">
        <v>74</v>
      </c>
      <c r="C5" s="32" t="s">
        <v>75</v>
      </c>
      <c r="D5" s="33" t="s">
        <v>71</v>
      </c>
      <c r="E5" s="34">
        <v>40558.0</v>
      </c>
      <c r="F5" s="35" t="s">
        <v>50</v>
      </c>
    </row>
    <row r="6" ht="15.0" customHeight="1">
      <c r="A6" s="31">
        <v>5.0</v>
      </c>
      <c r="B6" s="32" t="s">
        <v>76</v>
      </c>
      <c r="C6" s="32" t="s">
        <v>77</v>
      </c>
      <c r="D6" s="33" t="s">
        <v>71</v>
      </c>
      <c r="E6" s="33" t="s">
        <v>78</v>
      </c>
      <c r="F6" s="35">
        <v>50000.0</v>
      </c>
    </row>
    <row r="7" ht="15.0" customHeight="1">
      <c r="A7" s="31">
        <v>6.0</v>
      </c>
      <c r="B7" s="32" t="s">
        <v>79</v>
      </c>
      <c r="C7" s="32" t="s">
        <v>81</v>
      </c>
      <c r="D7" s="33" t="s">
        <v>82</v>
      </c>
      <c r="E7" s="34">
        <v>40558.0</v>
      </c>
      <c r="F7" s="35">
        <v>100000.0</v>
      </c>
    </row>
    <row r="8" ht="15.0" customHeight="1">
      <c r="A8" s="31">
        <v>7.0</v>
      </c>
      <c r="B8" s="32" t="s">
        <v>83</v>
      </c>
      <c r="C8" s="32" t="s">
        <v>84</v>
      </c>
      <c r="D8" s="33" t="s">
        <v>71</v>
      </c>
      <c r="E8" s="34">
        <v>40558.0</v>
      </c>
      <c r="F8" s="35" t="s">
        <v>50</v>
      </c>
    </row>
    <row r="9" ht="15.0" customHeight="1">
      <c r="A9" s="31">
        <v>7.0</v>
      </c>
      <c r="B9" s="32" t="s">
        <v>85</v>
      </c>
      <c r="C9" s="32" t="s">
        <v>86</v>
      </c>
      <c r="D9" s="33" t="s">
        <v>71</v>
      </c>
      <c r="E9" s="33" t="s">
        <v>87</v>
      </c>
      <c r="F9" s="35" t="s">
        <v>88</v>
      </c>
    </row>
    <row r="10" ht="15.0" customHeight="1">
      <c r="A10" s="31">
        <v>8.0</v>
      </c>
      <c r="B10" s="32" t="s">
        <v>89</v>
      </c>
      <c r="C10" s="32" t="s">
        <v>86</v>
      </c>
      <c r="D10" s="33" t="s">
        <v>71</v>
      </c>
      <c r="E10" s="33" t="s">
        <v>87</v>
      </c>
      <c r="F10" s="35" t="s">
        <v>29</v>
      </c>
    </row>
    <row r="11" ht="15.0" customHeight="1">
      <c r="A11" s="31">
        <v>9.0</v>
      </c>
      <c r="B11" s="32" t="s">
        <v>90</v>
      </c>
      <c r="C11" s="32" t="s">
        <v>91</v>
      </c>
      <c r="D11" s="33" t="s">
        <v>71</v>
      </c>
      <c r="E11" s="33" t="s">
        <v>87</v>
      </c>
      <c r="F11" s="35" t="s">
        <v>50</v>
      </c>
    </row>
    <row r="12" ht="15.0" customHeight="1">
      <c r="A12" s="31">
        <v>10.0</v>
      </c>
      <c r="B12" s="32" t="s">
        <v>92</v>
      </c>
      <c r="C12" s="32" t="s">
        <v>93</v>
      </c>
      <c r="D12" s="33" t="s">
        <v>71</v>
      </c>
      <c r="E12" s="33" t="s">
        <v>94</v>
      </c>
      <c r="F12" s="35">
        <v>50000.0</v>
      </c>
    </row>
    <row r="13" ht="15.0" customHeight="1">
      <c r="A13" s="31">
        <v>11.0</v>
      </c>
      <c r="B13" s="32" t="s">
        <v>95</v>
      </c>
      <c r="C13" s="32" t="s">
        <v>96</v>
      </c>
      <c r="D13" s="33" t="s">
        <v>82</v>
      </c>
      <c r="E13" s="33" t="s">
        <v>97</v>
      </c>
      <c r="F13" s="35" t="s">
        <v>98</v>
      </c>
    </row>
    <row r="14" ht="15.0" customHeight="1">
      <c r="A14" s="31">
        <v>12.0</v>
      </c>
      <c r="B14" s="32" t="s">
        <v>99</v>
      </c>
      <c r="C14" s="6" t="s">
        <v>43</v>
      </c>
      <c r="D14" s="33" t="s">
        <v>82</v>
      </c>
      <c r="E14" s="33" t="s">
        <v>100</v>
      </c>
      <c r="F14" s="35" t="s">
        <v>101</v>
      </c>
    </row>
    <row r="15" ht="15.0" customHeight="1">
      <c r="A15" s="31">
        <v>13.0</v>
      </c>
      <c r="B15" s="32" t="s">
        <v>102</v>
      </c>
      <c r="C15" s="32" t="s">
        <v>103</v>
      </c>
      <c r="D15" s="33" t="s">
        <v>82</v>
      </c>
      <c r="E15" s="33" t="s">
        <v>104</v>
      </c>
      <c r="F15" s="35" t="s">
        <v>101</v>
      </c>
    </row>
    <row r="16" ht="15.0" customHeight="1">
      <c r="A16" s="31">
        <v>14.0</v>
      </c>
      <c r="B16" s="32" t="s">
        <v>105</v>
      </c>
      <c r="C16" s="32" t="s">
        <v>106</v>
      </c>
      <c r="D16" s="33" t="s">
        <v>82</v>
      </c>
      <c r="E16" s="33" t="s">
        <v>107</v>
      </c>
      <c r="F16" s="35" t="s">
        <v>101</v>
      </c>
    </row>
    <row r="17" ht="15.0" customHeight="1">
      <c r="A17" s="31">
        <v>15.0</v>
      </c>
      <c r="B17" s="32" t="s">
        <v>108</v>
      </c>
      <c r="C17" s="32" t="s">
        <v>103</v>
      </c>
      <c r="D17" s="33" t="s">
        <v>82</v>
      </c>
      <c r="E17" s="33" t="s">
        <v>107</v>
      </c>
      <c r="F17" s="35" t="s">
        <v>101</v>
      </c>
    </row>
    <row r="18" ht="15.0" customHeight="1">
      <c r="A18" s="31">
        <v>16.0</v>
      </c>
      <c r="B18" s="32" t="s">
        <v>109</v>
      </c>
      <c r="C18" s="32" t="s">
        <v>110</v>
      </c>
      <c r="D18" s="33" t="s">
        <v>71</v>
      </c>
      <c r="E18" s="33" t="s">
        <v>94</v>
      </c>
      <c r="F18" s="35">
        <v>50000.0</v>
      </c>
    </row>
    <row r="19" ht="30.0" customHeight="1">
      <c r="A19" s="31">
        <v>17.0</v>
      </c>
      <c r="B19" s="32" t="s">
        <v>112</v>
      </c>
      <c r="C19" s="32" t="s">
        <v>113</v>
      </c>
      <c r="D19" s="33" t="s">
        <v>71</v>
      </c>
      <c r="E19" s="33" t="s">
        <v>114</v>
      </c>
      <c r="F19" s="35" t="s">
        <v>101</v>
      </c>
    </row>
    <row r="20" ht="15.0" customHeight="1">
      <c r="A20" s="31">
        <v>18.0</v>
      </c>
      <c r="B20" s="32" t="s">
        <v>115</v>
      </c>
      <c r="C20" s="32" t="s">
        <v>116</v>
      </c>
      <c r="D20" s="33" t="s">
        <v>82</v>
      </c>
      <c r="E20" s="33" t="s">
        <v>117</v>
      </c>
      <c r="F20" s="35" t="s">
        <v>101</v>
      </c>
    </row>
    <row r="21" ht="15.0" customHeight="1">
      <c r="A21" s="39">
        <v>19.0</v>
      </c>
      <c r="B21" s="41" t="s">
        <v>118</v>
      </c>
      <c r="C21" s="43" t="s">
        <v>123</v>
      </c>
      <c r="D21" s="45" t="s">
        <v>127</v>
      </c>
      <c r="E21" s="46"/>
      <c r="F21" s="35">
        <v>100000.0</v>
      </c>
    </row>
    <row r="22" ht="15.0" customHeight="1">
      <c r="B22" s="47"/>
      <c r="C22" s="48"/>
      <c r="D22" s="49"/>
      <c r="E22" s="47"/>
      <c r="F22" s="50"/>
    </row>
    <row r="23" ht="15.0" customHeight="1">
      <c r="A23" s="31">
        <v>1.0</v>
      </c>
      <c r="B23" s="32" t="s">
        <v>128</v>
      </c>
      <c r="C23" s="32" t="s">
        <v>75</v>
      </c>
      <c r="D23" s="33" t="s">
        <v>71</v>
      </c>
      <c r="E23" s="34">
        <v>40589.0</v>
      </c>
      <c r="F23" s="35" t="s">
        <v>101</v>
      </c>
    </row>
    <row r="24" ht="15.0" customHeight="1">
      <c r="A24" s="31">
        <v>2.0</v>
      </c>
      <c r="B24" s="6" t="s">
        <v>129</v>
      </c>
      <c r="C24" s="32" t="s">
        <v>75</v>
      </c>
      <c r="D24" s="33" t="s">
        <v>71</v>
      </c>
      <c r="E24" s="6" t="s">
        <v>130</v>
      </c>
      <c r="F24" s="35" t="s">
        <v>101</v>
      </c>
    </row>
    <row r="25" ht="15.0" customHeight="1">
      <c r="A25" s="31">
        <v>3.0</v>
      </c>
      <c r="B25" s="32" t="s">
        <v>131</v>
      </c>
      <c r="C25" s="32" t="s">
        <v>132</v>
      </c>
      <c r="D25" s="33" t="s">
        <v>133</v>
      </c>
      <c r="E25" s="33" t="s">
        <v>134</v>
      </c>
      <c r="F25" s="35" t="s">
        <v>101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0" topLeftCell="A11" activePane="bottomLeft" state="frozen"/>
      <selection activeCell="B12" sqref="B12" pane="bottomLeft"/>
    </sheetView>
  </sheetViews>
  <sheetFormatPr customHeight="1" defaultColWidth="14.43" defaultRowHeight="12.75"/>
  <cols>
    <col customWidth="1" min="1" max="1" width="9.86"/>
    <col customWidth="1" min="2" max="2" width="36.0"/>
    <col customWidth="1" hidden="1" min="3" max="3" width="9.29"/>
    <col customWidth="1" min="4" max="4" width="18.71"/>
    <col customWidth="1" min="5" max="5" width="15.14"/>
    <col customWidth="1" min="6" max="6" width="12.86"/>
    <col customWidth="1" min="7" max="7" width="12.14"/>
    <col customWidth="1" min="8" max="8" width="27.43"/>
    <col customWidth="1" min="9" max="9" width="11.71"/>
    <col customWidth="1" min="10" max="11" width="9.29"/>
    <col customWidth="1" min="12" max="12" width="11.71"/>
  </cols>
  <sheetData>
    <row r="1">
      <c r="C1" s="199" t="s">
        <v>379</v>
      </c>
      <c r="D1" s="200" t="s">
        <v>380</v>
      </c>
      <c r="E1" s="202">
        <v>45.0</v>
      </c>
    </row>
    <row r="2">
      <c r="C2" s="199" t="s">
        <v>381</v>
      </c>
      <c r="E2" s="203">
        <v>0.05</v>
      </c>
    </row>
    <row r="3">
      <c r="C3" s="199" t="s">
        <v>383</v>
      </c>
      <c r="E3" s="204">
        <v>0.2152</v>
      </c>
    </row>
    <row r="4">
      <c r="C4" s="199" t="s">
        <v>385</v>
      </c>
      <c r="E4" s="204">
        <v>0.0886</v>
      </c>
    </row>
    <row r="5">
      <c r="C5" s="199" t="s">
        <v>386</v>
      </c>
      <c r="E5" s="206" t="str">
        <f>E3-E4</f>
        <v>12.66%</v>
      </c>
    </row>
    <row r="9" ht="15.75" customHeight="1">
      <c r="A9" s="207" t="s">
        <v>387</v>
      </c>
    </row>
    <row r="10" ht="15.75" customHeight="1">
      <c r="A10" s="208"/>
      <c r="B10" s="208"/>
      <c r="C10" s="1"/>
      <c r="D10" s="1"/>
      <c r="E10" s="1"/>
      <c r="F10" s="208"/>
      <c r="G10" s="1"/>
      <c r="H10" s="1"/>
    </row>
    <row r="11" ht="30.0" customHeight="1">
      <c r="A11" s="209" t="s">
        <v>388</v>
      </c>
      <c r="B11" s="209" t="s">
        <v>389</v>
      </c>
      <c r="C11" s="209" t="s">
        <v>390</v>
      </c>
      <c r="D11" s="209" t="s">
        <v>392</v>
      </c>
      <c r="E11" s="210" t="s">
        <v>393</v>
      </c>
      <c r="F11" s="210" t="s">
        <v>395</v>
      </c>
      <c r="G11" s="211" t="s">
        <v>396</v>
      </c>
      <c r="H11" s="211" t="s">
        <v>397</v>
      </c>
      <c r="I11" s="212" t="s">
        <v>398</v>
      </c>
    </row>
    <row r="12">
      <c r="A12" s="213">
        <v>1.0</v>
      </c>
      <c r="B12" s="214" t="s">
        <v>399</v>
      </c>
      <c r="C12" s="214" t="s">
        <v>400</v>
      </c>
      <c r="D12" s="215">
        <v>2.0</v>
      </c>
      <c r="E12" s="216" t="str">
        <f t="shared" ref="E12:E48" si="1">G12*$E$1*(1+1*$E$2)*(1+1*$E$5)</f>
        <v>573,520</v>
      </c>
      <c r="F12" s="217" t="str">
        <f>D12*E12</f>
        <v>1,147,040</v>
      </c>
      <c r="G12" s="218">
        <v>10774.0</v>
      </c>
      <c r="H12" s="219" t="s">
        <v>402</v>
      </c>
      <c r="I12" s="212" t="s">
        <v>403</v>
      </c>
    </row>
    <row r="13">
      <c r="A13" s="213">
        <v>2.0</v>
      </c>
      <c r="B13" s="219" t="s">
        <v>404</v>
      </c>
      <c r="C13" s="219" t="s">
        <v>406</v>
      </c>
      <c r="D13" s="213">
        <v>10.0</v>
      </c>
      <c r="E13" s="216" t="str">
        <f t="shared" si="1"/>
        <v>893,337</v>
      </c>
      <c r="F13" s="216" t="str">
        <f t="shared" ref="F13:F17" si="2">E13*D13</f>
        <v>8,933,369</v>
      </c>
      <c r="G13" s="218">
        <v>16782.0</v>
      </c>
      <c r="H13" s="219" t="s">
        <v>407</v>
      </c>
      <c r="I13" s="212" t="s">
        <v>339</v>
      </c>
    </row>
    <row r="14" ht="25.5" customHeight="1">
      <c r="A14" s="213">
        <v>3.0</v>
      </c>
      <c r="B14" s="219" t="s">
        <v>408</v>
      </c>
      <c r="C14" s="219" t="s">
        <v>409</v>
      </c>
      <c r="D14" s="213">
        <v>2.0</v>
      </c>
      <c r="E14" s="216" t="str">
        <f t="shared" si="1"/>
        <v>1,575,130</v>
      </c>
      <c r="F14" s="216" t="str">
        <f t="shared" si="2"/>
        <v>3,150,261</v>
      </c>
      <c r="G14" s="218">
        <v>29590.0</v>
      </c>
      <c r="H14" s="219" t="s">
        <v>407</v>
      </c>
      <c r="I14" s="212" t="s">
        <v>339</v>
      </c>
      <c r="K14" s="220" t="s">
        <v>328</v>
      </c>
      <c r="L14" s="221" t="str">
        <f>(F12+F22+F23*0.5+F24*0.5+F28+F31+F32+F33+F35+F36+F37+F41+F42+F44+F46+F47+F48+F54+F72+F73+F74+F75+F79+F80+F81+F82+F90+F102+F103+F104+F105+F106+F107+F108+F109)/10^6</f>
        <v>65.60</v>
      </c>
    </row>
    <row r="15" ht="25.5" customHeight="1">
      <c r="A15" s="213">
        <v>4.0</v>
      </c>
      <c r="B15" s="219" t="s">
        <v>412</v>
      </c>
      <c r="C15" s="219" t="s">
        <v>413</v>
      </c>
      <c r="D15" s="213">
        <v>2.0</v>
      </c>
      <c r="E15" s="216" t="str">
        <f t="shared" si="1"/>
        <v>1,182,066</v>
      </c>
      <c r="F15" s="216" t="str">
        <f t="shared" si="2"/>
        <v>2,364,133</v>
      </c>
      <c r="G15" s="218">
        <v>22206.0</v>
      </c>
      <c r="H15" s="219" t="s">
        <v>415</v>
      </c>
      <c r="I15" s="212" t="s">
        <v>339</v>
      </c>
      <c r="K15" s="220" t="s">
        <v>343</v>
      </c>
      <c r="L15" s="222" t="str">
        <f>(F83+F84)/10^6</f>
        <v>50</v>
      </c>
    </row>
    <row r="16">
      <c r="A16" s="213">
        <v>5.0</v>
      </c>
      <c r="B16" s="219" t="s">
        <v>417</v>
      </c>
      <c r="C16" s="219" t="s">
        <v>418</v>
      </c>
      <c r="D16" s="213">
        <v>1.0</v>
      </c>
      <c r="E16" s="216" t="str">
        <f t="shared" si="1"/>
        <v>240,129</v>
      </c>
      <c r="F16" s="216" t="str">
        <f t="shared" si="2"/>
        <v>240,129</v>
      </c>
      <c r="G16" s="218">
        <v>4511.0</v>
      </c>
      <c r="H16" s="219" t="s">
        <v>415</v>
      </c>
      <c r="I16" s="212" t="s">
        <v>339</v>
      </c>
      <c r="K16" s="220" t="s">
        <v>339</v>
      </c>
      <c r="L16" s="221" t="str">
        <f>'Total Capex'!U17-OPs!L14-OPs!L15</f>
        <v>56.99</v>
      </c>
    </row>
    <row r="17" ht="25.5" customHeight="1">
      <c r="A17" s="213">
        <v>6.0</v>
      </c>
      <c r="B17" s="219" t="s">
        <v>420</v>
      </c>
      <c r="C17" s="219" t="s">
        <v>421</v>
      </c>
      <c r="D17" s="213">
        <v>1.0</v>
      </c>
      <c r="E17" s="216" t="str">
        <f t="shared" si="1"/>
        <v>949,550</v>
      </c>
      <c r="F17" s="216" t="str">
        <f t="shared" si="2"/>
        <v>949,550</v>
      </c>
      <c r="G17" s="218">
        <v>17838.0</v>
      </c>
      <c r="H17" s="219" t="s">
        <v>415</v>
      </c>
      <c r="I17" s="212" t="s">
        <v>339</v>
      </c>
    </row>
    <row r="18" ht="25.5" customHeight="1">
      <c r="A18" s="213">
        <v>7.0</v>
      </c>
      <c r="B18" s="219" t="s">
        <v>422</v>
      </c>
      <c r="C18" s="219" t="s">
        <v>423</v>
      </c>
      <c r="D18" s="223">
        <v>0.0</v>
      </c>
      <c r="E18" s="216" t="str">
        <f t="shared" si="1"/>
        <v>26,319,211</v>
      </c>
      <c r="F18" s="216" t="str">
        <f t="shared" ref="F18:F20" si="3">D18*E18</f>
        <v>0</v>
      </c>
      <c r="G18" s="218">
        <v>494426.0</v>
      </c>
      <c r="H18" s="219" t="s">
        <v>425</v>
      </c>
      <c r="I18" s="212" t="s">
        <v>339</v>
      </c>
    </row>
    <row r="19">
      <c r="A19" s="213">
        <v>8.0</v>
      </c>
      <c r="B19" s="219" t="s">
        <v>426</v>
      </c>
      <c r="C19" s="219" t="s">
        <v>427</v>
      </c>
      <c r="D19" s="213">
        <v>2.0</v>
      </c>
      <c r="E19" s="216" t="str">
        <f t="shared" si="1"/>
        <v>533,170</v>
      </c>
      <c r="F19" s="216" t="str">
        <f t="shared" si="3"/>
        <v>1,066,340</v>
      </c>
      <c r="G19" s="218">
        <v>10016.0</v>
      </c>
      <c r="H19" s="219" t="s">
        <v>428</v>
      </c>
      <c r="I19" s="212" t="s">
        <v>339</v>
      </c>
    </row>
    <row r="20">
      <c r="A20" s="213">
        <v>9.0</v>
      </c>
      <c r="B20" s="219" t="s">
        <v>429</v>
      </c>
      <c r="C20" s="219" t="s">
        <v>427</v>
      </c>
      <c r="D20" s="213">
        <v>2.0</v>
      </c>
      <c r="E20" s="216" t="str">
        <f t="shared" si="1"/>
        <v>225,916</v>
      </c>
      <c r="F20" s="216" t="str">
        <f t="shared" si="3"/>
        <v>451,832</v>
      </c>
      <c r="G20" s="218">
        <v>4244.0</v>
      </c>
      <c r="H20" s="219" t="s">
        <v>428</v>
      </c>
      <c r="I20" s="212" t="s">
        <v>339</v>
      </c>
    </row>
    <row r="21">
      <c r="A21" s="213">
        <v>10.0</v>
      </c>
      <c r="B21" s="219" t="s">
        <v>430</v>
      </c>
      <c r="C21" s="219" t="s">
        <v>431</v>
      </c>
      <c r="D21" s="213">
        <v>2.0</v>
      </c>
      <c r="E21" s="216" t="str">
        <f t="shared" si="1"/>
        <v>85,597</v>
      </c>
      <c r="F21" s="216" t="str">
        <f t="shared" ref="F21:F48" si="4">E21*D21</f>
        <v>171,194</v>
      </c>
      <c r="G21" s="218">
        <v>1608.0</v>
      </c>
      <c r="H21" s="219" t="s">
        <v>433</v>
      </c>
      <c r="I21" s="212" t="s">
        <v>339</v>
      </c>
    </row>
    <row r="22">
      <c r="A22" s="213">
        <v>11.0</v>
      </c>
      <c r="B22" s="219" t="s">
        <v>434</v>
      </c>
      <c r="C22" s="219" t="s">
        <v>435</v>
      </c>
      <c r="D22" s="213">
        <v>20.0</v>
      </c>
      <c r="E22" s="216" t="str">
        <f t="shared" si="1"/>
        <v>133,293</v>
      </c>
      <c r="F22" s="216" t="str">
        <f t="shared" si="4"/>
        <v>2,665,851</v>
      </c>
      <c r="G22" s="218">
        <v>2504.0</v>
      </c>
      <c r="H22" s="219" t="s">
        <v>433</v>
      </c>
      <c r="I22" s="212" t="s">
        <v>403</v>
      </c>
    </row>
    <row r="23" ht="25.5" customHeight="1">
      <c r="A23" s="213">
        <v>12.0</v>
      </c>
      <c r="B23" s="219" t="s">
        <v>436</v>
      </c>
      <c r="C23" s="219" t="s">
        <v>437</v>
      </c>
      <c r="D23" s="213">
        <v>4.0</v>
      </c>
      <c r="E23" s="216" t="str">
        <f t="shared" si="1"/>
        <v>161,825</v>
      </c>
      <c r="F23" s="216" t="str">
        <f t="shared" si="4"/>
        <v>647,299</v>
      </c>
      <c r="G23" s="218">
        <v>3040.0</v>
      </c>
      <c r="H23" s="219" t="s">
        <v>438</v>
      </c>
      <c r="I23" s="212" t="s">
        <v>439</v>
      </c>
      <c r="J23" s="224" t="s">
        <v>440</v>
      </c>
    </row>
    <row r="24" ht="25.5" customHeight="1">
      <c r="A24" s="213">
        <v>13.0</v>
      </c>
      <c r="B24" s="219" t="s">
        <v>441</v>
      </c>
      <c r="C24" s="219" t="s">
        <v>442</v>
      </c>
      <c r="D24" s="213">
        <v>2.0</v>
      </c>
      <c r="E24" s="216" t="str">
        <f t="shared" si="1"/>
        <v>161,825</v>
      </c>
      <c r="F24" s="216" t="str">
        <f t="shared" si="4"/>
        <v>323,650</v>
      </c>
      <c r="G24" s="218">
        <v>3040.0</v>
      </c>
      <c r="H24" s="219" t="s">
        <v>438</v>
      </c>
      <c r="I24" s="212" t="s">
        <v>439</v>
      </c>
      <c r="J24" s="224" t="s">
        <v>440</v>
      </c>
    </row>
    <row r="25">
      <c r="A25" s="213">
        <v>14.0</v>
      </c>
      <c r="B25" s="219" t="s">
        <v>443</v>
      </c>
      <c r="C25" s="219">
        <v>3560.0</v>
      </c>
      <c r="D25" s="213">
        <v>2.0</v>
      </c>
      <c r="E25" s="216" t="str">
        <f t="shared" si="1"/>
        <v>319,391</v>
      </c>
      <c r="F25" s="216" t="str">
        <f t="shared" si="4"/>
        <v>638,782</v>
      </c>
      <c r="G25" s="218">
        <v>6000.0</v>
      </c>
      <c r="H25" s="219" t="s">
        <v>415</v>
      </c>
      <c r="I25" s="212" t="s">
        <v>339</v>
      </c>
    </row>
    <row r="26">
      <c r="A26" s="213">
        <v>15.0</v>
      </c>
      <c r="B26" s="219" t="s">
        <v>443</v>
      </c>
      <c r="C26" s="219">
        <v>2960.0</v>
      </c>
      <c r="D26" s="213">
        <v>2.0</v>
      </c>
      <c r="E26" s="216" t="str">
        <f t="shared" si="1"/>
        <v>90,494</v>
      </c>
      <c r="F26" s="216" t="str">
        <f t="shared" si="4"/>
        <v>180,988</v>
      </c>
      <c r="G26" s="218">
        <v>1700.0</v>
      </c>
      <c r="H26" s="219" t="s">
        <v>415</v>
      </c>
      <c r="I26" s="212" t="s">
        <v>339</v>
      </c>
    </row>
    <row r="27">
      <c r="A27" s="213">
        <v>16.0</v>
      </c>
      <c r="B27" s="219" t="s">
        <v>443</v>
      </c>
      <c r="C27" s="219">
        <v>4948.0</v>
      </c>
      <c r="D27" s="213">
        <v>2.0</v>
      </c>
      <c r="E27" s="216" t="str">
        <f t="shared" si="1"/>
        <v>372,623</v>
      </c>
      <c r="F27" s="216" t="str">
        <f t="shared" si="4"/>
        <v>745,246</v>
      </c>
      <c r="G27" s="218">
        <v>7000.0</v>
      </c>
      <c r="H27" s="219" t="s">
        <v>415</v>
      </c>
      <c r="I27" s="212" t="s">
        <v>339</v>
      </c>
    </row>
    <row r="28" ht="51.0" customHeight="1">
      <c r="A28" s="213">
        <v>17.0</v>
      </c>
      <c r="B28" s="219" t="s">
        <v>445</v>
      </c>
      <c r="C28" s="219" t="s">
        <v>446</v>
      </c>
      <c r="D28" s="223">
        <v>50.0</v>
      </c>
      <c r="E28" s="216" t="str">
        <f t="shared" si="1"/>
        <v>175,718</v>
      </c>
      <c r="F28" s="216" t="str">
        <f t="shared" si="4"/>
        <v>8,785,917</v>
      </c>
      <c r="G28" s="218">
        <v>3301.0</v>
      </c>
      <c r="H28" s="219" t="s">
        <v>447</v>
      </c>
      <c r="I28" s="212" t="s">
        <v>328</v>
      </c>
    </row>
    <row r="29" ht="25.5" customHeight="1">
      <c r="A29" s="213">
        <v>18.0</v>
      </c>
      <c r="B29" s="219" t="s">
        <v>448</v>
      </c>
      <c r="C29" s="219" t="s">
        <v>449</v>
      </c>
      <c r="D29" s="213">
        <v>4.0</v>
      </c>
      <c r="E29" s="216" t="str">
        <f t="shared" si="1"/>
        <v>380,075</v>
      </c>
      <c r="F29" s="216" t="str">
        <f t="shared" si="4"/>
        <v>1,520,302</v>
      </c>
      <c r="G29" s="218">
        <v>7140.0</v>
      </c>
      <c r="H29" s="219" t="s">
        <v>450</v>
      </c>
      <c r="I29" s="212" t="s">
        <v>339</v>
      </c>
    </row>
    <row r="30" ht="38.25" customHeight="1">
      <c r="A30" s="213">
        <v>19.0</v>
      </c>
      <c r="B30" s="219" t="s">
        <v>452</v>
      </c>
      <c r="C30" s="219" t="s">
        <v>453</v>
      </c>
      <c r="D30" s="213">
        <v>4.0</v>
      </c>
      <c r="E30" s="216" t="str">
        <f t="shared" si="1"/>
        <v>13,148</v>
      </c>
      <c r="F30" s="216" t="str">
        <f t="shared" si="4"/>
        <v>52,593</v>
      </c>
      <c r="G30" s="225" t="str">
        <f>988/4</f>
        <v>247</v>
      </c>
      <c r="H30" s="219" t="s">
        <v>456</v>
      </c>
      <c r="I30" s="212" t="s">
        <v>339</v>
      </c>
    </row>
    <row r="31" ht="25.5" customHeight="1">
      <c r="A31" s="213">
        <v>20.0</v>
      </c>
      <c r="B31" s="219" t="s">
        <v>457</v>
      </c>
      <c r="C31" s="219" t="s">
        <v>427</v>
      </c>
      <c r="D31" s="213">
        <v>5.0</v>
      </c>
      <c r="E31" s="216" t="str">
        <f t="shared" si="1"/>
        <v>110,083</v>
      </c>
      <c r="F31" s="216" t="str">
        <f t="shared" si="4"/>
        <v>550,417</v>
      </c>
      <c r="G31" s="218">
        <v>2068.0</v>
      </c>
      <c r="H31" s="219" t="s">
        <v>458</v>
      </c>
      <c r="I31" s="212" t="s">
        <v>328</v>
      </c>
    </row>
    <row r="32" ht="25.5" customHeight="1">
      <c r="A32" s="213">
        <v>21.0</v>
      </c>
      <c r="B32" s="219" t="s">
        <v>459</v>
      </c>
      <c r="C32" s="219" t="s">
        <v>427</v>
      </c>
      <c r="D32" s="213">
        <v>5.0</v>
      </c>
      <c r="E32" s="216" t="str">
        <f t="shared" si="1"/>
        <v>74,738</v>
      </c>
      <c r="F32" s="216" t="str">
        <f t="shared" si="4"/>
        <v>373,688</v>
      </c>
      <c r="G32" s="218">
        <v>1404.0</v>
      </c>
      <c r="H32" s="219" t="s">
        <v>460</v>
      </c>
      <c r="I32" s="212" t="s">
        <v>328</v>
      </c>
    </row>
    <row r="33">
      <c r="A33" s="213">
        <v>22.0</v>
      </c>
      <c r="B33" s="219" t="s">
        <v>461</v>
      </c>
      <c r="C33" s="219" t="s">
        <v>462</v>
      </c>
      <c r="D33" s="213">
        <v>30.0</v>
      </c>
      <c r="E33" s="216" t="str">
        <f t="shared" si="1"/>
        <v>7,027</v>
      </c>
      <c r="F33" s="216" t="str">
        <f t="shared" si="4"/>
        <v>210,798</v>
      </c>
      <c r="G33" s="218">
        <v>132.0</v>
      </c>
      <c r="H33" s="219" t="s">
        <v>465</v>
      </c>
      <c r="I33" s="212" t="s">
        <v>328</v>
      </c>
    </row>
    <row r="34" ht="25.5" customHeight="1">
      <c r="A34" s="213">
        <v>23.0</v>
      </c>
      <c r="B34" s="219" t="s">
        <v>466</v>
      </c>
      <c r="C34" s="219" t="s">
        <v>467</v>
      </c>
      <c r="D34" s="213">
        <v>3.0</v>
      </c>
      <c r="E34" s="216" t="str">
        <f t="shared" si="1"/>
        <v>444,752</v>
      </c>
      <c r="F34" s="216" t="str">
        <f t="shared" si="4"/>
        <v>1,334,256</v>
      </c>
      <c r="G34" s="218">
        <v>8355.0</v>
      </c>
      <c r="H34" s="219" t="s">
        <v>468</v>
      </c>
      <c r="I34" s="212" t="s">
        <v>339</v>
      </c>
    </row>
    <row r="35">
      <c r="A35" s="213">
        <v>24.0</v>
      </c>
      <c r="B35" s="219" t="s">
        <v>469</v>
      </c>
      <c r="C35" s="219" t="s">
        <v>470</v>
      </c>
      <c r="D35" s="213">
        <v>30.0</v>
      </c>
      <c r="E35" s="216" t="str">
        <f t="shared" si="1"/>
        <v>23,954</v>
      </c>
      <c r="F35" s="216" t="str">
        <f t="shared" si="4"/>
        <v>718,630</v>
      </c>
      <c r="G35" s="218">
        <v>450.0</v>
      </c>
      <c r="H35" s="219" t="s">
        <v>472</v>
      </c>
      <c r="I35" s="212" t="s">
        <v>328</v>
      </c>
    </row>
    <row r="36" ht="25.5" customHeight="1">
      <c r="A36" s="213">
        <v>25.0</v>
      </c>
      <c r="B36" s="219" t="s">
        <v>473</v>
      </c>
      <c r="C36" s="219" t="s">
        <v>474</v>
      </c>
      <c r="D36" s="213">
        <v>2.0</v>
      </c>
      <c r="E36" s="216" t="str">
        <f t="shared" si="1"/>
        <v>208,935</v>
      </c>
      <c r="F36" s="216" t="str">
        <f t="shared" si="4"/>
        <v>417,870</v>
      </c>
      <c r="G36" s="218">
        <v>3925.0</v>
      </c>
      <c r="H36" s="219" t="s">
        <v>472</v>
      </c>
      <c r="I36" s="212" t="s">
        <v>328</v>
      </c>
    </row>
    <row r="37">
      <c r="A37" s="213">
        <v>26.0</v>
      </c>
      <c r="B37" s="219" t="s">
        <v>476</v>
      </c>
      <c r="C37" s="219" t="s">
        <v>477</v>
      </c>
      <c r="D37" s="213">
        <v>30.0</v>
      </c>
      <c r="E37" s="216" t="str">
        <f t="shared" si="1"/>
        <v>128,395</v>
      </c>
      <c r="F37" s="216" t="str">
        <f t="shared" si="4"/>
        <v>3,851,857</v>
      </c>
      <c r="G37" s="218">
        <v>2412.0</v>
      </c>
      <c r="H37" s="219" t="s">
        <v>478</v>
      </c>
      <c r="I37" s="212" t="s">
        <v>328</v>
      </c>
    </row>
    <row r="38">
      <c r="A38" s="213">
        <v>27.0</v>
      </c>
      <c r="B38" s="219" t="s">
        <v>479</v>
      </c>
      <c r="C38" s="219" t="s">
        <v>427</v>
      </c>
      <c r="D38" s="213">
        <v>2.0</v>
      </c>
      <c r="E38" s="216" t="str">
        <f t="shared" si="1"/>
        <v>60,684</v>
      </c>
      <c r="F38" s="216" t="str">
        <f t="shared" si="4"/>
        <v>121,369</v>
      </c>
      <c r="G38" s="218">
        <v>1140.0</v>
      </c>
      <c r="H38" s="219" t="s">
        <v>480</v>
      </c>
      <c r="I38" s="212" t="s">
        <v>339</v>
      </c>
    </row>
    <row r="39">
      <c r="A39" s="213">
        <v>28.0</v>
      </c>
      <c r="B39" s="219" t="s">
        <v>481</v>
      </c>
      <c r="C39" s="219" t="s">
        <v>427</v>
      </c>
      <c r="D39" s="213">
        <v>2.0</v>
      </c>
      <c r="E39" s="216" t="str">
        <f t="shared" si="1"/>
        <v>17,034</v>
      </c>
      <c r="F39" s="216" t="str">
        <f t="shared" si="4"/>
        <v>34,068</v>
      </c>
      <c r="G39" s="218">
        <v>320.0</v>
      </c>
      <c r="H39" s="219" t="s">
        <v>483</v>
      </c>
      <c r="I39" s="212" t="s">
        <v>339</v>
      </c>
    </row>
    <row r="40">
      <c r="A40" s="213">
        <v>29.0</v>
      </c>
      <c r="B40" s="219" t="s">
        <v>484</v>
      </c>
      <c r="C40" s="219" t="s">
        <v>485</v>
      </c>
      <c r="D40" s="213">
        <v>5.0</v>
      </c>
      <c r="E40" s="216" t="str">
        <f t="shared" si="1"/>
        <v>13,148</v>
      </c>
      <c r="F40" s="216" t="str">
        <f t="shared" si="4"/>
        <v>65,741</v>
      </c>
      <c r="G40" s="218">
        <v>247.0</v>
      </c>
      <c r="H40" s="219" t="s">
        <v>480</v>
      </c>
      <c r="I40" s="212" t="s">
        <v>339</v>
      </c>
    </row>
    <row r="41" ht="51.0" customHeight="1">
      <c r="A41" s="213">
        <v>30.0</v>
      </c>
      <c r="B41" s="219" t="s">
        <v>486</v>
      </c>
      <c r="C41" s="219" t="s">
        <v>487</v>
      </c>
      <c r="D41" s="213">
        <v>1.0</v>
      </c>
      <c r="E41" s="216" t="str">
        <f t="shared" si="1"/>
        <v>9,901</v>
      </c>
      <c r="F41" s="226" t="str">
        <f t="shared" si="4"/>
        <v>9,901</v>
      </c>
      <c r="G41" s="218">
        <v>186.0</v>
      </c>
      <c r="H41" s="219" t="s">
        <v>488</v>
      </c>
      <c r="I41" s="212" t="s">
        <v>328</v>
      </c>
    </row>
    <row r="42" ht="51.0" customHeight="1">
      <c r="A42" s="213">
        <v>31.0</v>
      </c>
      <c r="B42" s="219" t="s">
        <v>489</v>
      </c>
      <c r="C42" s="219">
        <v>9985.0</v>
      </c>
      <c r="D42" s="213">
        <v>2.0</v>
      </c>
      <c r="E42" s="216" t="str">
        <f t="shared" si="1"/>
        <v>568,569</v>
      </c>
      <c r="F42" s="226" t="str">
        <f t="shared" si="4"/>
        <v>1,137,139</v>
      </c>
      <c r="G42" s="218">
        <v>10681.0</v>
      </c>
      <c r="H42" s="219" t="s">
        <v>490</v>
      </c>
      <c r="I42" s="212" t="s">
        <v>328</v>
      </c>
    </row>
    <row r="43" ht="25.5" customHeight="1">
      <c r="A43" s="213">
        <v>32.0</v>
      </c>
      <c r="B43" s="219" t="s">
        <v>491</v>
      </c>
      <c r="C43" s="219" t="s">
        <v>492</v>
      </c>
      <c r="D43" s="213">
        <v>1.0</v>
      </c>
      <c r="E43" s="216" t="str">
        <f t="shared" si="1"/>
        <v>274,623</v>
      </c>
      <c r="F43" s="216" t="str">
        <f t="shared" si="4"/>
        <v>274,623</v>
      </c>
      <c r="G43" s="218">
        <v>5159.0</v>
      </c>
      <c r="H43" s="219" t="s">
        <v>493</v>
      </c>
      <c r="I43" s="212" t="s">
        <v>339</v>
      </c>
    </row>
    <row r="44">
      <c r="A44" s="213">
        <v>33.0</v>
      </c>
      <c r="B44" s="219" t="s">
        <v>494</v>
      </c>
      <c r="C44" s="219" t="s">
        <v>495</v>
      </c>
      <c r="D44" s="213">
        <v>4.0</v>
      </c>
      <c r="E44" s="216" t="str">
        <f t="shared" si="1"/>
        <v>461,946</v>
      </c>
      <c r="F44" s="216" t="str">
        <f t="shared" si="4"/>
        <v>1,847,784</v>
      </c>
      <c r="G44" s="218">
        <v>8678.0</v>
      </c>
      <c r="H44" s="219" t="s">
        <v>497</v>
      </c>
      <c r="I44" s="212" t="s">
        <v>328</v>
      </c>
    </row>
    <row r="45">
      <c r="A45" s="213">
        <v>34.0</v>
      </c>
      <c r="B45" s="219" t="s">
        <v>498</v>
      </c>
      <c r="C45" s="227"/>
      <c r="D45" s="213">
        <v>0.0</v>
      </c>
      <c r="E45" s="216" t="str">
        <f t="shared" si="1"/>
        <v>17,566,511</v>
      </c>
      <c r="F45" s="216" t="str">
        <f t="shared" si="4"/>
        <v>0</v>
      </c>
      <c r="G45" s="218">
        <v>330000.0</v>
      </c>
      <c r="H45" s="219" t="s">
        <v>499</v>
      </c>
      <c r="I45" s="212" t="s">
        <v>339</v>
      </c>
    </row>
    <row r="46">
      <c r="A46" s="213">
        <v>35.0</v>
      </c>
      <c r="B46" s="219" t="s">
        <v>445</v>
      </c>
      <c r="C46" s="219" t="s">
        <v>502</v>
      </c>
      <c r="D46" s="213">
        <v>4.0</v>
      </c>
      <c r="E46" s="216" t="str">
        <f t="shared" si="1"/>
        <v>173,004</v>
      </c>
      <c r="F46" s="216" t="str">
        <f t="shared" si="4"/>
        <v>692,014</v>
      </c>
      <c r="G46" s="218">
        <v>3250.0</v>
      </c>
      <c r="H46" s="219" t="s">
        <v>503</v>
      </c>
      <c r="I46" s="212" t="s">
        <v>328</v>
      </c>
    </row>
    <row r="47">
      <c r="A47" s="213">
        <v>36.0</v>
      </c>
      <c r="B47" s="219" t="s">
        <v>504</v>
      </c>
      <c r="C47" s="219" t="s">
        <v>505</v>
      </c>
      <c r="D47" s="213">
        <v>3.0</v>
      </c>
      <c r="E47" s="216" t="str">
        <f t="shared" si="1"/>
        <v>64,836</v>
      </c>
      <c r="F47" s="216" t="str">
        <f t="shared" si="4"/>
        <v>194,509</v>
      </c>
      <c r="G47" s="218">
        <v>1218.0</v>
      </c>
      <c r="H47" s="219" t="s">
        <v>503</v>
      </c>
      <c r="I47" s="212" t="s">
        <v>328</v>
      </c>
    </row>
    <row r="48" ht="25.5" customHeight="1">
      <c r="A48" s="213">
        <v>37.0</v>
      </c>
      <c r="B48" s="219" t="s">
        <v>506</v>
      </c>
      <c r="C48" s="219" t="s">
        <v>507</v>
      </c>
      <c r="D48" s="213">
        <v>2.0</v>
      </c>
      <c r="E48" s="216" t="str">
        <f t="shared" si="1"/>
        <v>966,690</v>
      </c>
      <c r="F48" s="216" t="str">
        <f t="shared" si="4"/>
        <v>1,933,381</v>
      </c>
      <c r="G48" s="218">
        <v>18160.0</v>
      </c>
      <c r="H48" s="219" t="s">
        <v>503</v>
      </c>
      <c r="I48" s="212" t="s">
        <v>328</v>
      </c>
    </row>
    <row r="49">
      <c r="A49" s="228"/>
      <c r="B49" s="229" t="s">
        <v>510</v>
      </c>
      <c r="C49" s="15"/>
      <c r="D49" s="228"/>
      <c r="E49" s="230"/>
      <c r="F49" s="230" t="str">
        <f>SUM(F12:F48)</f>
        <v>47,802,521</v>
      </c>
      <c r="G49" s="231"/>
      <c r="H49" s="231"/>
      <c r="I49" s="18"/>
    </row>
    <row r="50">
      <c r="A50" s="235"/>
      <c r="B50" s="235"/>
      <c r="C50" s="236" t="s">
        <v>480</v>
      </c>
      <c r="D50" s="235"/>
      <c r="E50" s="237"/>
      <c r="F50" s="237" t="str">
        <f>SUM(F15:F17)+SUM(F19:F22)+SUM(F25:F27)+SUM(F38:F40)+(F13+F14+F29)*0.5</f>
        <v>16,497,189</v>
      </c>
      <c r="G50" s="238"/>
      <c r="H50" s="238"/>
    </row>
    <row r="51">
      <c r="A51" s="239"/>
      <c r="B51" s="239"/>
      <c r="C51" s="240" t="s">
        <v>515</v>
      </c>
      <c r="D51" s="239"/>
      <c r="E51" s="241"/>
      <c r="F51" s="241" t="str">
        <f>(F13+F14+F29+F24)*0.5+F30+F34+F43+F23*0.75</f>
        <v>9,110,738</v>
      </c>
      <c r="G51" s="242"/>
      <c r="H51" s="242"/>
    </row>
    <row r="52" ht="51.0" customHeight="1">
      <c r="A52" s="243"/>
      <c r="B52" s="244"/>
      <c r="C52" s="245" t="s">
        <v>516</v>
      </c>
      <c r="D52" s="243"/>
      <c r="E52" s="246"/>
      <c r="F52" s="246" t="str">
        <f>F12+F18+F23*0.25+F24*0.5+F28+SUM(F31:F33)+SUM(F35:F37)+SUM(F41:F42)+SUM(F44:F48)</f>
        <v>22,194,594</v>
      </c>
      <c r="G52" s="247"/>
      <c r="H52" s="245" t="s">
        <v>518</v>
      </c>
    </row>
    <row r="53" ht="15.75" customHeight="1">
      <c r="A53" s="248" t="s">
        <v>519</v>
      </c>
      <c r="B53" s="1"/>
      <c r="C53" s="1"/>
      <c r="D53" s="1"/>
      <c r="E53" s="1"/>
      <c r="F53" s="1"/>
      <c r="G53" s="1"/>
      <c r="H53" s="1"/>
    </row>
    <row r="54">
      <c r="A54" s="213">
        <v>1.0</v>
      </c>
      <c r="B54" s="214" t="s">
        <v>520</v>
      </c>
      <c r="C54" s="214" t="s">
        <v>521</v>
      </c>
      <c r="D54" s="215">
        <v>25.0</v>
      </c>
      <c r="E54" s="249">
        <v>25000.0</v>
      </c>
      <c r="F54" s="217" t="str">
        <f t="shared" ref="F54:F56" si="5">E54*D54</f>
        <v>625,000</v>
      </c>
      <c r="G54" s="250"/>
      <c r="H54" s="218" t="s">
        <v>523</v>
      </c>
      <c r="I54" s="212" t="s">
        <v>328</v>
      </c>
    </row>
    <row r="55">
      <c r="A55" s="213">
        <v>2.0</v>
      </c>
      <c r="B55" s="214" t="s">
        <v>524</v>
      </c>
      <c r="C55" s="214" t="s">
        <v>525</v>
      </c>
      <c r="D55" s="215">
        <v>1.0</v>
      </c>
      <c r="E55" s="249">
        <v>40000.0</v>
      </c>
      <c r="F55" s="217" t="str">
        <f t="shared" si="5"/>
        <v>40,000</v>
      </c>
      <c r="G55" s="250"/>
      <c r="H55" s="218" t="s">
        <v>526</v>
      </c>
      <c r="I55" s="212" t="s">
        <v>339</v>
      </c>
    </row>
    <row r="56">
      <c r="A56" s="251"/>
      <c r="B56" s="252"/>
      <c r="C56" s="252"/>
      <c r="D56" s="253"/>
      <c r="E56" s="217"/>
      <c r="F56" s="217" t="str">
        <f t="shared" si="5"/>
        <v>0</v>
      </c>
      <c r="G56" s="250"/>
      <c r="H56" s="250"/>
      <c r="I56" s="18"/>
    </row>
    <row r="57">
      <c r="A57" s="228"/>
      <c r="B57" s="229" t="s">
        <v>529</v>
      </c>
      <c r="C57" s="15"/>
      <c r="D57" s="228"/>
      <c r="E57" s="231"/>
      <c r="F57" s="231" t="str">
        <f>SUM(F54:F56)</f>
        <v>665,000</v>
      </c>
      <c r="G57" s="231"/>
      <c r="H57" s="231"/>
      <c r="I57" s="18"/>
    </row>
    <row r="58">
      <c r="A58" s="12"/>
      <c r="B58" s="12"/>
      <c r="C58" s="12"/>
      <c r="D58" s="12"/>
      <c r="E58" s="12"/>
      <c r="F58" s="12"/>
      <c r="G58" s="12"/>
      <c r="H58" s="12"/>
    </row>
    <row r="59" ht="15.75" customHeight="1">
      <c r="A59" s="248" t="s">
        <v>531</v>
      </c>
      <c r="B59" s="1"/>
      <c r="C59" s="1"/>
      <c r="D59" s="1"/>
      <c r="E59" s="1"/>
      <c r="F59" s="1"/>
      <c r="G59" s="1"/>
      <c r="H59" s="1"/>
    </row>
    <row r="60">
      <c r="A60" s="254">
        <v>1.0</v>
      </c>
      <c r="B60" s="255" t="s">
        <v>532</v>
      </c>
      <c r="C60" s="109" t="s">
        <v>470</v>
      </c>
      <c r="D60" s="109">
        <v>1.0</v>
      </c>
      <c r="E60" s="216" t="str">
        <f t="shared" ref="E60:E65" si="6">G60*$E$1*(1+1*$E$2)*(1+1*$E$5)</f>
        <v>109,125</v>
      </c>
      <c r="F60" s="256" t="str">
        <f t="shared" ref="F60:F75" si="7">E60*D60</f>
        <v>109,125</v>
      </c>
      <c r="G60" s="218">
        <v>2050.0</v>
      </c>
      <c r="H60" s="214" t="s">
        <v>535</v>
      </c>
      <c r="I60" s="212" t="s">
        <v>339</v>
      </c>
    </row>
    <row r="61">
      <c r="A61" s="254">
        <v>2.0</v>
      </c>
      <c r="B61" s="257" t="s">
        <v>536</v>
      </c>
      <c r="C61" s="213" t="s">
        <v>538</v>
      </c>
      <c r="D61" s="213">
        <v>1.0</v>
      </c>
      <c r="E61" s="216" t="str">
        <f t="shared" si="6"/>
        <v>1,184,089</v>
      </c>
      <c r="F61" s="256" t="str">
        <f t="shared" si="7"/>
        <v>1,184,089</v>
      </c>
      <c r="G61" s="218">
        <v>22244.0</v>
      </c>
      <c r="H61" s="214" t="s">
        <v>535</v>
      </c>
      <c r="I61" s="212" t="s">
        <v>339</v>
      </c>
    </row>
    <row r="62">
      <c r="A62" s="254">
        <v>3.0</v>
      </c>
      <c r="B62" s="257" t="s">
        <v>540</v>
      </c>
      <c r="C62" s="213" t="s">
        <v>538</v>
      </c>
      <c r="D62" s="213">
        <v>1.0</v>
      </c>
      <c r="E62" s="216" t="str">
        <f t="shared" si="6"/>
        <v>520,607</v>
      </c>
      <c r="F62" s="256" t="str">
        <f t="shared" si="7"/>
        <v>520,607</v>
      </c>
      <c r="G62" s="218">
        <v>9780.0</v>
      </c>
      <c r="H62" s="214" t="s">
        <v>535</v>
      </c>
      <c r="I62" s="212" t="s">
        <v>339</v>
      </c>
    </row>
    <row r="63">
      <c r="A63" s="254">
        <v>4.0</v>
      </c>
      <c r="B63" s="257" t="s">
        <v>542</v>
      </c>
      <c r="C63" s="213" t="s">
        <v>538</v>
      </c>
      <c r="D63" s="213">
        <v>1.0</v>
      </c>
      <c r="E63" s="216" t="str">
        <f t="shared" si="6"/>
        <v>284,365</v>
      </c>
      <c r="F63" s="256" t="str">
        <f t="shared" si="7"/>
        <v>284,365</v>
      </c>
      <c r="G63" s="218">
        <v>5342.0</v>
      </c>
      <c r="H63" s="214" t="s">
        <v>535</v>
      </c>
      <c r="I63" s="212" t="s">
        <v>339</v>
      </c>
    </row>
    <row r="64">
      <c r="A64" s="254">
        <v>5.0</v>
      </c>
      <c r="B64" s="257" t="s">
        <v>544</v>
      </c>
      <c r="C64" s="213" t="s">
        <v>538</v>
      </c>
      <c r="D64" s="213">
        <v>1.0</v>
      </c>
      <c r="E64" s="216" t="str">
        <f t="shared" si="6"/>
        <v>239,543</v>
      </c>
      <c r="F64" s="256" t="str">
        <f t="shared" si="7"/>
        <v>239,543</v>
      </c>
      <c r="G64" s="218">
        <v>4500.0</v>
      </c>
      <c r="H64" s="214" t="s">
        <v>535</v>
      </c>
      <c r="I64" s="212" t="s">
        <v>339</v>
      </c>
    </row>
    <row r="65">
      <c r="A65" s="254">
        <v>6.0</v>
      </c>
      <c r="B65" s="257" t="s">
        <v>546</v>
      </c>
      <c r="C65" s="213" t="s">
        <v>547</v>
      </c>
      <c r="D65" s="213">
        <v>1.0</v>
      </c>
      <c r="E65" s="216" t="str">
        <f t="shared" si="6"/>
        <v>4,604,342</v>
      </c>
      <c r="F65" s="256" t="str">
        <f t="shared" si="7"/>
        <v>4,604,342</v>
      </c>
      <c r="G65" s="225" t="str">
        <f>78219+8277</f>
        <v>86496</v>
      </c>
      <c r="H65" s="214" t="s">
        <v>535</v>
      </c>
      <c r="I65" s="212" t="s">
        <v>339</v>
      </c>
    </row>
    <row r="66">
      <c r="A66" s="254">
        <v>7.0</v>
      </c>
      <c r="B66" s="257" t="s">
        <v>548</v>
      </c>
      <c r="C66" s="213" t="s">
        <v>547</v>
      </c>
      <c r="D66" s="213">
        <v>3.0</v>
      </c>
      <c r="E66" s="249">
        <v>289786.0</v>
      </c>
      <c r="F66" s="256" t="str">
        <f t="shared" si="7"/>
        <v>869,358</v>
      </c>
      <c r="G66" s="250"/>
      <c r="H66" s="214" t="s">
        <v>535</v>
      </c>
      <c r="I66" s="212" t="s">
        <v>339</v>
      </c>
    </row>
    <row r="67">
      <c r="A67" s="254">
        <v>8.0</v>
      </c>
      <c r="B67" s="257" t="s">
        <v>550</v>
      </c>
      <c r="C67" s="213" t="s">
        <v>551</v>
      </c>
      <c r="D67" s="213">
        <v>1.0</v>
      </c>
      <c r="E67" s="216" t="str">
        <f t="shared" ref="E67:E69" si="8">G67*$E$1*(1+1*$E$2)*(1+1*$E$5)</f>
        <v>532,319</v>
      </c>
      <c r="F67" s="256" t="str">
        <f t="shared" si="7"/>
        <v>532,319</v>
      </c>
      <c r="G67" s="218">
        <v>10000.0</v>
      </c>
      <c r="H67" s="214" t="s">
        <v>535</v>
      </c>
      <c r="I67" s="212" t="s">
        <v>339</v>
      </c>
    </row>
    <row r="68">
      <c r="A68" s="254">
        <v>10.0</v>
      </c>
      <c r="B68" s="257" t="s">
        <v>552</v>
      </c>
      <c r="C68" s="109" t="s">
        <v>470</v>
      </c>
      <c r="D68" s="213">
        <v>2.0</v>
      </c>
      <c r="E68" s="216" t="str">
        <f t="shared" si="8"/>
        <v>55,893</v>
      </c>
      <c r="F68" s="256" t="str">
        <f t="shared" si="7"/>
        <v>111,787</v>
      </c>
      <c r="G68" s="218">
        <v>1050.0</v>
      </c>
      <c r="H68" s="214" t="s">
        <v>535</v>
      </c>
      <c r="I68" s="212" t="s">
        <v>339</v>
      </c>
    </row>
    <row r="69">
      <c r="A69" s="254">
        <v>11.0</v>
      </c>
      <c r="B69" s="257" t="s">
        <v>554</v>
      </c>
      <c r="C69" s="109" t="s">
        <v>470</v>
      </c>
      <c r="D69" s="213">
        <v>2.0</v>
      </c>
      <c r="E69" s="216" t="str">
        <f t="shared" si="8"/>
        <v>19,696</v>
      </c>
      <c r="F69" s="256" t="str">
        <f t="shared" si="7"/>
        <v>39,392</v>
      </c>
      <c r="G69" s="218">
        <v>370.0</v>
      </c>
      <c r="H69" s="214" t="s">
        <v>535</v>
      </c>
      <c r="I69" s="212" t="s">
        <v>339</v>
      </c>
    </row>
    <row r="70">
      <c r="A70" s="254">
        <v>12.0</v>
      </c>
      <c r="B70" s="257" t="s">
        <v>555</v>
      </c>
      <c r="C70" s="109" t="s">
        <v>470</v>
      </c>
      <c r="D70" s="213">
        <v>1.0</v>
      </c>
      <c r="E70" s="218">
        <v>375000.0</v>
      </c>
      <c r="F70" s="258" t="str">
        <f t="shared" si="7"/>
        <v>375,000</v>
      </c>
      <c r="G70" s="46"/>
      <c r="H70" s="214" t="s">
        <v>535</v>
      </c>
      <c r="I70" s="212" t="s">
        <v>339</v>
      </c>
    </row>
    <row r="71">
      <c r="A71" s="254">
        <v>13.0</v>
      </c>
      <c r="B71" s="257" t="s">
        <v>556</v>
      </c>
      <c r="C71" s="109" t="s">
        <v>470</v>
      </c>
      <c r="D71" s="213">
        <v>1.0</v>
      </c>
      <c r="E71" s="218">
        <v>300000.0</v>
      </c>
      <c r="F71" s="258" t="str">
        <f t="shared" si="7"/>
        <v>300,000</v>
      </c>
      <c r="G71" s="47"/>
      <c r="H71" s="214" t="s">
        <v>535</v>
      </c>
      <c r="I71" s="212" t="s">
        <v>339</v>
      </c>
    </row>
    <row r="72" ht="25.5" customHeight="1">
      <c r="A72" s="254">
        <v>14.0</v>
      </c>
      <c r="B72" s="257" t="s">
        <v>558</v>
      </c>
      <c r="C72" s="259" t="s">
        <v>559</v>
      </c>
      <c r="D72" s="223">
        <v>0.0</v>
      </c>
      <c r="E72" s="216" t="str">
        <f t="shared" ref="E72:E75" si="9">G72*$E$1*(1+1*$E$2)*(1+1*$E$5)</f>
        <v>4,163,742</v>
      </c>
      <c r="F72" s="256" t="str">
        <f t="shared" si="7"/>
        <v>0</v>
      </c>
      <c r="G72" s="218">
        <v>78219.0</v>
      </c>
      <c r="H72" s="214" t="s">
        <v>561</v>
      </c>
      <c r="I72" s="212" t="s">
        <v>328</v>
      </c>
    </row>
    <row r="73" ht="25.5" customHeight="1">
      <c r="A73" s="254">
        <v>15.0</v>
      </c>
      <c r="B73" s="257" t="s">
        <v>563</v>
      </c>
      <c r="C73" s="259" t="s">
        <v>564</v>
      </c>
      <c r="D73" s="223">
        <v>0.0</v>
      </c>
      <c r="E73" s="216" t="str">
        <f t="shared" si="9"/>
        <v>337,117</v>
      </c>
      <c r="F73" s="256" t="str">
        <f t="shared" si="7"/>
        <v>0</v>
      </c>
      <c r="G73" s="218">
        <v>6333.0</v>
      </c>
      <c r="H73" s="214" t="s">
        <v>561</v>
      </c>
      <c r="I73" s="212" t="s">
        <v>328</v>
      </c>
    </row>
    <row r="74">
      <c r="A74" s="254">
        <v>16.0</v>
      </c>
      <c r="B74" s="257" t="s">
        <v>566</v>
      </c>
      <c r="C74" s="259" t="s">
        <v>547</v>
      </c>
      <c r="D74" s="223">
        <v>0.0</v>
      </c>
      <c r="E74" s="216" t="str">
        <f t="shared" si="9"/>
        <v>0</v>
      </c>
      <c r="F74" s="256" t="str">
        <f t="shared" si="7"/>
        <v>0</v>
      </c>
      <c r="G74" s="250"/>
      <c r="H74" s="214" t="s">
        <v>567</v>
      </c>
      <c r="I74" s="212" t="s">
        <v>328</v>
      </c>
    </row>
    <row r="75" ht="25.5" customHeight="1">
      <c r="A75" s="254">
        <v>17.0</v>
      </c>
      <c r="B75" s="257" t="s">
        <v>568</v>
      </c>
      <c r="C75" s="259" t="s">
        <v>569</v>
      </c>
      <c r="D75" s="223">
        <v>0.0</v>
      </c>
      <c r="E75" s="216" t="str">
        <f t="shared" si="9"/>
        <v>504,106</v>
      </c>
      <c r="F75" s="256" t="str">
        <f t="shared" si="7"/>
        <v>0</v>
      </c>
      <c r="G75" s="218">
        <v>9470.0</v>
      </c>
      <c r="H75" s="214" t="s">
        <v>561</v>
      </c>
      <c r="I75" s="212" t="s">
        <v>328</v>
      </c>
    </row>
    <row r="76">
      <c r="A76" s="228"/>
      <c r="B76" s="229" t="s">
        <v>570</v>
      </c>
      <c r="C76" s="15"/>
      <c r="D76" s="228"/>
      <c r="E76" s="231"/>
      <c r="F76" s="231" t="str">
        <f>SUM(F60:F75)</f>
        <v>9,169,927</v>
      </c>
      <c r="G76" s="231"/>
      <c r="H76" s="231"/>
      <c r="I76" s="18"/>
    </row>
    <row r="77">
      <c r="A77" s="260"/>
      <c r="B77" s="261"/>
      <c r="C77" s="262"/>
      <c r="D77" s="263"/>
      <c r="E77" s="264"/>
      <c r="F77" s="265"/>
      <c r="G77" s="266"/>
      <c r="H77" s="267"/>
    </row>
    <row r="78" ht="15.75" customHeight="1">
      <c r="A78" s="248" t="s">
        <v>573</v>
      </c>
      <c r="B78" s="1"/>
      <c r="C78" s="1"/>
      <c r="D78" s="1"/>
      <c r="E78" s="1"/>
      <c r="F78" s="1"/>
      <c r="G78" s="1"/>
      <c r="H78" s="1"/>
    </row>
    <row r="79" ht="25.5" customHeight="1">
      <c r="A79" s="213">
        <v>1.0</v>
      </c>
      <c r="B79" s="219" t="s">
        <v>558</v>
      </c>
      <c r="C79" s="219" t="s">
        <v>559</v>
      </c>
      <c r="D79" s="223">
        <v>0.0</v>
      </c>
      <c r="E79" s="216" t="str">
        <f t="shared" ref="E79:E82" si="10">G79*$E$1*(1+1*$E$2)*(1+1*$E$5)</f>
        <v>4,163,742</v>
      </c>
      <c r="F79" s="217" t="str">
        <f t="shared" ref="F79:F84" si="11">E79*D79</f>
        <v>0</v>
      </c>
      <c r="G79" s="218">
        <v>78219.0</v>
      </c>
      <c r="H79" s="214" t="s">
        <v>561</v>
      </c>
      <c r="I79" s="212" t="s">
        <v>328</v>
      </c>
    </row>
    <row r="80" ht="25.5" customHeight="1">
      <c r="A80" s="213">
        <v>2.0</v>
      </c>
      <c r="B80" s="219" t="s">
        <v>563</v>
      </c>
      <c r="C80" s="219" t="s">
        <v>564</v>
      </c>
      <c r="D80" s="223">
        <v>0.0</v>
      </c>
      <c r="E80" s="216" t="str">
        <f t="shared" si="10"/>
        <v>337,117</v>
      </c>
      <c r="F80" s="217" t="str">
        <f t="shared" si="11"/>
        <v>0</v>
      </c>
      <c r="G80" s="218">
        <v>6333.0</v>
      </c>
      <c r="H80" s="214" t="s">
        <v>561</v>
      </c>
      <c r="I80" s="212" t="s">
        <v>328</v>
      </c>
    </row>
    <row r="81" ht="25.5" customHeight="1">
      <c r="A81" s="213">
        <v>3.0</v>
      </c>
      <c r="B81" s="219" t="s">
        <v>568</v>
      </c>
      <c r="C81" s="219" t="s">
        <v>569</v>
      </c>
      <c r="D81" s="223">
        <v>0.0</v>
      </c>
      <c r="E81" s="216" t="str">
        <f t="shared" si="10"/>
        <v>504,052</v>
      </c>
      <c r="F81" s="217" t="str">
        <f t="shared" si="11"/>
        <v>0</v>
      </c>
      <c r="G81" s="218">
        <v>9469.0</v>
      </c>
      <c r="H81" s="214" t="s">
        <v>561</v>
      </c>
      <c r="I81" s="212" t="s">
        <v>328</v>
      </c>
    </row>
    <row r="82" ht="25.5" customHeight="1">
      <c r="A82" s="213">
        <v>4.0</v>
      </c>
      <c r="B82" s="219" t="s">
        <v>577</v>
      </c>
      <c r="C82" s="219" t="s">
        <v>578</v>
      </c>
      <c r="D82" s="223">
        <v>0.0</v>
      </c>
      <c r="E82" s="216" t="str">
        <f t="shared" si="10"/>
        <v>581,026</v>
      </c>
      <c r="F82" s="217" t="str">
        <f t="shared" si="11"/>
        <v>0</v>
      </c>
      <c r="G82" s="225" t="str">
        <f>8706+520+1689</f>
        <v>10915</v>
      </c>
      <c r="H82" s="214" t="s">
        <v>561</v>
      </c>
      <c r="I82" s="212" t="s">
        <v>328</v>
      </c>
    </row>
    <row r="83" ht="25.5" customHeight="1">
      <c r="A83" s="213">
        <v>5.0</v>
      </c>
      <c r="B83" s="219" t="s">
        <v>580</v>
      </c>
      <c r="C83" s="219" t="s">
        <v>581</v>
      </c>
      <c r="D83" s="213">
        <v>2.0</v>
      </c>
      <c r="E83" s="268">
        <v>1114030.0</v>
      </c>
      <c r="F83" s="217" t="str">
        <f t="shared" si="11"/>
        <v>2,228,060</v>
      </c>
      <c r="G83" s="250"/>
      <c r="H83" s="219" t="s">
        <v>582</v>
      </c>
      <c r="I83" s="212" t="s">
        <v>343</v>
      </c>
    </row>
    <row r="84" ht="51.0" customHeight="1">
      <c r="A84" s="213">
        <v>6.0</v>
      </c>
      <c r="B84" s="219" t="s">
        <v>584</v>
      </c>
      <c r="C84" s="219" t="s">
        <v>585</v>
      </c>
      <c r="D84" s="213">
        <v>1.0</v>
      </c>
      <c r="E84" s="216" t="str">
        <f>G84*$E$1*(1+1*$E$2)*(1+1*$E$5)</f>
        <v>47,367,404</v>
      </c>
      <c r="F84" s="217" t="str">
        <f t="shared" si="11"/>
        <v>47,367,404</v>
      </c>
      <c r="G84" s="218">
        <v>889832.0</v>
      </c>
      <c r="H84" s="219" t="s">
        <v>590</v>
      </c>
      <c r="I84" s="212" t="s">
        <v>343</v>
      </c>
    </row>
    <row r="85">
      <c r="A85" s="228"/>
      <c r="B85" s="229" t="s">
        <v>592</v>
      </c>
      <c r="C85" s="15"/>
      <c r="D85" s="228"/>
      <c r="E85" s="231"/>
      <c r="F85" s="231" t="str">
        <f>SUM(F79:F84)</f>
        <v>49,595,464</v>
      </c>
      <c r="G85" s="231"/>
      <c r="H85" s="231"/>
      <c r="I85" s="18"/>
    </row>
    <row r="86">
      <c r="A86" s="12"/>
      <c r="B86" s="12"/>
      <c r="C86" s="12"/>
      <c r="D86" s="12"/>
      <c r="E86" s="12"/>
      <c r="F86" s="12"/>
      <c r="G86" s="12"/>
      <c r="H86" s="12"/>
    </row>
    <row r="87" ht="15.75" customHeight="1">
      <c r="A87" s="248" t="s">
        <v>594</v>
      </c>
      <c r="B87" s="1"/>
      <c r="C87" s="1"/>
      <c r="D87" s="1"/>
      <c r="E87" s="1"/>
      <c r="F87" s="1"/>
      <c r="G87" s="1"/>
      <c r="H87" s="1"/>
    </row>
    <row r="88" ht="25.5" customHeight="1">
      <c r="A88" s="219">
        <v>1.0</v>
      </c>
      <c r="B88" s="271" t="s">
        <v>595</v>
      </c>
      <c r="C88" s="271" t="s">
        <v>597</v>
      </c>
      <c r="D88" s="116">
        <v>2.0</v>
      </c>
      <c r="E88" s="216" t="str">
        <f t="shared" ref="E88:E109" si="12">G88*$E$1*(1+1*$E$2)*(1+1*$E$5)</f>
        <v>10,646</v>
      </c>
      <c r="F88" s="272" t="str">
        <f t="shared" ref="F88:F109" si="13">D88*E88</f>
        <v>21,293</v>
      </c>
      <c r="G88" s="116">
        <v>200.0</v>
      </c>
      <c r="H88" s="271" t="s">
        <v>599</v>
      </c>
      <c r="I88" s="212" t="s">
        <v>339</v>
      </c>
    </row>
    <row r="89" ht="25.5" customHeight="1">
      <c r="A89" s="219">
        <v>2.0</v>
      </c>
      <c r="B89" s="271" t="s">
        <v>601</v>
      </c>
      <c r="C89" s="271" t="s">
        <v>602</v>
      </c>
      <c r="D89" s="116">
        <v>1.0</v>
      </c>
      <c r="E89" s="216" t="str">
        <f t="shared" si="12"/>
        <v>2,001,518</v>
      </c>
      <c r="F89" s="272" t="str">
        <f t="shared" si="13"/>
        <v>2,001,518</v>
      </c>
      <c r="G89" s="116">
        <v>37600.0</v>
      </c>
      <c r="H89" s="271" t="s">
        <v>599</v>
      </c>
      <c r="I89" s="212" t="s">
        <v>339</v>
      </c>
    </row>
    <row r="90" ht="38.25" customHeight="1">
      <c r="A90" s="219">
        <v>3.0</v>
      </c>
      <c r="B90" s="271" t="s">
        <v>605</v>
      </c>
      <c r="C90" s="271" t="s">
        <v>606</v>
      </c>
      <c r="D90" s="116">
        <v>1.0</v>
      </c>
      <c r="E90" s="216" t="str">
        <f t="shared" si="12"/>
        <v>4,030,503</v>
      </c>
      <c r="F90" s="272" t="str">
        <f t="shared" si="13"/>
        <v>4,030,503</v>
      </c>
      <c r="G90" s="116">
        <v>75716.0</v>
      </c>
      <c r="H90" s="271" t="s">
        <v>607</v>
      </c>
      <c r="I90" s="212" t="s">
        <v>328</v>
      </c>
    </row>
    <row r="91">
      <c r="A91" s="219">
        <v>4.0</v>
      </c>
      <c r="B91" s="271" t="s">
        <v>608</v>
      </c>
      <c r="C91" s="271" t="s">
        <v>609</v>
      </c>
      <c r="D91" s="116">
        <v>10.0</v>
      </c>
      <c r="E91" s="216" t="str">
        <f t="shared" si="12"/>
        <v>1,065</v>
      </c>
      <c r="F91" s="272" t="str">
        <f t="shared" si="13"/>
        <v>10,646</v>
      </c>
      <c r="G91" s="116">
        <v>20.0</v>
      </c>
      <c r="H91" s="116" t="s">
        <v>611</v>
      </c>
      <c r="I91" s="212" t="s">
        <v>339</v>
      </c>
    </row>
    <row r="92" ht="25.5" customHeight="1">
      <c r="A92" s="219">
        <v>5.0</v>
      </c>
      <c r="B92" s="273" t="s">
        <v>612</v>
      </c>
      <c r="C92" s="271" t="s">
        <v>614</v>
      </c>
      <c r="D92" s="116">
        <v>2.0</v>
      </c>
      <c r="E92" s="216" t="str">
        <f t="shared" si="12"/>
        <v>5,856</v>
      </c>
      <c r="F92" s="272" t="str">
        <f t="shared" si="13"/>
        <v>11,711</v>
      </c>
      <c r="G92" s="116">
        <v>110.0</v>
      </c>
      <c r="H92" s="116" t="s">
        <v>616</v>
      </c>
      <c r="I92" s="212" t="s">
        <v>339</v>
      </c>
    </row>
    <row r="93" ht="25.5" customHeight="1">
      <c r="A93" s="219">
        <v>6.0</v>
      </c>
      <c r="B93" s="271" t="s">
        <v>617</v>
      </c>
      <c r="C93" s="271" t="s">
        <v>618</v>
      </c>
      <c r="D93" s="116">
        <v>2.0</v>
      </c>
      <c r="E93" s="216" t="str">
        <f t="shared" si="12"/>
        <v>31,939</v>
      </c>
      <c r="F93" s="272" t="str">
        <f t="shared" si="13"/>
        <v>63,878</v>
      </c>
      <c r="G93" s="116">
        <v>600.0</v>
      </c>
      <c r="H93" s="116" t="s">
        <v>619</v>
      </c>
      <c r="I93" s="212" t="s">
        <v>339</v>
      </c>
    </row>
    <row r="94">
      <c r="A94" s="219">
        <v>7.0</v>
      </c>
      <c r="B94" s="117" t="s">
        <v>620</v>
      </c>
      <c r="C94" s="271" t="s">
        <v>621</v>
      </c>
      <c r="D94" s="116">
        <v>2.0</v>
      </c>
      <c r="E94" s="216" t="str">
        <f t="shared" si="12"/>
        <v>112,213</v>
      </c>
      <c r="F94" s="272" t="str">
        <f t="shared" si="13"/>
        <v>224,425</v>
      </c>
      <c r="G94" s="116">
        <v>2108.0</v>
      </c>
      <c r="H94" s="116" t="s">
        <v>622</v>
      </c>
      <c r="I94" s="212" t="s">
        <v>339</v>
      </c>
    </row>
    <row r="95" ht="25.5" customHeight="1">
      <c r="A95" s="219">
        <v>8.0</v>
      </c>
      <c r="B95" s="271" t="s">
        <v>623</v>
      </c>
      <c r="C95" s="271" t="s">
        <v>624</v>
      </c>
      <c r="D95" s="116">
        <v>1.0</v>
      </c>
      <c r="E95" s="216" t="str">
        <f t="shared" si="12"/>
        <v>121,582</v>
      </c>
      <c r="F95" s="272" t="str">
        <f t="shared" si="13"/>
        <v>121,582</v>
      </c>
      <c r="G95" s="116">
        <v>2284.0</v>
      </c>
      <c r="H95" s="116" t="s">
        <v>627</v>
      </c>
      <c r="I95" s="212" t="s">
        <v>339</v>
      </c>
    </row>
    <row r="96" ht="25.5" customHeight="1">
      <c r="A96" s="219">
        <v>9.0</v>
      </c>
      <c r="B96" s="271" t="s">
        <v>628</v>
      </c>
      <c r="C96" s="271" t="s">
        <v>629</v>
      </c>
      <c r="D96" s="116">
        <v>5.0</v>
      </c>
      <c r="E96" s="216" t="str">
        <f t="shared" si="12"/>
        <v>74,738</v>
      </c>
      <c r="F96" s="272" t="str">
        <f t="shared" si="13"/>
        <v>373,688</v>
      </c>
      <c r="G96" s="116">
        <v>1404.0</v>
      </c>
      <c r="H96" s="116" t="s">
        <v>633</v>
      </c>
      <c r="I96" s="212" t="s">
        <v>339</v>
      </c>
    </row>
    <row r="97">
      <c r="A97" s="219">
        <v>10.0</v>
      </c>
      <c r="B97" s="271" t="s">
        <v>634</v>
      </c>
      <c r="C97" s="271" t="s">
        <v>635</v>
      </c>
      <c r="D97" s="116">
        <v>1.0</v>
      </c>
      <c r="E97" s="216" t="str">
        <f t="shared" si="12"/>
        <v>11,072</v>
      </c>
      <c r="F97" s="272" t="str">
        <f t="shared" si="13"/>
        <v>11,072</v>
      </c>
      <c r="G97" s="116">
        <v>208.0</v>
      </c>
      <c r="H97" s="116" t="s">
        <v>636</v>
      </c>
      <c r="I97" s="212" t="s">
        <v>339</v>
      </c>
    </row>
    <row r="98">
      <c r="A98" s="219">
        <v>11.0</v>
      </c>
      <c r="B98" s="271" t="s">
        <v>637</v>
      </c>
      <c r="C98" s="271" t="s">
        <v>638</v>
      </c>
      <c r="D98" s="116">
        <v>3.0</v>
      </c>
      <c r="E98" s="216" t="str">
        <f t="shared" si="12"/>
        <v>110,083</v>
      </c>
      <c r="F98" s="272" t="str">
        <f t="shared" si="13"/>
        <v>330,250</v>
      </c>
      <c r="G98" s="116">
        <v>2068.0</v>
      </c>
      <c r="H98" s="218" t="s">
        <v>480</v>
      </c>
      <c r="I98" s="212" t="s">
        <v>339</v>
      </c>
    </row>
    <row r="99">
      <c r="A99" s="219">
        <v>12.0</v>
      </c>
      <c r="B99" s="274" t="s">
        <v>640</v>
      </c>
      <c r="C99" s="271" t="s">
        <v>641</v>
      </c>
      <c r="D99" s="116">
        <v>1.0</v>
      </c>
      <c r="E99" s="216" t="str">
        <f t="shared" si="12"/>
        <v>87,939</v>
      </c>
      <c r="F99" s="272" t="str">
        <f t="shared" si="13"/>
        <v>87,939</v>
      </c>
      <c r="G99" s="116">
        <v>1652.0</v>
      </c>
      <c r="H99" s="218" t="s">
        <v>642</v>
      </c>
      <c r="I99" s="212" t="s">
        <v>339</v>
      </c>
    </row>
    <row r="100">
      <c r="A100" s="219">
        <v>13.0</v>
      </c>
      <c r="B100" s="271" t="s">
        <v>643</v>
      </c>
      <c r="C100" s="271" t="s">
        <v>644</v>
      </c>
      <c r="D100" s="116">
        <v>0.0</v>
      </c>
      <c r="E100" s="216" t="str">
        <f t="shared" si="12"/>
        <v>18,099</v>
      </c>
      <c r="F100" s="272" t="str">
        <f t="shared" si="13"/>
        <v>0</v>
      </c>
      <c r="G100" s="116">
        <v>340.0</v>
      </c>
      <c r="H100" s="218" t="s">
        <v>480</v>
      </c>
      <c r="I100" s="212" t="s">
        <v>339</v>
      </c>
    </row>
    <row r="101" ht="25.5" customHeight="1">
      <c r="A101" s="219">
        <v>14.0</v>
      </c>
      <c r="B101" s="271" t="s">
        <v>645</v>
      </c>
      <c r="C101" s="271" t="s">
        <v>646</v>
      </c>
      <c r="D101" s="116">
        <v>0.0</v>
      </c>
      <c r="E101" s="216" t="str">
        <f t="shared" si="12"/>
        <v>3,992,389</v>
      </c>
      <c r="F101" s="272" t="str">
        <f t="shared" si="13"/>
        <v>0</v>
      </c>
      <c r="G101" s="116">
        <v>75000.0</v>
      </c>
      <c r="H101" s="218" t="s">
        <v>647</v>
      </c>
      <c r="I101" s="212" t="s">
        <v>339</v>
      </c>
    </row>
    <row r="102" ht="25.5" customHeight="1">
      <c r="A102" s="219">
        <v>15.0</v>
      </c>
      <c r="B102" s="271" t="s">
        <v>648</v>
      </c>
      <c r="C102" s="271" t="s">
        <v>649</v>
      </c>
      <c r="D102" s="276">
        <v>0.0</v>
      </c>
      <c r="E102" s="216" t="str">
        <f t="shared" si="12"/>
        <v>4,790,867</v>
      </c>
      <c r="F102" s="272" t="str">
        <f t="shared" si="13"/>
        <v>0</v>
      </c>
      <c r="G102" s="116">
        <v>90000.0</v>
      </c>
      <c r="H102" s="214" t="s">
        <v>561</v>
      </c>
      <c r="I102" s="212" t="s">
        <v>328</v>
      </c>
    </row>
    <row r="103" ht="25.5" customHeight="1">
      <c r="A103" s="219">
        <v>16.0</v>
      </c>
      <c r="B103" s="273" t="s">
        <v>650</v>
      </c>
      <c r="C103" s="271" t="s">
        <v>649</v>
      </c>
      <c r="D103" s="276">
        <v>0.0</v>
      </c>
      <c r="E103" s="216" t="str">
        <f t="shared" si="12"/>
        <v>250,190</v>
      </c>
      <c r="F103" s="272" t="str">
        <f t="shared" si="13"/>
        <v>0</v>
      </c>
      <c r="G103" s="116">
        <v>4700.0</v>
      </c>
      <c r="H103" s="214" t="s">
        <v>561</v>
      </c>
      <c r="I103" s="212" t="s">
        <v>328</v>
      </c>
    </row>
    <row r="104" ht="25.5" customHeight="1">
      <c r="A104" s="219">
        <v>17.0</v>
      </c>
      <c r="B104" s="271" t="s">
        <v>652</v>
      </c>
      <c r="C104" s="277" t="s">
        <v>653</v>
      </c>
      <c r="D104" s="116">
        <v>2.0</v>
      </c>
      <c r="E104" s="216" t="str">
        <f t="shared" si="12"/>
        <v>851,710</v>
      </c>
      <c r="F104" s="272" t="str">
        <f t="shared" si="13"/>
        <v>1,703,419</v>
      </c>
      <c r="G104" s="116">
        <v>16000.0</v>
      </c>
      <c r="H104" s="218" t="s">
        <v>656</v>
      </c>
      <c r="I104" s="212" t="s">
        <v>328</v>
      </c>
    </row>
    <row r="105" ht="25.5" customHeight="1">
      <c r="A105" s="219">
        <v>18.0</v>
      </c>
      <c r="B105" s="271" t="s">
        <v>652</v>
      </c>
      <c r="C105" s="277" t="s">
        <v>657</v>
      </c>
      <c r="D105" s="116">
        <v>2.0</v>
      </c>
      <c r="E105" s="216" t="str">
        <f t="shared" si="12"/>
        <v>372,623</v>
      </c>
      <c r="F105" s="272" t="str">
        <f t="shared" si="13"/>
        <v>745,246</v>
      </c>
      <c r="G105" s="116">
        <v>7000.0</v>
      </c>
      <c r="H105" s="218" t="s">
        <v>656</v>
      </c>
      <c r="I105" s="212" t="s">
        <v>328</v>
      </c>
    </row>
    <row r="106">
      <c r="A106" s="219">
        <v>19.0</v>
      </c>
      <c r="B106" s="271" t="s">
        <v>658</v>
      </c>
      <c r="C106" s="271" t="s">
        <v>659</v>
      </c>
      <c r="D106" s="116">
        <v>150.0</v>
      </c>
      <c r="E106" s="216" t="str">
        <f t="shared" si="12"/>
        <v>3,194</v>
      </c>
      <c r="F106" s="272" t="str">
        <f t="shared" si="13"/>
        <v>479,087</v>
      </c>
      <c r="G106" s="116">
        <v>60.0</v>
      </c>
      <c r="H106" s="218" t="s">
        <v>660</v>
      </c>
      <c r="I106" s="212" t="s">
        <v>328</v>
      </c>
    </row>
    <row r="107" ht="63.75" customHeight="1">
      <c r="A107" s="219">
        <v>20.0</v>
      </c>
      <c r="B107" s="271" t="s">
        <v>661</v>
      </c>
      <c r="C107" s="271" t="s">
        <v>662</v>
      </c>
      <c r="D107" s="116">
        <v>1.0</v>
      </c>
      <c r="E107" s="216" t="str">
        <f t="shared" si="12"/>
        <v>6,280,826</v>
      </c>
      <c r="F107" s="279" t="str">
        <f t="shared" si="13"/>
        <v>6,280,826</v>
      </c>
      <c r="G107" s="281" t="str">
        <f>235980/2</f>
        <v>117990</v>
      </c>
      <c r="H107" s="218" t="s">
        <v>664</v>
      </c>
      <c r="I107" s="212" t="s">
        <v>328</v>
      </c>
    </row>
    <row r="108" ht="38.25" customHeight="1">
      <c r="A108" s="219">
        <v>21.0</v>
      </c>
      <c r="B108" s="271" t="s">
        <v>665</v>
      </c>
      <c r="C108" s="271" t="s">
        <v>666</v>
      </c>
      <c r="D108" s="116">
        <v>1.0</v>
      </c>
      <c r="E108" s="216" t="str">
        <f t="shared" si="12"/>
        <v>5,477,557</v>
      </c>
      <c r="F108" s="279" t="str">
        <f t="shared" si="13"/>
        <v>5,477,557</v>
      </c>
      <c r="G108" s="281" t="str">
        <f>205800/2</f>
        <v>102900</v>
      </c>
      <c r="H108" s="271" t="s">
        <v>668</v>
      </c>
      <c r="I108" s="212" t="s">
        <v>328</v>
      </c>
    </row>
    <row r="109" ht="89.25" customHeight="1">
      <c r="A109" s="219">
        <v>22.0</v>
      </c>
      <c r="B109" s="271" t="s">
        <v>669</v>
      </c>
      <c r="C109" s="271" t="s">
        <v>670</v>
      </c>
      <c r="D109" s="116">
        <v>1.0</v>
      </c>
      <c r="E109" s="216" t="str">
        <f t="shared" si="12"/>
        <v>21,237,991</v>
      </c>
      <c r="F109" s="279" t="str">
        <f t="shared" si="13"/>
        <v>21,237,991</v>
      </c>
      <c r="G109" s="281" t="str">
        <f>797943/2</f>
        <v>398971.5</v>
      </c>
      <c r="H109" s="271" t="s">
        <v>671</v>
      </c>
      <c r="I109" s="212" t="s">
        <v>328</v>
      </c>
    </row>
    <row r="110">
      <c r="A110" s="228"/>
      <c r="B110" s="229" t="s">
        <v>672</v>
      </c>
      <c r="C110" s="15"/>
      <c r="D110" s="228"/>
      <c r="E110" s="231"/>
      <c r="F110" s="231" t="str">
        <f>SUM(F88:F109)</f>
        <v>43,212,631</v>
      </c>
      <c r="G110" s="231"/>
      <c r="H110" s="231"/>
      <c r="I110" s="18"/>
    </row>
  </sheetData>
  <mergeCells count="10">
    <mergeCell ref="B57:C57"/>
    <mergeCell ref="A59:H59"/>
    <mergeCell ref="B85:C85"/>
    <mergeCell ref="B76:C76"/>
    <mergeCell ref="A87:H87"/>
    <mergeCell ref="B110:C110"/>
    <mergeCell ref="A9:H9"/>
    <mergeCell ref="B49:C49"/>
    <mergeCell ref="A53:H53"/>
    <mergeCell ref="A78:H78"/>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2.75"/>
  <cols>
    <col customWidth="1" min="1" max="1" width="2.86"/>
    <col customWidth="1" min="2" max="2" width="9.86"/>
    <col customWidth="1" min="3" max="3" width="30.86"/>
    <col customWidth="1" min="4" max="4" width="9.86"/>
    <col customWidth="1" min="5" max="5" width="14.14"/>
    <col customWidth="1" min="6" max="6" width="12.29"/>
    <col customWidth="1" min="7" max="16" width="10.86"/>
    <col customWidth="1" min="17" max="17" width="13.14"/>
    <col customWidth="1" hidden="1" min="18" max="26" width="9.29"/>
    <col customWidth="1" min="27" max="27" width="10.86"/>
    <col customWidth="1" min="28" max="28" width="13.57"/>
    <col customWidth="1" min="29" max="29" width="9.29"/>
  </cols>
  <sheetData>
    <row r="1" ht="16.5" customHeight="1">
      <c r="B1" s="82" t="s">
        <v>162</v>
      </c>
    </row>
    <row r="2" ht="16.5" customHeight="1">
      <c r="B2" s="82" t="s">
        <v>176</v>
      </c>
      <c r="G2" s="85" t="str">
        <f>0</f>
        <v>0</v>
      </c>
    </row>
    <row r="3" ht="16.5" customHeight="1">
      <c r="B3" s="82" t="s">
        <v>179</v>
      </c>
    </row>
    <row r="4" ht="16.5" customHeight="1"/>
    <row r="5" ht="16.5" customHeight="1">
      <c r="C5" s="39" t="s">
        <v>180</v>
      </c>
      <c r="D5" s="39" t="s">
        <v>181</v>
      </c>
      <c r="E5" s="39">
        <v>44.95</v>
      </c>
    </row>
    <row r="6" ht="16.5" customHeight="1">
      <c r="B6" s="87" t="s">
        <v>182</v>
      </c>
      <c r="C6" s="87" t="s">
        <v>15</v>
      </c>
      <c r="D6" s="87" t="s">
        <v>140</v>
      </c>
      <c r="E6" s="88">
        <v>40634.0</v>
      </c>
      <c r="F6" s="88">
        <v>40664.0</v>
      </c>
      <c r="G6" s="88">
        <v>40695.0</v>
      </c>
      <c r="H6" s="88">
        <v>40725.0</v>
      </c>
      <c r="I6" s="88">
        <v>40756.0</v>
      </c>
      <c r="J6" s="88">
        <v>40787.0</v>
      </c>
      <c r="K6" s="88">
        <v>40817.0</v>
      </c>
      <c r="L6" s="88">
        <v>40848.0</v>
      </c>
      <c r="M6" s="88">
        <v>40878.0</v>
      </c>
      <c r="N6" s="88">
        <v>40909.0</v>
      </c>
      <c r="O6" s="88">
        <v>40940.0</v>
      </c>
      <c r="P6" s="88">
        <v>40969.0</v>
      </c>
      <c r="Q6" s="87" t="s">
        <v>185</v>
      </c>
      <c r="R6" s="89" t="str">
        <f t="shared" ref="R6:Z6" si="1">'Y:\FY 2010-11\AOP FY 11 Submitted on Mar 26rd10\[AOP FY11.xls]Expanded P&amp;L'!GR6</f>
        <v>#REF!</v>
      </c>
      <c r="S6" s="89" t="str">
        <f t="shared" si="1"/>
        <v>#REF!</v>
      </c>
      <c r="T6" s="89" t="str">
        <f t="shared" si="1"/>
        <v>#REF!</v>
      </c>
      <c r="U6" s="89" t="str">
        <f t="shared" si="1"/>
        <v>#REF!</v>
      </c>
      <c r="V6" s="89" t="str">
        <f t="shared" si="1"/>
        <v>#REF!</v>
      </c>
      <c r="W6" s="89" t="str">
        <f t="shared" si="1"/>
        <v>#REF!</v>
      </c>
      <c r="X6" s="89" t="str">
        <f t="shared" si="1"/>
        <v>#REF!</v>
      </c>
      <c r="Y6" s="89" t="str">
        <f t="shared" si="1"/>
        <v>#REF!</v>
      </c>
      <c r="Z6" s="89" t="str">
        <f t="shared" si="1"/>
        <v>#REF!</v>
      </c>
    </row>
    <row r="7" ht="16.5" customHeight="1">
      <c r="E7" s="89" t="str">
        <f t="shared" ref="E7:P7" si="2">'Y:\FY 2010-11\AOP FY 11 Submitted on Mar 26rd10\[AOP FY11.xls]Expanded P&amp;L'!AC7</f>
        <v>#REF!</v>
      </c>
      <c r="F7" s="89" t="str">
        <f t="shared" si="2"/>
        <v>#REF!</v>
      </c>
      <c r="G7" s="89" t="str">
        <f t="shared" si="2"/>
        <v>#REF!</v>
      </c>
      <c r="H7" s="89" t="str">
        <f t="shared" si="2"/>
        <v>#REF!</v>
      </c>
      <c r="I7" s="89" t="str">
        <f t="shared" si="2"/>
        <v>#REF!</v>
      </c>
      <c r="J7" s="89" t="str">
        <f t="shared" si="2"/>
        <v>#REF!</v>
      </c>
      <c r="K7" s="89" t="str">
        <f t="shared" si="2"/>
        <v>#REF!</v>
      </c>
      <c r="L7" s="89" t="str">
        <f t="shared" si="2"/>
        <v>#REF!</v>
      </c>
      <c r="M7" s="89" t="str">
        <f t="shared" si="2"/>
        <v>#REF!</v>
      </c>
      <c r="N7" s="89" t="str">
        <f t="shared" si="2"/>
        <v>#REF!</v>
      </c>
      <c r="O7" s="89" t="str">
        <f t="shared" si="2"/>
        <v>#REF!</v>
      </c>
      <c r="P7" s="89" t="str">
        <f t="shared" si="2"/>
        <v>#REF!</v>
      </c>
      <c r="Q7" s="89" t="str">
        <f t="shared" ref="Q7:Z7" si="3">'Y:\FY 2010-11\AOP FY 11 Submitted on Mar 26rd10\[AOP FY11.xls]Expanded P&amp;L'!GQ7</f>
        <v>#REF!</v>
      </c>
      <c r="R7" s="89" t="str">
        <f t="shared" si="3"/>
        <v>#REF!</v>
      </c>
      <c r="S7" s="89" t="str">
        <f t="shared" si="3"/>
        <v>#REF!</v>
      </c>
      <c r="T7" s="89" t="str">
        <f t="shared" si="3"/>
        <v>#REF!</v>
      </c>
      <c r="U7" s="89" t="str">
        <f t="shared" si="3"/>
        <v>#REF!</v>
      </c>
      <c r="V7" s="89" t="str">
        <f t="shared" si="3"/>
        <v>#REF!</v>
      </c>
      <c r="W7" s="89" t="str">
        <f t="shared" si="3"/>
        <v>#REF!</v>
      </c>
      <c r="X7" s="89" t="str">
        <f t="shared" si="3"/>
        <v>#REF!</v>
      </c>
      <c r="Y7" s="89" t="str">
        <f t="shared" si="3"/>
        <v>#REF!</v>
      </c>
      <c r="Z7" s="89" t="str">
        <f t="shared" si="3"/>
        <v>#REF!</v>
      </c>
      <c r="AA7" s="96" t="s">
        <v>203</v>
      </c>
    </row>
    <row r="8" ht="16.5" customHeight="1"/>
    <row r="9" ht="16.5" customHeight="1">
      <c r="B9" s="103">
        <v>1.0</v>
      </c>
      <c r="C9" s="126" t="s">
        <v>213</v>
      </c>
    </row>
    <row r="10" ht="16.5" customHeight="1">
      <c r="B10" s="128" t="str">
        <f>B9+0.01</f>
        <v> 1.01 </v>
      </c>
      <c r="C10" s="129" t="s">
        <v>267</v>
      </c>
      <c r="AA10" s="129" t="s">
        <v>270</v>
      </c>
    </row>
    <row r="11" ht="16.5" customHeight="1">
      <c r="B11" s="131" t="str">
        <f t="shared" ref="B11:B22" si="5">+B10+0.01</f>
        <v> 1.02 </v>
      </c>
      <c r="C11" s="132" t="s">
        <v>274</v>
      </c>
      <c r="D11" s="133" t="s">
        <v>276</v>
      </c>
      <c r="E11" s="133">
        <v>7.0</v>
      </c>
      <c r="F11" s="133">
        <v>7.0</v>
      </c>
      <c r="G11" s="133">
        <v>6.5</v>
      </c>
      <c r="H11" s="133">
        <v>5.5</v>
      </c>
      <c r="I11" s="133">
        <v>5.5</v>
      </c>
      <c r="J11" s="133">
        <v>5.5</v>
      </c>
      <c r="K11" s="133">
        <v>5.5</v>
      </c>
      <c r="L11" s="133">
        <v>5.5</v>
      </c>
      <c r="M11" s="133">
        <v>5.5</v>
      </c>
      <c r="N11" s="133">
        <v>5.5</v>
      </c>
      <c r="O11" s="133">
        <v>5.5</v>
      </c>
      <c r="P11" s="133">
        <v>5.5</v>
      </c>
      <c r="R11" s="131" t="str">
        <f t="shared" ref="R11:Z11" si="4">#REF!</f>
        <v>#REF!</v>
      </c>
      <c r="S11" s="131" t="str">
        <f t="shared" si="4"/>
        <v>#REF!</v>
      </c>
      <c r="T11" s="135" t="str">
        <f t="shared" si="4"/>
        <v>#REF!</v>
      </c>
      <c r="U11" s="135" t="str">
        <f t="shared" si="4"/>
        <v>#REF!</v>
      </c>
      <c r="V11" s="135" t="str">
        <f t="shared" si="4"/>
        <v>#REF!</v>
      </c>
      <c r="W11" s="135" t="str">
        <f t="shared" si="4"/>
        <v>#REF!</v>
      </c>
      <c r="X11" s="135" t="str">
        <f t="shared" si="4"/>
        <v>#REF!</v>
      </c>
      <c r="Y11" s="135" t="str">
        <f t="shared" si="4"/>
        <v>#REF!</v>
      </c>
      <c r="Z11" s="135" t="str">
        <f t="shared" si="4"/>
        <v>#REF!</v>
      </c>
      <c r="AA11" s="137" t="s">
        <v>284</v>
      </c>
    </row>
    <row r="12" ht="16.5" customHeight="1">
      <c r="B12" s="131" t="str">
        <f t="shared" si="5"/>
        <v> 1.03 </v>
      </c>
      <c r="C12" s="138" t="s">
        <v>287</v>
      </c>
      <c r="D12" s="139" t="s">
        <v>291</v>
      </c>
      <c r="E12" s="139">
        <v>4.0</v>
      </c>
      <c r="F12" s="139">
        <v>4.0</v>
      </c>
      <c r="G12" s="139">
        <v>4.0</v>
      </c>
      <c r="H12" s="139">
        <v>4.0</v>
      </c>
      <c r="I12" s="139">
        <v>4.0</v>
      </c>
      <c r="J12" s="139">
        <v>4.0</v>
      </c>
      <c r="K12" s="139">
        <v>4.0</v>
      </c>
      <c r="L12" s="139">
        <v>4.0</v>
      </c>
      <c r="M12" s="139">
        <v>4.0</v>
      </c>
      <c r="N12" s="139">
        <v>4.0</v>
      </c>
      <c r="O12" s="139">
        <v>4.0</v>
      </c>
      <c r="P12" s="139">
        <v>4.0</v>
      </c>
      <c r="AA12" s="140" t="s">
        <v>294</v>
      </c>
    </row>
    <row r="13" ht="16.5" customHeight="1">
      <c r="B13" s="131" t="str">
        <f t="shared" si="5"/>
        <v> 1.04 </v>
      </c>
      <c r="C13" s="141" t="s">
        <v>297</v>
      </c>
      <c r="D13" s="143" t="s">
        <v>291</v>
      </c>
      <c r="E13" s="145" t="str">
        <f t="shared" ref="E13:P13" si="6">E11*E12*1</f>
        <v> 28 </v>
      </c>
      <c r="F13" s="145" t="str">
        <f t="shared" si="6"/>
        <v> 28 </v>
      </c>
      <c r="G13" s="145" t="str">
        <f t="shared" si="6"/>
        <v> 26 </v>
      </c>
      <c r="H13" s="145" t="str">
        <f t="shared" si="6"/>
        <v> 22 </v>
      </c>
      <c r="I13" s="145" t="str">
        <f t="shared" si="6"/>
        <v> 22 </v>
      </c>
      <c r="J13" s="145" t="str">
        <f t="shared" si="6"/>
        <v> 22 </v>
      </c>
      <c r="K13" s="145" t="str">
        <f t="shared" si="6"/>
        <v> 22 </v>
      </c>
      <c r="L13" s="145" t="str">
        <f t="shared" si="6"/>
        <v> 22 </v>
      </c>
      <c r="M13" s="145" t="str">
        <f t="shared" si="6"/>
        <v> 22 </v>
      </c>
      <c r="N13" s="145" t="str">
        <f t="shared" si="6"/>
        <v> 22 </v>
      </c>
      <c r="O13" s="145" t="str">
        <f t="shared" si="6"/>
        <v> 22 </v>
      </c>
      <c r="P13" s="145" t="str">
        <f t="shared" si="6"/>
        <v> 22 </v>
      </c>
      <c r="Q13" s="145" t="str">
        <f>SUM(E13:P13)</f>
        <v> 280 </v>
      </c>
      <c r="R13" s="145" t="str">
        <f t="shared" ref="R13:Z13" si="7">SUM(#REF!)</f>
        <v>#REF!</v>
      </c>
      <c r="S13" s="145" t="str">
        <f t="shared" si="7"/>
        <v>#REF!</v>
      </c>
      <c r="T13" s="146" t="str">
        <f t="shared" si="7"/>
        <v>#REF!</v>
      </c>
      <c r="U13" s="146" t="str">
        <f t="shared" si="7"/>
        <v>#REF!</v>
      </c>
      <c r="V13" s="146" t="str">
        <f t="shared" si="7"/>
        <v>#REF!</v>
      </c>
      <c r="W13" s="146" t="str">
        <f t="shared" si="7"/>
        <v>#REF!</v>
      </c>
      <c r="X13" s="146" t="str">
        <f t="shared" si="7"/>
        <v>#REF!</v>
      </c>
      <c r="Y13" s="146" t="str">
        <f t="shared" si="7"/>
        <v>#REF!</v>
      </c>
      <c r="Z13" s="146" t="str">
        <f t="shared" si="7"/>
        <v>#REF!</v>
      </c>
    </row>
    <row r="14" ht="16.5" customHeight="1">
      <c r="B14" s="131" t="str">
        <f t="shared" si="5"/>
        <v> 1.05 </v>
      </c>
      <c r="C14" s="132" t="s">
        <v>299</v>
      </c>
      <c r="D14" s="133" t="s">
        <v>276</v>
      </c>
      <c r="E14" s="131" t="str">
        <f t="shared" ref="E14:P14" si="8">(10*36+32)/36</f>
        <v> 10.89 </v>
      </c>
      <c r="F14" s="131" t="str">
        <f t="shared" si="8"/>
        <v> 10.89 </v>
      </c>
      <c r="G14" s="131" t="str">
        <f t="shared" si="8"/>
        <v> 10.89 </v>
      </c>
      <c r="H14" s="131" t="str">
        <f t="shared" si="8"/>
        <v> 10.89 </v>
      </c>
      <c r="I14" s="131" t="str">
        <f t="shared" si="8"/>
        <v> 10.89 </v>
      </c>
      <c r="J14" s="131" t="str">
        <f t="shared" si="8"/>
        <v> 10.89 </v>
      </c>
      <c r="K14" s="131" t="str">
        <f t="shared" si="8"/>
        <v> 10.89 </v>
      </c>
      <c r="L14" s="131" t="str">
        <f t="shared" si="8"/>
        <v> 10.89 </v>
      </c>
      <c r="M14" s="131" t="str">
        <f t="shared" si="8"/>
        <v> 10.89 </v>
      </c>
      <c r="N14" s="131" t="str">
        <f t="shared" si="8"/>
        <v> 10.89 </v>
      </c>
      <c r="O14" s="131" t="str">
        <f t="shared" si="8"/>
        <v> 10.89 </v>
      </c>
      <c r="P14" s="131" t="str">
        <f t="shared" si="8"/>
        <v> 10.89 </v>
      </c>
      <c r="R14" s="131" t="str">
        <f t="shared" ref="R14:Z14" si="9">#REF!</f>
        <v>#REF!</v>
      </c>
      <c r="S14" s="131" t="str">
        <f t="shared" si="9"/>
        <v>#REF!</v>
      </c>
      <c r="T14" s="135" t="str">
        <f t="shared" si="9"/>
        <v>#REF!</v>
      </c>
      <c r="U14" s="135" t="str">
        <f t="shared" si="9"/>
        <v>#REF!</v>
      </c>
      <c r="V14" s="135" t="str">
        <f t="shared" si="9"/>
        <v>#REF!</v>
      </c>
      <c r="W14" s="135" t="str">
        <f t="shared" si="9"/>
        <v>#REF!</v>
      </c>
      <c r="X14" s="135" t="str">
        <f t="shared" si="9"/>
        <v>#REF!</v>
      </c>
      <c r="Y14" s="135" t="str">
        <f t="shared" si="9"/>
        <v>#REF!</v>
      </c>
      <c r="Z14" s="135" t="str">
        <f t="shared" si="9"/>
        <v>#REF!</v>
      </c>
    </row>
    <row r="15" ht="16.5" customHeight="1">
      <c r="B15" s="131" t="str">
        <f t="shared" si="5"/>
        <v> 1.06 </v>
      </c>
      <c r="C15" s="132" t="s">
        <v>300</v>
      </c>
      <c r="D15" s="133" t="s">
        <v>276</v>
      </c>
      <c r="E15" s="133">
        <v>11.0</v>
      </c>
      <c r="F15" s="133">
        <v>11.0</v>
      </c>
      <c r="G15" s="133">
        <v>11.0</v>
      </c>
      <c r="H15" s="133">
        <v>11.0</v>
      </c>
      <c r="I15" s="133">
        <v>11.0</v>
      </c>
      <c r="J15" s="133">
        <v>11.0</v>
      </c>
      <c r="K15" s="133">
        <v>11.0</v>
      </c>
      <c r="L15" s="133">
        <v>11.0</v>
      </c>
      <c r="M15" s="133">
        <v>11.0</v>
      </c>
      <c r="N15" s="133">
        <v>11.0</v>
      </c>
      <c r="O15" s="133">
        <v>11.0</v>
      </c>
      <c r="P15" s="133">
        <v>11.0</v>
      </c>
    </row>
    <row r="16" ht="16.5" customHeight="1">
      <c r="B16" s="131" t="str">
        <f t="shared" si="5"/>
        <v> 1.07 </v>
      </c>
      <c r="C16" s="138" t="s">
        <v>287</v>
      </c>
      <c r="D16" s="139" t="s">
        <v>291</v>
      </c>
      <c r="E16" s="147" t="str">
        <f t="shared" ref="E16:P16" si="10">(1236250*$E$5/12)/10^6</f>
        <v>4.6 </v>
      </c>
      <c r="F16" s="147" t="str">
        <f t="shared" si="10"/>
        <v>4.6 </v>
      </c>
      <c r="G16" s="147" t="str">
        <f t="shared" si="10"/>
        <v>4.6 </v>
      </c>
      <c r="H16" s="147" t="str">
        <f t="shared" si="10"/>
        <v>4.6 </v>
      </c>
      <c r="I16" s="147" t="str">
        <f t="shared" si="10"/>
        <v>4.6 </v>
      </c>
      <c r="J16" s="147" t="str">
        <f t="shared" si="10"/>
        <v>4.6 </v>
      </c>
      <c r="K16" s="147" t="str">
        <f t="shared" si="10"/>
        <v>4.6 </v>
      </c>
      <c r="L16" s="147" t="str">
        <f t="shared" si="10"/>
        <v>4.6 </v>
      </c>
      <c r="M16" s="147" t="str">
        <f t="shared" si="10"/>
        <v>4.6 </v>
      </c>
      <c r="N16" s="147" t="str">
        <f t="shared" si="10"/>
        <v>4.6 </v>
      </c>
      <c r="O16" s="147" t="str">
        <f t="shared" si="10"/>
        <v>4.6 </v>
      </c>
      <c r="P16" s="147" t="str">
        <f t="shared" si="10"/>
        <v>4.6 </v>
      </c>
      <c r="AC16" s="148" t="str">
        <f>4/2*10+4*9</f>
        <v>56.0 </v>
      </c>
    </row>
    <row r="17" ht="16.5" customHeight="1">
      <c r="B17" s="131" t="str">
        <f t="shared" si="5"/>
        <v> 1.08 </v>
      </c>
      <c r="C17" s="141" t="s">
        <v>301</v>
      </c>
      <c r="D17" s="143" t="s">
        <v>291</v>
      </c>
      <c r="E17" s="145" t="str">
        <f>E14*E16*1*16/30</f>
        <v> 27 </v>
      </c>
      <c r="F17" s="145" t="str">
        <f t="shared" ref="F17:P17" si="11">F14*F16*1</f>
        <v> 50 </v>
      </c>
      <c r="G17" s="145" t="str">
        <f t="shared" si="11"/>
        <v> 50 </v>
      </c>
      <c r="H17" s="145" t="str">
        <f t="shared" si="11"/>
        <v> 50 </v>
      </c>
      <c r="I17" s="145" t="str">
        <f t="shared" si="11"/>
        <v> 50 </v>
      </c>
      <c r="J17" s="145" t="str">
        <f t="shared" si="11"/>
        <v> 50 </v>
      </c>
      <c r="K17" s="145" t="str">
        <f t="shared" si="11"/>
        <v> 50 </v>
      </c>
      <c r="L17" s="145" t="str">
        <f t="shared" si="11"/>
        <v> 50 </v>
      </c>
      <c r="M17" s="145" t="str">
        <f t="shared" si="11"/>
        <v> 50 </v>
      </c>
      <c r="N17" s="145" t="str">
        <f t="shared" si="11"/>
        <v> 50 </v>
      </c>
      <c r="O17" s="145" t="str">
        <f t="shared" si="11"/>
        <v> 50 </v>
      </c>
      <c r="P17" s="145" t="str">
        <f t="shared" si="11"/>
        <v> 50 </v>
      </c>
      <c r="Q17" s="145" t="str">
        <f>SUM(E17:P17)</f>
        <v> 582 </v>
      </c>
      <c r="R17" s="145" t="str">
        <f t="shared" ref="R17:Z17" si="12">SUM(#REF!)</f>
        <v>#REF!</v>
      </c>
      <c r="S17" s="145" t="str">
        <f t="shared" si="12"/>
        <v>#REF!</v>
      </c>
      <c r="T17" s="146" t="str">
        <f t="shared" si="12"/>
        <v>#REF!</v>
      </c>
      <c r="U17" s="146" t="str">
        <f t="shared" si="12"/>
        <v>#REF!</v>
      </c>
      <c r="V17" s="146" t="str">
        <f t="shared" si="12"/>
        <v>#REF!</v>
      </c>
      <c r="W17" s="146" t="str">
        <f t="shared" si="12"/>
        <v>#REF!</v>
      </c>
      <c r="X17" s="146" t="str">
        <f t="shared" si="12"/>
        <v>#REF!</v>
      </c>
      <c r="Y17" s="146" t="str">
        <f t="shared" si="12"/>
        <v>#REF!</v>
      </c>
      <c r="Z17" s="146" t="str">
        <f t="shared" si="12"/>
        <v>#REF!</v>
      </c>
    </row>
    <row r="18" ht="16.5" customHeight="1">
      <c r="B18" s="131" t="str">
        <f t="shared" si="5"/>
        <v> 1.09 </v>
      </c>
      <c r="C18" s="149" t="s">
        <v>302</v>
      </c>
      <c r="D18" s="143" t="s">
        <v>291</v>
      </c>
      <c r="E18" s="133">
        <v>0.11</v>
      </c>
      <c r="F18" s="133">
        <v>0.11</v>
      </c>
      <c r="G18" s="133">
        <v>0.11</v>
      </c>
      <c r="H18" s="133">
        <v>0.11</v>
      </c>
      <c r="I18" s="133">
        <v>0.11</v>
      </c>
      <c r="J18" s="133">
        <v>0.11</v>
      </c>
      <c r="K18" s="133">
        <v>0.11</v>
      </c>
      <c r="L18" s="133">
        <v>0.11</v>
      </c>
      <c r="M18" s="133">
        <v>0.11</v>
      </c>
      <c r="N18" s="133">
        <v>0.11</v>
      </c>
      <c r="O18" s="133">
        <v>0.11</v>
      </c>
      <c r="P18" s="133">
        <v>0.11</v>
      </c>
    </row>
    <row r="19" ht="16.5" customHeight="1">
      <c r="B19" s="131" t="str">
        <f t="shared" si="5"/>
        <v> 1.10 </v>
      </c>
      <c r="C19" s="149" t="s">
        <v>303</v>
      </c>
      <c r="D19" s="143" t="s">
        <v>291</v>
      </c>
      <c r="E19" s="131" t="str">
        <f t="shared" ref="E19:P19" si="13">E18*(E11+E15)</f>
        <v> 1.98 </v>
      </c>
      <c r="F19" s="131" t="str">
        <f t="shared" si="13"/>
        <v> 1.98 </v>
      </c>
      <c r="G19" s="131" t="str">
        <f t="shared" si="13"/>
        <v> 1.93 </v>
      </c>
      <c r="H19" s="131" t="str">
        <f t="shared" si="13"/>
        <v> 1.82 </v>
      </c>
      <c r="I19" s="131" t="str">
        <f t="shared" si="13"/>
        <v> 1.82 </v>
      </c>
      <c r="J19" s="131" t="str">
        <f t="shared" si="13"/>
        <v> 1.82 </v>
      </c>
      <c r="K19" s="131" t="str">
        <f t="shared" si="13"/>
        <v> 1.82 </v>
      </c>
      <c r="L19" s="131" t="str">
        <f t="shared" si="13"/>
        <v> 1.82 </v>
      </c>
      <c r="M19" s="131" t="str">
        <f t="shared" si="13"/>
        <v> 1.82 </v>
      </c>
      <c r="N19" s="131" t="str">
        <f t="shared" si="13"/>
        <v> 1.82 </v>
      </c>
      <c r="O19" s="131" t="str">
        <f t="shared" si="13"/>
        <v> 1.82 </v>
      </c>
      <c r="P19" s="131" t="str">
        <f t="shared" si="13"/>
        <v> 1.82 </v>
      </c>
      <c r="Q19" s="145" t="str">
        <f>SUM(E19:P19)</f>
        <v> 22 </v>
      </c>
      <c r="R19" s="131" t="str">
        <f t="shared" ref="R19:Z19" si="14">SUM(#REF!)</f>
        <v>#REF!</v>
      </c>
      <c r="S19" s="131" t="str">
        <f t="shared" si="14"/>
        <v>#REF!</v>
      </c>
      <c r="T19" s="135" t="str">
        <f t="shared" si="14"/>
        <v>#REF!</v>
      </c>
      <c r="U19" s="135" t="str">
        <f t="shared" si="14"/>
        <v>#REF!</v>
      </c>
      <c r="V19" s="135" t="str">
        <f t="shared" si="14"/>
        <v>#REF!</v>
      </c>
      <c r="W19" s="135" t="str">
        <f t="shared" si="14"/>
        <v>#REF!</v>
      </c>
      <c r="X19" s="135" t="str">
        <f t="shared" si="14"/>
        <v>#REF!</v>
      </c>
      <c r="Y19" s="135" t="str">
        <f t="shared" si="14"/>
        <v>#REF!</v>
      </c>
      <c r="Z19" s="135" t="str">
        <f t="shared" si="14"/>
        <v>#REF!</v>
      </c>
    </row>
    <row r="20" ht="16.5" customHeight="1">
      <c r="B20" s="131" t="str">
        <f t="shared" si="5"/>
        <v> 1.11 </v>
      </c>
      <c r="C20" s="149" t="s">
        <v>304</v>
      </c>
      <c r="D20" s="143" t="s">
        <v>291</v>
      </c>
      <c r="E20" s="133">
        <v>0.18</v>
      </c>
      <c r="F20" s="133">
        <v>0.18</v>
      </c>
      <c r="G20" s="133">
        <v>0.18</v>
      </c>
      <c r="H20" s="133">
        <v>0.18</v>
      </c>
      <c r="I20" s="133">
        <v>0.18</v>
      </c>
      <c r="J20" s="133">
        <v>0.18</v>
      </c>
      <c r="K20" s="133">
        <v>0.18</v>
      </c>
      <c r="L20" s="133">
        <v>0.18</v>
      </c>
      <c r="M20" s="133">
        <v>0.18</v>
      </c>
      <c r="N20" s="133">
        <v>0.18</v>
      </c>
      <c r="O20" s="133">
        <v>0.18</v>
      </c>
      <c r="P20" s="133">
        <v>0.18</v>
      </c>
    </row>
    <row r="21" ht="16.5" customHeight="1">
      <c r="B21" s="131" t="str">
        <f t="shared" si="5"/>
        <v> 1.12 </v>
      </c>
      <c r="C21" s="137" t="s">
        <v>305</v>
      </c>
      <c r="D21" s="133" t="s">
        <v>291</v>
      </c>
      <c r="E21" s="131" t="str">
        <f t="shared" ref="E21:P21" si="15">E20*(E11+E15)</f>
        <v> 3.24 </v>
      </c>
      <c r="F21" s="131" t="str">
        <f t="shared" si="15"/>
        <v> 3.24 </v>
      </c>
      <c r="G21" s="131" t="str">
        <f t="shared" si="15"/>
        <v> 3.15 </v>
      </c>
      <c r="H21" s="131" t="str">
        <f t="shared" si="15"/>
        <v> 2.97 </v>
      </c>
      <c r="I21" s="131" t="str">
        <f t="shared" si="15"/>
        <v> 2.97 </v>
      </c>
      <c r="J21" s="131" t="str">
        <f t="shared" si="15"/>
        <v> 2.97 </v>
      </c>
      <c r="K21" s="131" t="str">
        <f t="shared" si="15"/>
        <v> 2.97 </v>
      </c>
      <c r="L21" s="131" t="str">
        <f t="shared" si="15"/>
        <v> 2.97 </v>
      </c>
      <c r="M21" s="131" t="str">
        <f t="shared" si="15"/>
        <v> 2.97 </v>
      </c>
      <c r="N21" s="131" t="str">
        <f t="shared" si="15"/>
        <v> 2.97 </v>
      </c>
      <c r="O21" s="131" t="str">
        <f t="shared" si="15"/>
        <v> 2.97 </v>
      </c>
      <c r="P21" s="131" t="str">
        <f t="shared" si="15"/>
        <v> 2.97 </v>
      </c>
      <c r="Q21" s="145" t="str">
        <f t="shared" ref="Q21:Q52" si="18">SUM(E21:P21)</f>
        <v> 36 </v>
      </c>
      <c r="R21" s="131" t="str">
        <f t="shared" ref="R21:Z21" si="16">SUM(#REF!)</f>
        <v>#REF!</v>
      </c>
      <c r="S21" s="131" t="str">
        <f t="shared" si="16"/>
        <v>#REF!</v>
      </c>
      <c r="T21" s="135" t="str">
        <f t="shared" si="16"/>
        <v>#REF!</v>
      </c>
      <c r="U21" s="135" t="str">
        <f t="shared" si="16"/>
        <v>#REF!</v>
      </c>
      <c r="V21" s="135" t="str">
        <f t="shared" si="16"/>
        <v>#REF!</v>
      </c>
      <c r="W21" s="135" t="str">
        <f t="shared" si="16"/>
        <v>#REF!</v>
      </c>
      <c r="X21" s="135" t="str">
        <f t="shared" si="16"/>
        <v>#REF!</v>
      </c>
      <c r="Y21" s="135" t="str">
        <f t="shared" si="16"/>
        <v>#REF!</v>
      </c>
      <c r="Z21" s="135" t="str">
        <f t="shared" si="16"/>
        <v>#REF!</v>
      </c>
    </row>
    <row r="22" ht="16.5" customHeight="1">
      <c r="B22" s="131" t="str">
        <f t="shared" si="5"/>
        <v> 1.13 </v>
      </c>
      <c r="C22" s="150" t="s">
        <v>306</v>
      </c>
      <c r="D22" s="151" t="s">
        <v>291</v>
      </c>
      <c r="E22" s="152" t="str">
        <f t="shared" ref="E22:P22" si="17">E13+E17+E19+E21</f>
        <v> 60 </v>
      </c>
      <c r="F22" s="152" t="str">
        <f t="shared" si="17"/>
        <v> 84 </v>
      </c>
      <c r="G22" s="152" t="str">
        <f t="shared" si="17"/>
        <v> 81 </v>
      </c>
      <c r="H22" s="152" t="str">
        <f t="shared" si="17"/>
        <v> 77 </v>
      </c>
      <c r="I22" s="152" t="str">
        <f t="shared" si="17"/>
        <v> 77 </v>
      </c>
      <c r="J22" s="152" t="str">
        <f t="shared" si="17"/>
        <v> 77 </v>
      </c>
      <c r="K22" s="152" t="str">
        <f t="shared" si="17"/>
        <v> 77 </v>
      </c>
      <c r="L22" s="152" t="str">
        <f t="shared" si="17"/>
        <v> 77 </v>
      </c>
      <c r="M22" s="152" t="str">
        <f t="shared" si="17"/>
        <v> 77 </v>
      </c>
      <c r="N22" s="152" t="str">
        <f t="shared" si="17"/>
        <v> 77 </v>
      </c>
      <c r="O22" s="152" t="str">
        <f t="shared" si="17"/>
        <v> 77 </v>
      </c>
      <c r="P22" s="152" t="str">
        <f t="shared" si="17"/>
        <v> 77 </v>
      </c>
      <c r="Q22" s="145" t="str">
        <f t="shared" si="18"/>
        <v> 920 </v>
      </c>
      <c r="R22" s="152" t="str">
        <f t="shared" ref="R22:Z22" si="19">SUM(#REF!)</f>
        <v>#REF!</v>
      </c>
      <c r="S22" s="152" t="str">
        <f t="shared" si="19"/>
        <v>#REF!</v>
      </c>
      <c r="T22" s="153" t="str">
        <f t="shared" si="19"/>
        <v>#REF!</v>
      </c>
      <c r="U22" s="153" t="str">
        <f t="shared" si="19"/>
        <v>#REF!</v>
      </c>
      <c r="V22" s="153" t="str">
        <f t="shared" si="19"/>
        <v>#REF!</v>
      </c>
      <c r="W22" s="153" t="str">
        <f t="shared" si="19"/>
        <v>#REF!</v>
      </c>
      <c r="X22" s="153" t="str">
        <f t="shared" si="19"/>
        <v>#REF!</v>
      </c>
      <c r="Y22" s="153" t="str">
        <f t="shared" si="19"/>
        <v>#REF!</v>
      </c>
      <c r="Z22" s="153" t="str">
        <f t="shared" si="19"/>
        <v>#REF!</v>
      </c>
    </row>
    <row r="23" ht="16.5" customHeight="1">
      <c r="Q23" s="145" t="str">
        <f t="shared" si="18"/>
        <v> 0 </v>
      </c>
    </row>
    <row r="24" ht="16.5" customHeight="1">
      <c r="B24" s="128" t="str">
        <f>B9+1</f>
        <v> 2.00 </v>
      </c>
      <c r="C24" s="154" t="s">
        <v>307</v>
      </c>
      <c r="Q24" s="145" t="str">
        <f t="shared" si="18"/>
        <v> 0 </v>
      </c>
    </row>
    <row r="25" ht="16.5" customHeight="1">
      <c r="B25" s="131" t="str">
        <f t="shared" ref="B25:B27" si="22">+B24+0.01</f>
        <v> 2.01 </v>
      </c>
      <c r="C25" s="141" t="s">
        <v>308</v>
      </c>
      <c r="D25" s="143" t="s">
        <v>291</v>
      </c>
      <c r="E25" s="145" t="str">
        <f t="shared" ref="E25:P25" si="20">E57</f>
        <v> 5 </v>
      </c>
      <c r="F25" s="145" t="str">
        <f t="shared" si="20"/>
        <v> 5 </v>
      </c>
      <c r="G25" s="145" t="str">
        <f t="shared" si="20"/>
        <v> 5 </v>
      </c>
      <c r="H25" s="145" t="str">
        <f t="shared" si="20"/>
        <v> 5 </v>
      </c>
      <c r="I25" s="145" t="str">
        <f t="shared" si="20"/>
        <v> 5 </v>
      </c>
      <c r="J25" s="145" t="str">
        <f t="shared" si="20"/>
        <v> 5 </v>
      </c>
      <c r="K25" s="145" t="str">
        <f t="shared" si="20"/>
        <v> 5 </v>
      </c>
      <c r="L25" s="145" t="str">
        <f t="shared" si="20"/>
        <v> 5 </v>
      </c>
      <c r="M25" s="145" t="str">
        <f t="shared" si="20"/>
        <v> 5 </v>
      </c>
      <c r="N25" s="145" t="str">
        <f t="shared" si="20"/>
        <v> 5 </v>
      </c>
      <c r="O25" s="145" t="str">
        <f t="shared" si="20"/>
        <v> 5 </v>
      </c>
      <c r="P25" s="145" t="str">
        <f t="shared" si="20"/>
        <v> 5 </v>
      </c>
      <c r="Q25" s="145" t="str">
        <f t="shared" si="18"/>
        <v> 56 </v>
      </c>
      <c r="R25" s="145" t="str">
        <f t="shared" ref="R25:Z25" si="21">SUM(#REF!)</f>
        <v>#REF!</v>
      </c>
      <c r="S25" s="145" t="str">
        <f t="shared" si="21"/>
        <v>#REF!</v>
      </c>
      <c r="T25" s="153" t="str">
        <f t="shared" si="21"/>
        <v>#REF!</v>
      </c>
      <c r="U25" s="153" t="str">
        <f t="shared" si="21"/>
        <v>#REF!</v>
      </c>
      <c r="V25" s="153" t="str">
        <f t="shared" si="21"/>
        <v>#REF!</v>
      </c>
      <c r="W25" s="153" t="str">
        <f t="shared" si="21"/>
        <v>#REF!</v>
      </c>
      <c r="X25" s="153" t="str">
        <f t="shared" si="21"/>
        <v>#REF!</v>
      </c>
      <c r="Y25" s="153" t="str">
        <f t="shared" si="21"/>
        <v>#REF!</v>
      </c>
      <c r="Z25" s="153" t="str">
        <f t="shared" si="21"/>
        <v>#REF!</v>
      </c>
    </row>
    <row r="26" ht="16.5" customHeight="1">
      <c r="B26" s="131" t="str">
        <f t="shared" si="22"/>
        <v> 2.02 </v>
      </c>
      <c r="C26" s="141" t="s">
        <v>309</v>
      </c>
      <c r="D26" s="143" t="s">
        <v>291</v>
      </c>
      <c r="E26" s="131" t="str">
        <f t="shared" ref="E26:P26" si="23">E74</f>
        <v> 0.92 </v>
      </c>
      <c r="F26" s="131" t="str">
        <f t="shared" si="23"/>
        <v> 0.92 </v>
      </c>
      <c r="G26" s="131" t="str">
        <f t="shared" si="23"/>
        <v> 0.92 </v>
      </c>
      <c r="H26" s="131" t="str">
        <f t="shared" si="23"/>
        <v> 0.92 </v>
      </c>
      <c r="I26" s="131" t="str">
        <f t="shared" si="23"/>
        <v> 0.92 </v>
      </c>
      <c r="J26" s="131" t="str">
        <f t="shared" si="23"/>
        <v> 0.92 </v>
      </c>
      <c r="K26" s="131" t="str">
        <f t="shared" si="23"/>
        <v> 0.92 </v>
      </c>
      <c r="L26" s="131" t="str">
        <f t="shared" si="23"/>
        <v> 0.92 </v>
      </c>
      <c r="M26" s="131" t="str">
        <f t="shared" si="23"/>
        <v> 0.92 </v>
      </c>
      <c r="N26" s="131" t="str">
        <f t="shared" si="23"/>
        <v> 0.92 </v>
      </c>
      <c r="O26" s="131" t="str">
        <f t="shared" si="23"/>
        <v> 0.92 </v>
      </c>
      <c r="P26" s="131" t="str">
        <f t="shared" si="23"/>
        <v> 0.92 </v>
      </c>
      <c r="Q26" s="145" t="str">
        <f t="shared" si="18"/>
        <v> 11 </v>
      </c>
      <c r="R26" s="145" t="str">
        <f t="shared" ref="R26:Z26" si="24">SUM(#REF!)</f>
        <v>#REF!</v>
      </c>
      <c r="S26" s="145" t="str">
        <f t="shared" si="24"/>
        <v>#REF!</v>
      </c>
      <c r="T26" s="153" t="str">
        <f t="shared" si="24"/>
        <v>#REF!</v>
      </c>
      <c r="U26" s="153" t="str">
        <f t="shared" si="24"/>
        <v>#REF!</v>
      </c>
      <c r="V26" s="153" t="str">
        <f t="shared" si="24"/>
        <v>#REF!</v>
      </c>
      <c r="W26" s="153" t="str">
        <f t="shared" si="24"/>
        <v>#REF!</v>
      </c>
      <c r="X26" s="153" t="str">
        <f t="shared" si="24"/>
        <v>#REF!</v>
      </c>
      <c r="Y26" s="153" t="str">
        <f t="shared" si="24"/>
        <v>#REF!</v>
      </c>
      <c r="Z26" s="153" t="str">
        <f t="shared" si="24"/>
        <v>#REF!</v>
      </c>
    </row>
    <row r="27" ht="16.5" customHeight="1">
      <c r="B27" s="131" t="str">
        <f t="shared" si="22"/>
        <v> 2.03 </v>
      </c>
      <c r="C27" s="141" t="s">
        <v>310</v>
      </c>
      <c r="D27" s="143" t="s">
        <v>291</v>
      </c>
      <c r="E27" s="145" t="str">
        <f t="shared" ref="E27:P27" si="25">E86</f>
        <v> 4 </v>
      </c>
      <c r="F27" s="145" t="str">
        <f t="shared" si="25"/>
        <v> 4 </v>
      </c>
      <c r="G27" s="145" t="str">
        <f t="shared" si="25"/>
        <v> 4 </v>
      </c>
      <c r="H27" s="145" t="str">
        <f t="shared" si="25"/>
        <v> 4 </v>
      </c>
      <c r="I27" s="145" t="str">
        <f t="shared" si="25"/>
        <v> 4 </v>
      </c>
      <c r="J27" s="145" t="str">
        <f t="shared" si="25"/>
        <v> 4 </v>
      </c>
      <c r="K27" s="145" t="str">
        <f t="shared" si="25"/>
        <v> 4 </v>
      </c>
      <c r="L27" s="145" t="str">
        <f t="shared" si="25"/>
        <v> 4 </v>
      </c>
      <c r="M27" s="145" t="str">
        <f t="shared" si="25"/>
        <v> 4 </v>
      </c>
      <c r="N27" s="145" t="str">
        <f t="shared" si="25"/>
        <v> 4 </v>
      </c>
      <c r="O27" s="145" t="str">
        <f t="shared" si="25"/>
        <v> 4 </v>
      </c>
      <c r="P27" s="145" t="str">
        <f t="shared" si="25"/>
        <v> 4 </v>
      </c>
      <c r="Q27" s="145" t="str">
        <f t="shared" si="18"/>
        <v> 46 </v>
      </c>
      <c r="R27" s="145" t="str">
        <f t="shared" ref="R27:Z27" si="26">SUM(#REF!)</f>
        <v>#REF!</v>
      </c>
      <c r="S27" s="145" t="str">
        <f t="shared" si="26"/>
        <v>#REF!</v>
      </c>
      <c r="T27" s="153" t="str">
        <f t="shared" si="26"/>
        <v>#REF!</v>
      </c>
      <c r="U27" s="153" t="str">
        <f t="shared" si="26"/>
        <v>#REF!</v>
      </c>
      <c r="V27" s="153" t="str">
        <f t="shared" si="26"/>
        <v>#REF!</v>
      </c>
      <c r="W27" s="153" t="str">
        <f t="shared" si="26"/>
        <v>#REF!</v>
      </c>
      <c r="X27" s="153" t="str">
        <f t="shared" si="26"/>
        <v>#REF!</v>
      </c>
      <c r="Y27" s="153" t="str">
        <f t="shared" si="26"/>
        <v>#REF!</v>
      </c>
      <c r="Z27" s="153" t="str">
        <f t="shared" si="26"/>
        <v>#REF!</v>
      </c>
    </row>
    <row r="28" ht="16.5" customHeight="1">
      <c r="B28" s="131" t="str">
        <f t="shared" ref="B28:B31" si="29">B27+0.01</f>
        <v> 2.04 </v>
      </c>
      <c r="C28" s="141" t="s">
        <v>311</v>
      </c>
      <c r="D28" s="143" t="s">
        <v>291</v>
      </c>
      <c r="E28" s="145" t="str">
        <f t="shared" ref="E28:P28" si="27">E88</f>
        <v> 0 </v>
      </c>
      <c r="F28" s="145" t="str">
        <f t="shared" si="27"/>
        <v> 0 </v>
      </c>
      <c r="G28" s="145" t="str">
        <f t="shared" si="27"/>
        <v> 0 </v>
      </c>
      <c r="H28" s="145" t="str">
        <f t="shared" si="27"/>
        <v> 0 </v>
      </c>
      <c r="I28" s="145" t="str">
        <f t="shared" si="27"/>
        <v> 0 </v>
      </c>
      <c r="J28" s="145" t="str">
        <f t="shared" si="27"/>
        <v> 0 </v>
      </c>
      <c r="K28" s="145" t="str">
        <f t="shared" si="27"/>
        <v> 0 </v>
      </c>
      <c r="L28" s="145" t="str">
        <f t="shared" si="27"/>
        <v> 0 </v>
      </c>
      <c r="M28" s="145" t="str">
        <f t="shared" si="27"/>
        <v> 0 </v>
      </c>
      <c r="N28" s="145" t="str">
        <f t="shared" si="27"/>
        <v> 0 </v>
      </c>
      <c r="O28" s="145" t="str">
        <f t="shared" si="27"/>
        <v> 0 </v>
      </c>
      <c r="P28" s="145" t="str">
        <f t="shared" si="27"/>
        <v> 0 </v>
      </c>
      <c r="Q28" s="145" t="str">
        <f t="shared" si="18"/>
        <v> 1 </v>
      </c>
      <c r="R28" s="145" t="str">
        <f t="shared" ref="R28:Z28" si="28">SUM(#REF!)</f>
        <v>#REF!</v>
      </c>
      <c r="S28" s="145" t="str">
        <f t="shared" si="28"/>
        <v>#REF!</v>
      </c>
      <c r="T28" s="153" t="str">
        <f t="shared" si="28"/>
        <v>#REF!</v>
      </c>
      <c r="U28" s="153" t="str">
        <f t="shared" si="28"/>
        <v>#REF!</v>
      </c>
      <c r="V28" s="153" t="str">
        <f t="shared" si="28"/>
        <v>#REF!</v>
      </c>
      <c r="W28" s="153" t="str">
        <f t="shared" si="28"/>
        <v>#REF!</v>
      </c>
      <c r="X28" s="153" t="str">
        <f t="shared" si="28"/>
        <v>#REF!</v>
      </c>
      <c r="Y28" s="153" t="str">
        <f t="shared" si="28"/>
        <v>#REF!</v>
      </c>
      <c r="Z28" s="153" t="str">
        <f t="shared" si="28"/>
        <v>#REF!</v>
      </c>
    </row>
    <row r="29" ht="16.5" customHeight="1">
      <c r="B29" s="131" t="str">
        <f t="shared" si="29"/>
        <v> 2.05 </v>
      </c>
      <c r="C29" s="141" t="s">
        <v>312</v>
      </c>
      <c r="D29" s="143" t="s">
        <v>291</v>
      </c>
      <c r="E29" s="155" t="str">
        <f t="shared" ref="E29:P29" si="30">E114</f>
        <v>7.66</v>
      </c>
      <c r="F29" s="145" t="str">
        <f t="shared" si="30"/>
        <v> 6 </v>
      </c>
      <c r="G29" s="145" t="str">
        <f t="shared" si="30"/>
        <v> 1 </v>
      </c>
      <c r="H29" s="145" t="str">
        <f t="shared" si="30"/>
        <v> 7 </v>
      </c>
      <c r="I29" s="145" t="str">
        <f t="shared" si="30"/>
        <v> 7 </v>
      </c>
      <c r="J29" s="145" t="str">
        <f t="shared" si="30"/>
        <v> 1 </v>
      </c>
      <c r="K29" s="145" t="str">
        <f t="shared" si="30"/>
        <v> 8 </v>
      </c>
      <c r="L29" s="145" t="str">
        <f t="shared" si="30"/>
        <v> 7 </v>
      </c>
      <c r="M29" s="145" t="str">
        <f t="shared" si="30"/>
        <v> 1 </v>
      </c>
      <c r="N29" s="145" t="str">
        <f t="shared" si="30"/>
        <v> 7 </v>
      </c>
      <c r="O29" s="145" t="str">
        <f t="shared" si="30"/>
        <v> 7 </v>
      </c>
      <c r="P29" s="145" t="str">
        <f t="shared" si="30"/>
        <v> 1 </v>
      </c>
      <c r="Q29" s="145" t="str">
        <f t="shared" si="18"/>
        <v> 61 </v>
      </c>
      <c r="R29" s="145" t="str">
        <f t="shared" ref="R29:Z29" si="31">SUM(#REF!)</f>
        <v>#REF!</v>
      </c>
      <c r="S29" s="145" t="str">
        <f t="shared" si="31"/>
        <v>#REF!</v>
      </c>
      <c r="T29" s="153" t="str">
        <f t="shared" si="31"/>
        <v>#REF!</v>
      </c>
      <c r="U29" s="153" t="str">
        <f t="shared" si="31"/>
        <v>#REF!</v>
      </c>
      <c r="V29" s="153" t="str">
        <f t="shared" si="31"/>
        <v>#REF!</v>
      </c>
      <c r="W29" s="153" t="str">
        <f t="shared" si="31"/>
        <v>#REF!</v>
      </c>
      <c r="X29" s="153" t="str">
        <f t="shared" si="31"/>
        <v>#REF!</v>
      </c>
      <c r="Y29" s="153" t="str">
        <f t="shared" si="31"/>
        <v>#REF!</v>
      </c>
      <c r="Z29" s="153" t="str">
        <f t="shared" si="31"/>
        <v>#REF!</v>
      </c>
    </row>
    <row r="30" ht="16.5" customHeight="1">
      <c r="B30" s="131" t="str">
        <f t="shared" si="29"/>
        <v> 2.06 </v>
      </c>
      <c r="C30" s="141" t="s">
        <v>313</v>
      </c>
      <c r="D30" s="143" t="s">
        <v>291</v>
      </c>
      <c r="E30" s="145" t="str">
        <f t="shared" ref="E30:P30" si="32">E133</f>
        <v> 0 </v>
      </c>
      <c r="F30" s="145" t="str">
        <f t="shared" si="32"/>
        <v> 1 </v>
      </c>
      <c r="G30" s="145" t="str">
        <f t="shared" si="32"/>
        <v> 0 </v>
      </c>
      <c r="H30" s="145" t="str">
        <f t="shared" si="32"/>
        <v> 0 </v>
      </c>
      <c r="I30" s="145" t="str">
        <f t="shared" si="32"/>
        <v> 1 </v>
      </c>
      <c r="J30" s="145" t="str">
        <f t="shared" si="32"/>
        <v> 0 </v>
      </c>
      <c r="K30" s="145" t="str">
        <f t="shared" si="32"/>
        <v> 0 </v>
      </c>
      <c r="L30" s="145" t="str">
        <f t="shared" si="32"/>
        <v> 1 </v>
      </c>
      <c r="M30" s="145" t="str">
        <f t="shared" si="32"/>
        <v> 0 </v>
      </c>
      <c r="N30" s="145" t="str">
        <f t="shared" si="32"/>
        <v> 0 </v>
      </c>
      <c r="O30" s="145" t="str">
        <f t="shared" si="32"/>
        <v> 1 </v>
      </c>
      <c r="P30" s="145" t="str">
        <f t="shared" si="32"/>
        <v> 0 </v>
      </c>
      <c r="Q30" s="156" t="str">
        <f t="shared" si="18"/>
        <v>5.96</v>
      </c>
      <c r="R30" s="145" t="str">
        <f t="shared" ref="R30:Z30" si="33">SUM(#REF!)</f>
        <v>#REF!</v>
      </c>
      <c r="S30" s="145" t="str">
        <f t="shared" si="33"/>
        <v>#REF!</v>
      </c>
      <c r="T30" s="153" t="str">
        <f t="shared" si="33"/>
        <v>#REF!</v>
      </c>
      <c r="U30" s="153" t="str">
        <f t="shared" si="33"/>
        <v>#REF!</v>
      </c>
      <c r="V30" s="153" t="str">
        <f t="shared" si="33"/>
        <v>#REF!</v>
      </c>
      <c r="W30" s="153" t="str">
        <f t="shared" si="33"/>
        <v>#REF!</v>
      </c>
      <c r="X30" s="153" t="str">
        <f t="shared" si="33"/>
        <v>#REF!</v>
      </c>
      <c r="Y30" s="153" t="str">
        <f t="shared" si="33"/>
        <v>#REF!</v>
      </c>
      <c r="Z30" s="153" t="str">
        <f t="shared" si="33"/>
        <v>#REF!</v>
      </c>
    </row>
    <row r="31" ht="16.5" customHeight="1">
      <c r="B31" s="128" t="str">
        <f t="shared" si="29"/>
        <v> 2.07 </v>
      </c>
      <c r="C31" s="154" t="s">
        <v>314</v>
      </c>
      <c r="D31" s="151" t="s">
        <v>291</v>
      </c>
      <c r="E31" s="152" t="str">
        <f t="shared" ref="E31:P31" si="34">SUM(E25:E30)</f>
        <v> 18 </v>
      </c>
      <c r="F31" s="152" t="str">
        <f t="shared" si="34"/>
        <v> 16 </v>
      </c>
      <c r="G31" s="152" t="str">
        <f t="shared" si="34"/>
        <v> 11 </v>
      </c>
      <c r="H31" s="152" t="str">
        <f t="shared" si="34"/>
        <v> 17 </v>
      </c>
      <c r="I31" s="152" t="str">
        <f t="shared" si="34"/>
        <v> 17 </v>
      </c>
      <c r="J31" s="152" t="str">
        <f t="shared" si="34"/>
        <v> 11 </v>
      </c>
      <c r="K31" s="152" t="str">
        <f t="shared" si="34"/>
        <v> 18 </v>
      </c>
      <c r="L31" s="152" t="str">
        <f t="shared" si="34"/>
        <v> 17 </v>
      </c>
      <c r="M31" s="152" t="str">
        <f t="shared" si="34"/>
        <v> 11 </v>
      </c>
      <c r="N31" s="152" t="str">
        <f t="shared" si="34"/>
        <v> 17 </v>
      </c>
      <c r="O31" s="152" t="str">
        <f t="shared" si="34"/>
        <v> 17 </v>
      </c>
      <c r="P31" s="152" t="str">
        <f t="shared" si="34"/>
        <v> 11 </v>
      </c>
      <c r="Q31" s="145" t="str">
        <f t="shared" si="18"/>
        <v> 181 </v>
      </c>
      <c r="R31" s="152" t="str">
        <f t="shared" ref="R31:Z31" si="35">SUM(#REF!)</f>
        <v>#REF!</v>
      </c>
      <c r="S31" s="152" t="str">
        <f t="shared" si="35"/>
        <v>#REF!</v>
      </c>
      <c r="T31" s="157" t="str">
        <f t="shared" si="35"/>
        <v>#REF!</v>
      </c>
      <c r="U31" s="157" t="str">
        <f t="shared" si="35"/>
        <v>#REF!</v>
      </c>
      <c r="V31" s="157" t="str">
        <f t="shared" si="35"/>
        <v>#REF!</v>
      </c>
      <c r="W31" s="157" t="str">
        <f t="shared" si="35"/>
        <v>#REF!</v>
      </c>
      <c r="X31" s="157" t="str">
        <f t="shared" si="35"/>
        <v>#REF!</v>
      </c>
      <c r="Y31" s="157" t="str">
        <f t="shared" si="35"/>
        <v>#REF!</v>
      </c>
      <c r="Z31" s="157" t="str">
        <f t="shared" si="35"/>
        <v>#REF!</v>
      </c>
    </row>
    <row r="32" ht="16.5" customHeight="1">
      <c r="Q32" s="145" t="str">
        <f t="shared" si="18"/>
        <v> 0 </v>
      </c>
    </row>
    <row r="33" ht="16.5" customHeight="1">
      <c r="B33" s="128" t="str">
        <f>B24+1</f>
        <v> 3.00 </v>
      </c>
      <c r="C33" s="158" t="s">
        <v>315</v>
      </c>
      <c r="Q33" s="145" t="str">
        <f t="shared" si="18"/>
        <v> 0 </v>
      </c>
    </row>
    <row r="34" ht="16.5" customHeight="1">
      <c r="B34" s="131" t="str">
        <f t="shared" ref="B34:B36" si="38">+B33+0.01</f>
        <v> 3.01 </v>
      </c>
      <c r="C34" s="141" t="s">
        <v>308</v>
      </c>
      <c r="D34" s="143" t="s">
        <v>291</v>
      </c>
      <c r="E34" s="159" t="str">
        <f t="shared" ref="E34:P34" si="36">E138</f>
        <v>0.106 </v>
      </c>
      <c r="F34" s="159" t="str">
        <f t="shared" si="36"/>
        <v>0.106 </v>
      </c>
      <c r="G34" s="159" t="str">
        <f t="shared" si="36"/>
        <v>0.106 </v>
      </c>
      <c r="H34" s="159" t="str">
        <f t="shared" si="36"/>
        <v>0.106 </v>
      </c>
      <c r="I34" s="159" t="str">
        <f t="shared" si="36"/>
        <v>0.106 </v>
      </c>
      <c r="J34" s="159" t="str">
        <f t="shared" si="36"/>
        <v>0.106 </v>
      </c>
      <c r="K34" s="159" t="str">
        <f t="shared" si="36"/>
        <v>0.106 </v>
      </c>
      <c r="L34" s="159" t="str">
        <f t="shared" si="36"/>
        <v>0.106 </v>
      </c>
      <c r="M34" s="159" t="str">
        <f t="shared" si="36"/>
        <v>0.106 </v>
      </c>
      <c r="N34" s="159" t="str">
        <f t="shared" si="36"/>
        <v>0.106 </v>
      </c>
      <c r="O34" s="159" t="str">
        <f t="shared" si="36"/>
        <v>0.106 </v>
      </c>
      <c r="P34" s="159" t="str">
        <f t="shared" si="36"/>
        <v>0.106 </v>
      </c>
      <c r="Q34" s="145" t="str">
        <f t="shared" si="18"/>
        <v> 1 </v>
      </c>
      <c r="R34" s="145" t="str">
        <f t="shared" ref="R34:Z34" si="37">SUM(#REF!)</f>
        <v>#REF!</v>
      </c>
      <c r="S34" s="145" t="str">
        <f t="shared" si="37"/>
        <v>#REF!</v>
      </c>
      <c r="T34" s="153" t="str">
        <f t="shared" si="37"/>
        <v>#REF!</v>
      </c>
      <c r="U34" s="153" t="str">
        <f t="shared" si="37"/>
        <v>#REF!</v>
      </c>
      <c r="V34" s="153" t="str">
        <f t="shared" si="37"/>
        <v>#REF!</v>
      </c>
      <c r="W34" s="153" t="str">
        <f t="shared" si="37"/>
        <v>#REF!</v>
      </c>
      <c r="X34" s="153" t="str">
        <f t="shared" si="37"/>
        <v>#REF!</v>
      </c>
      <c r="Y34" s="153" t="str">
        <f t="shared" si="37"/>
        <v>#REF!</v>
      </c>
      <c r="Z34" s="153" t="str">
        <f t="shared" si="37"/>
        <v>#REF!</v>
      </c>
    </row>
    <row r="35" ht="16.5" customHeight="1">
      <c r="B35" s="131" t="str">
        <f t="shared" si="38"/>
        <v> 3.02 </v>
      </c>
      <c r="C35" s="141" t="s">
        <v>316</v>
      </c>
      <c r="D35" s="143" t="s">
        <v>291</v>
      </c>
      <c r="E35" s="159" t="str">
        <f t="shared" ref="E35:P35" si="39">E140</f>
        <v>0.178 </v>
      </c>
      <c r="F35" s="159" t="str">
        <f t="shared" si="39"/>
        <v>0.178 </v>
      </c>
      <c r="G35" s="159" t="str">
        <f t="shared" si="39"/>
        <v>0.178 </v>
      </c>
      <c r="H35" s="159" t="str">
        <f t="shared" si="39"/>
        <v>0.178 </v>
      </c>
      <c r="I35" s="159" t="str">
        <f t="shared" si="39"/>
        <v>0.178 </v>
      </c>
      <c r="J35" s="159" t="str">
        <f t="shared" si="39"/>
        <v>0.178 </v>
      </c>
      <c r="K35" s="159" t="str">
        <f t="shared" si="39"/>
        <v>0.178 </v>
      </c>
      <c r="L35" s="159" t="str">
        <f t="shared" si="39"/>
        <v>0.178 </v>
      </c>
      <c r="M35" s="159" t="str">
        <f t="shared" si="39"/>
        <v>0.178 </v>
      </c>
      <c r="N35" s="159" t="str">
        <f t="shared" si="39"/>
        <v>0.178 </v>
      </c>
      <c r="O35" s="159" t="str">
        <f t="shared" si="39"/>
        <v>0.178 </v>
      </c>
      <c r="P35" s="159" t="str">
        <f t="shared" si="39"/>
        <v>0.178 </v>
      </c>
      <c r="Q35" s="145" t="str">
        <f t="shared" si="18"/>
        <v> 2 </v>
      </c>
      <c r="R35" s="145" t="str">
        <f t="shared" ref="R35:Z35" si="40">SUM(#REF!)</f>
        <v>#REF!</v>
      </c>
      <c r="S35" s="145" t="str">
        <f t="shared" si="40"/>
        <v>#REF!</v>
      </c>
      <c r="T35" s="153" t="str">
        <f t="shared" si="40"/>
        <v>#REF!</v>
      </c>
      <c r="U35" s="153" t="str">
        <f t="shared" si="40"/>
        <v>#REF!</v>
      </c>
      <c r="V35" s="153" t="str">
        <f t="shared" si="40"/>
        <v>#REF!</v>
      </c>
      <c r="W35" s="153" t="str">
        <f t="shared" si="40"/>
        <v>#REF!</v>
      </c>
      <c r="X35" s="153" t="str">
        <f t="shared" si="40"/>
        <v>#REF!</v>
      </c>
      <c r="Y35" s="153" t="str">
        <f t="shared" si="40"/>
        <v>#REF!</v>
      </c>
      <c r="Z35" s="153" t="str">
        <f t="shared" si="40"/>
        <v>#REF!</v>
      </c>
    </row>
    <row r="36" ht="16.5" customHeight="1">
      <c r="B36" s="131" t="str">
        <f t="shared" si="38"/>
        <v> 3.03 </v>
      </c>
      <c r="C36" s="141" t="s">
        <v>310</v>
      </c>
      <c r="D36" s="143" t="s">
        <v>291</v>
      </c>
      <c r="E36" s="131" t="str">
        <f t="shared" ref="E36:P36" si="41">E149</f>
        <v> 0.34 </v>
      </c>
      <c r="F36" s="131" t="str">
        <f t="shared" si="41"/>
        <v> 0.34 </v>
      </c>
      <c r="G36" s="131" t="str">
        <f t="shared" si="41"/>
        <v> 0.41 </v>
      </c>
      <c r="H36" s="131" t="str">
        <f t="shared" si="41"/>
        <v> 0.42 </v>
      </c>
      <c r="I36" s="131" t="str">
        <f t="shared" si="41"/>
        <v> 0.42 </v>
      </c>
      <c r="J36" s="131" t="str">
        <f t="shared" si="41"/>
        <v> 0.41 </v>
      </c>
      <c r="K36" s="131" t="str">
        <f t="shared" si="41"/>
        <v> 1.05 </v>
      </c>
      <c r="L36" s="131" t="str">
        <f t="shared" si="41"/>
        <v> 1.05 </v>
      </c>
      <c r="M36" s="131" t="str">
        <f t="shared" si="41"/>
        <v> 1.03 </v>
      </c>
      <c r="N36" s="131" t="str">
        <f t="shared" si="41"/>
        <v> 1.05 </v>
      </c>
      <c r="O36" s="131" t="str">
        <f t="shared" si="41"/>
        <v> 1.05 </v>
      </c>
      <c r="P36" s="131" t="str">
        <f t="shared" si="41"/>
        <v> 1.03 </v>
      </c>
      <c r="Q36" s="145" t="str">
        <f t="shared" si="18"/>
        <v> 9 </v>
      </c>
      <c r="R36" s="145" t="str">
        <f t="shared" ref="R36:Z36" si="42">SUM(#REF!)</f>
        <v>#REF!</v>
      </c>
      <c r="S36" s="145" t="str">
        <f t="shared" si="42"/>
        <v>#REF!</v>
      </c>
      <c r="T36" s="153" t="str">
        <f t="shared" si="42"/>
        <v>#REF!</v>
      </c>
      <c r="U36" s="153" t="str">
        <f t="shared" si="42"/>
        <v>#REF!</v>
      </c>
      <c r="V36" s="153" t="str">
        <f t="shared" si="42"/>
        <v>#REF!</v>
      </c>
      <c r="W36" s="153" t="str">
        <f t="shared" si="42"/>
        <v>#REF!</v>
      </c>
      <c r="X36" s="153" t="str">
        <f t="shared" si="42"/>
        <v>#REF!</v>
      </c>
      <c r="Y36" s="153" t="str">
        <f t="shared" si="42"/>
        <v>#REF!</v>
      </c>
      <c r="Z36" s="153" t="str">
        <f t="shared" si="42"/>
        <v>#REF!</v>
      </c>
    </row>
    <row r="37" ht="16.5" customHeight="1">
      <c r="B37" s="131" t="str">
        <f t="shared" ref="B37:B40" si="44">B36+0.01</f>
        <v> 3.04 </v>
      </c>
      <c r="C37" s="141" t="s">
        <v>325</v>
      </c>
      <c r="D37" s="143" t="s">
        <v>291</v>
      </c>
      <c r="Q37" s="145" t="str">
        <f t="shared" si="18"/>
        <v> 0 </v>
      </c>
      <c r="R37" s="145" t="str">
        <f t="shared" ref="R37:Z37" si="43">SUM(#REF!)</f>
        <v>#REF!</v>
      </c>
      <c r="S37" s="145" t="str">
        <f t="shared" si="43"/>
        <v>#REF!</v>
      </c>
      <c r="T37" s="153" t="str">
        <f t="shared" si="43"/>
        <v>#REF!</v>
      </c>
      <c r="U37" s="153" t="str">
        <f t="shared" si="43"/>
        <v>#REF!</v>
      </c>
      <c r="V37" s="153" t="str">
        <f t="shared" si="43"/>
        <v>#REF!</v>
      </c>
      <c r="W37" s="153" t="str">
        <f t="shared" si="43"/>
        <v>#REF!</v>
      </c>
      <c r="X37" s="153" t="str">
        <f t="shared" si="43"/>
        <v>#REF!</v>
      </c>
      <c r="Y37" s="153" t="str">
        <f t="shared" si="43"/>
        <v>#REF!</v>
      </c>
      <c r="Z37" s="153" t="str">
        <f t="shared" si="43"/>
        <v>#REF!</v>
      </c>
    </row>
    <row r="38" ht="16.5" customHeight="1">
      <c r="B38" s="131" t="str">
        <f t="shared" si="44"/>
        <v> 3.05 </v>
      </c>
      <c r="C38" s="141" t="s">
        <v>312</v>
      </c>
      <c r="D38" s="143" t="s">
        <v>291</v>
      </c>
      <c r="E38" s="147" t="str">
        <f t="shared" ref="E38:P38" si="45">E162</f>
        <v>0.3 </v>
      </c>
      <c r="F38" s="147" t="str">
        <f t="shared" si="45"/>
        <v>0.1 </v>
      </c>
      <c r="G38" s="147" t="str">
        <f t="shared" si="45"/>
        <v>0.1 </v>
      </c>
      <c r="H38" s="147" t="str">
        <f t="shared" si="45"/>
        <v>0.3 </v>
      </c>
      <c r="I38" s="147" t="str">
        <f t="shared" si="45"/>
        <v>0.1 </v>
      </c>
      <c r="J38" s="147" t="str">
        <f t="shared" si="45"/>
        <v>0.1 </v>
      </c>
      <c r="K38" s="147" t="str">
        <f t="shared" si="45"/>
        <v>0.3 </v>
      </c>
      <c r="L38" s="147" t="str">
        <f t="shared" si="45"/>
        <v>0.1 </v>
      </c>
      <c r="M38" s="147" t="str">
        <f t="shared" si="45"/>
        <v>0.1 </v>
      </c>
      <c r="N38" s="147" t="str">
        <f t="shared" si="45"/>
        <v>0.3 </v>
      </c>
      <c r="O38" s="147" t="str">
        <f t="shared" si="45"/>
        <v>0.1 </v>
      </c>
      <c r="P38" s="147" t="str">
        <f t="shared" si="45"/>
        <v>0.1 </v>
      </c>
      <c r="Q38" s="145" t="str">
        <f t="shared" si="18"/>
        <v> 2 </v>
      </c>
      <c r="R38" s="145" t="str">
        <f t="shared" ref="R38:Z38" si="46">SUM(#REF!)</f>
        <v>#REF!</v>
      </c>
      <c r="S38" s="145" t="str">
        <f t="shared" si="46"/>
        <v>#REF!</v>
      </c>
      <c r="T38" s="153" t="str">
        <f t="shared" si="46"/>
        <v>#REF!</v>
      </c>
      <c r="U38" s="153" t="str">
        <f t="shared" si="46"/>
        <v>#REF!</v>
      </c>
      <c r="V38" s="153" t="str">
        <f t="shared" si="46"/>
        <v>#REF!</v>
      </c>
      <c r="W38" s="153" t="str">
        <f t="shared" si="46"/>
        <v>#REF!</v>
      </c>
      <c r="X38" s="153" t="str">
        <f t="shared" si="46"/>
        <v>#REF!</v>
      </c>
      <c r="Y38" s="153" t="str">
        <f t="shared" si="46"/>
        <v>#REF!</v>
      </c>
      <c r="Z38" s="153" t="str">
        <f t="shared" si="46"/>
        <v>#REF!</v>
      </c>
    </row>
    <row r="39" ht="16.5" customHeight="1">
      <c r="B39" s="131" t="str">
        <f t="shared" si="44"/>
        <v> 3.06 </v>
      </c>
      <c r="C39" s="141" t="s">
        <v>313</v>
      </c>
      <c r="D39" s="143" t="s">
        <v>291</v>
      </c>
      <c r="E39" s="131" t="str">
        <f t="shared" ref="E39:P39" si="47">E165</f>
        <v> 0.00 </v>
      </c>
      <c r="F39" s="131" t="str">
        <f t="shared" si="47"/>
        <v> 0.00 </v>
      </c>
      <c r="G39" s="131" t="str">
        <f t="shared" si="47"/>
        <v> 0.00 </v>
      </c>
      <c r="H39" s="131" t="str">
        <f t="shared" si="47"/>
        <v> 0.00 </v>
      </c>
      <c r="I39" s="131" t="str">
        <f t="shared" si="47"/>
        <v> 0.00 </v>
      </c>
      <c r="J39" s="131" t="str">
        <f t="shared" si="47"/>
        <v> 0.00 </v>
      </c>
      <c r="K39" s="131" t="str">
        <f t="shared" si="47"/>
        <v> 0.00 </v>
      </c>
      <c r="L39" s="131" t="str">
        <f t="shared" si="47"/>
        <v> 0.00 </v>
      </c>
      <c r="M39" s="131" t="str">
        <f t="shared" si="47"/>
        <v> 0.00 </v>
      </c>
      <c r="N39" s="131" t="str">
        <f t="shared" si="47"/>
        <v> 0.00 </v>
      </c>
      <c r="O39" s="131" t="str">
        <f t="shared" si="47"/>
        <v> 0.00 </v>
      </c>
      <c r="P39" s="131" t="str">
        <f t="shared" si="47"/>
        <v> 0.00 </v>
      </c>
      <c r="Q39" s="145" t="str">
        <f t="shared" si="18"/>
        <v> 0 </v>
      </c>
      <c r="R39" s="145" t="str">
        <f t="shared" ref="R39:Z39" si="48">SUM(#REF!)</f>
        <v>#REF!</v>
      </c>
      <c r="S39" s="145" t="str">
        <f t="shared" si="48"/>
        <v>#REF!</v>
      </c>
      <c r="T39" s="153" t="str">
        <f t="shared" si="48"/>
        <v>#REF!</v>
      </c>
      <c r="U39" s="153" t="str">
        <f t="shared" si="48"/>
        <v>#REF!</v>
      </c>
      <c r="V39" s="153" t="str">
        <f t="shared" si="48"/>
        <v>#REF!</v>
      </c>
      <c r="W39" s="153" t="str">
        <f t="shared" si="48"/>
        <v>#REF!</v>
      </c>
      <c r="X39" s="153" t="str">
        <f t="shared" si="48"/>
        <v>#REF!</v>
      </c>
      <c r="Y39" s="153" t="str">
        <f t="shared" si="48"/>
        <v>#REF!</v>
      </c>
      <c r="Z39" s="153" t="str">
        <f t="shared" si="48"/>
        <v>#REF!</v>
      </c>
    </row>
    <row r="40" ht="16.5" customHeight="1">
      <c r="B40" s="128" t="str">
        <f t="shared" si="44"/>
        <v> 3.07 </v>
      </c>
      <c r="C40" s="154" t="s">
        <v>331</v>
      </c>
      <c r="D40" s="151" t="s">
        <v>291</v>
      </c>
      <c r="E40" s="152" t="str">
        <f t="shared" ref="E40:P40" si="49">SUM(E34:E39)</f>
        <v> 1 </v>
      </c>
      <c r="F40" s="152" t="str">
        <f t="shared" si="49"/>
        <v> 1 </v>
      </c>
      <c r="G40" s="152" t="str">
        <f t="shared" si="49"/>
        <v> 1 </v>
      </c>
      <c r="H40" s="152" t="str">
        <f t="shared" si="49"/>
        <v> 1 </v>
      </c>
      <c r="I40" s="152" t="str">
        <f t="shared" si="49"/>
        <v> 1 </v>
      </c>
      <c r="J40" s="152" t="str">
        <f t="shared" si="49"/>
        <v> 1 </v>
      </c>
      <c r="K40" s="152" t="str">
        <f t="shared" si="49"/>
        <v> 2 </v>
      </c>
      <c r="L40" s="152" t="str">
        <f t="shared" si="49"/>
        <v> 1 </v>
      </c>
      <c r="M40" s="152" t="str">
        <f t="shared" si="49"/>
        <v> 1 </v>
      </c>
      <c r="N40" s="152" t="str">
        <f t="shared" si="49"/>
        <v> 2 </v>
      </c>
      <c r="O40" s="152" t="str">
        <f t="shared" si="49"/>
        <v> 1 </v>
      </c>
      <c r="P40" s="152" t="str">
        <f t="shared" si="49"/>
        <v> 1 </v>
      </c>
      <c r="Q40" s="145" t="str">
        <f t="shared" si="18"/>
        <v> 14 </v>
      </c>
      <c r="R40" s="152" t="str">
        <f t="shared" ref="R40:Z40" si="50">SUM(#REF!)</f>
        <v>#REF!</v>
      </c>
      <c r="S40" s="152" t="str">
        <f t="shared" si="50"/>
        <v>#REF!</v>
      </c>
      <c r="T40" s="157" t="str">
        <f t="shared" si="50"/>
        <v>#REF!</v>
      </c>
      <c r="U40" s="157" t="str">
        <f t="shared" si="50"/>
        <v>#REF!</v>
      </c>
      <c r="V40" s="157" t="str">
        <f t="shared" si="50"/>
        <v>#REF!</v>
      </c>
      <c r="W40" s="157" t="str">
        <f t="shared" si="50"/>
        <v>#REF!</v>
      </c>
      <c r="X40" s="157" t="str">
        <f t="shared" si="50"/>
        <v>#REF!</v>
      </c>
      <c r="Y40" s="157" t="str">
        <f t="shared" si="50"/>
        <v>#REF!</v>
      </c>
      <c r="Z40" s="157" t="str">
        <f t="shared" si="50"/>
        <v>#REF!</v>
      </c>
    </row>
    <row r="41" ht="16.5" customHeight="1">
      <c r="Q41" s="145" t="str">
        <f t="shared" si="18"/>
        <v> 0 </v>
      </c>
    </row>
    <row r="42" ht="16.5" customHeight="1">
      <c r="B42" s="128" t="str">
        <f>B33+1</f>
        <v> 4.00 </v>
      </c>
      <c r="C42" s="169" t="s">
        <v>336</v>
      </c>
      <c r="Q42" s="145" t="str">
        <f t="shared" si="18"/>
        <v> 0 </v>
      </c>
    </row>
    <row r="43" ht="16.5" customHeight="1">
      <c r="B43" s="131" t="str">
        <f t="shared" ref="B43:B45" si="53">+B42+0.01</f>
        <v> 4.01 </v>
      </c>
      <c r="C43" s="170" t="s">
        <v>338</v>
      </c>
      <c r="D43" s="143" t="s">
        <v>291</v>
      </c>
      <c r="E43" s="159" t="str">
        <f t="shared" ref="E43:P43" si="51">(40000000*1%/12)/10^6+(3500000*2*6%/12)/10^6</f>
        <v>0.068 </v>
      </c>
      <c r="F43" s="159" t="str">
        <f t="shared" si="51"/>
        <v>0.068 </v>
      </c>
      <c r="G43" s="159" t="str">
        <f t="shared" si="51"/>
        <v>0.068 </v>
      </c>
      <c r="H43" s="159" t="str">
        <f t="shared" si="51"/>
        <v>0.068 </v>
      </c>
      <c r="I43" s="159" t="str">
        <f t="shared" si="51"/>
        <v>0.068 </v>
      </c>
      <c r="J43" s="159" t="str">
        <f t="shared" si="51"/>
        <v>0.068 </v>
      </c>
      <c r="K43" s="159" t="str">
        <f t="shared" si="51"/>
        <v>0.068 </v>
      </c>
      <c r="L43" s="159" t="str">
        <f t="shared" si="51"/>
        <v>0.068 </v>
      </c>
      <c r="M43" s="159" t="str">
        <f t="shared" si="51"/>
        <v>0.068 </v>
      </c>
      <c r="N43" s="159" t="str">
        <f t="shared" si="51"/>
        <v>0.068 </v>
      </c>
      <c r="O43" s="159" t="str">
        <f t="shared" si="51"/>
        <v>0.068 </v>
      </c>
      <c r="P43" s="159" t="str">
        <f t="shared" si="51"/>
        <v>0.068 </v>
      </c>
      <c r="Q43" s="131" t="str">
        <f t="shared" si="18"/>
        <v> 0.82 </v>
      </c>
      <c r="R43" s="145" t="str">
        <f t="shared" ref="R43:Z43" si="52">SUM(#REF!)</f>
        <v>#REF!</v>
      </c>
      <c r="S43" s="145" t="str">
        <f t="shared" si="52"/>
        <v>#REF!</v>
      </c>
      <c r="T43" s="153" t="str">
        <f t="shared" si="52"/>
        <v>#REF!</v>
      </c>
      <c r="U43" s="153" t="str">
        <f t="shared" si="52"/>
        <v>#REF!</v>
      </c>
      <c r="V43" s="153" t="str">
        <f t="shared" si="52"/>
        <v>#REF!</v>
      </c>
      <c r="W43" s="153" t="str">
        <f t="shared" si="52"/>
        <v>#REF!</v>
      </c>
      <c r="X43" s="153" t="str">
        <f t="shared" si="52"/>
        <v>#REF!</v>
      </c>
      <c r="Y43" s="153" t="str">
        <f t="shared" si="52"/>
        <v>#REF!</v>
      </c>
      <c r="Z43" s="153" t="str">
        <f t="shared" si="52"/>
        <v>#REF!</v>
      </c>
    </row>
    <row r="44" ht="16.5" customHeight="1">
      <c r="B44" s="131" t="str">
        <f t="shared" si="53"/>
        <v> 4.02 </v>
      </c>
      <c r="C44" s="170" t="s">
        <v>341</v>
      </c>
      <c r="D44" s="143" t="s">
        <v>291</v>
      </c>
      <c r="Q44" s="145" t="str">
        <f t="shared" si="18"/>
        <v> 0 </v>
      </c>
      <c r="R44" s="145" t="str">
        <f t="shared" ref="R44:Z44" si="54">SUM(#REF!)</f>
        <v>#REF!</v>
      </c>
      <c r="S44" s="145" t="str">
        <f t="shared" si="54"/>
        <v>#REF!</v>
      </c>
      <c r="T44" s="153" t="str">
        <f t="shared" si="54"/>
        <v>#REF!</v>
      </c>
      <c r="U44" s="153" t="str">
        <f t="shared" si="54"/>
        <v>#REF!</v>
      </c>
      <c r="V44" s="153" t="str">
        <f t="shared" si="54"/>
        <v>#REF!</v>
      </c>
      <c r="W44" s="153" t="str">
        <f t="shared" si="54"/>
        <v>#REF!</v>
      </c>
      <c r="X44" s="153" t="str">
        <f t="shared" si="54"/>
        <v>#REF!</v>
      </c>
      <c r="Y44" s="153" t="str">
        <f t="shared" si="54"/>
        <v>#REF!</v>
      </c>
      <c r="Z44" s="153" t="str">
        <f t="shared" si="54"/>
        <v>#REF!</v>
      </c>
    </row>
    <row r="45" ht="16.5" customHeight="1">
      <c r="B45" s="128" t="str">
        <f t="shared" si="53"/>
        <v> 4.03 </v>
      </c>
      <c r="C45" s="169" t="s">
        <v>342</v>
      </c>
      <c r="D45" s="151" t="s">
        <v>291</v>
      </c>
      <c r="E45" s="176" t="str">
        <f t="shared" ref="E45:P45" si="55">E44+E43</f>
        <v>0.068 </v>
      </c>
      <c r="F45" s="176" t="str">
        <f t="shared" si="55"/>
        <v>0.068 </v>
      </c>
      <c r="G45" s="176" t="str">
        <f t="shared" si="55"/>
        <v>0.068 </v>
      </c>
      <c r="H45" s="176" t="str">
        <f t="shared" si="55"/>
        <v>0.068 </v>
      </c>
      <c r="I45" s="176" t="str">
        <f t="shared" si="55"/>
        <v>0.068 </v>
      </c>
      <c r="J45" s="176" t="str">
        <f t="shared" si="55"/>
        <v>0.068 </v>
      </c>
      <c r="K45" s="176" t="str">
        <f t="shared" si="55"/>
        <v>0.068 </v>
      </c>
      <c r="L45" s="176" t="str">
        <f t="shared" si="55"/>
        <v>0.068 </v>
      </c>
      <c r="M45" s="176" t="str">
        <f t="shared" si="55"/>
        <v>0.068 </v>
      </c>
      <c r="N45" s="176" t="str">
        <f t="shared" si="55"/>
        <v>0.068 </v>
      </c>
      <c r="O45" s="176" t="str">
        <f t="shared" si="55"/>
        <v>0.068 </v>
      </c>
      <c r="P45" s="176" t="str">
        <f t="shared" si="55"/>
        <v>0.068 </v>
      </c>
      <c r="Q45" s="145" t="str">
        <f t="shared" si="18"/>
        <v> 1 </v>
      </c>
      <c r="R45" s="152" t="str">
        <f t="shared" ref="R45:Z45" si="56">SUM(#REF!)</f>
        <v>#REF!</v>
      </c>
      <c r="S45" s="152" t="str">
        <f t="shared" si="56"/>
        <v>#REF!</v>
      </c>
      <c r="T45" s="157" t="str">
        <f t="shared" si="56"/>
        <v>#REF!</v>
      </c>
      <c r="U45" s="157" t="str">
        <f t="shared" si="56"/>
        <v>#REF!</v>
      </c>
      <c r="V45" s="157" t="str">
        <f t="shared" si="56"/>
        <v>#REF!</v>
      </c>
      <c r="W45" s="157" t="str">
        <f t="shared" si="56"/>
        <v>#REF!</v>
      </c>
      <c r="X45" s="157" t="str">
        <f t="shared" si="56"/>
        <v>#REF!</v>
      </c>
      <c r="Y45" s="157" t="str">
        <f t="shared" si="56"/>
        <v>#REF!</v>
      </c>
      <c r="Z45" s="157" t="str">
        <f t="shared" si="56"/>
        <v>#REF!</v>
      </c>
    </row>
    <row r="46" ht="16.5" customHeight="1">
      <c r="Q46" s="145" t="str">
        <f t="shared" si="18"/>
        <v> 0 </v>
      </c>
    </row>
    <row r="47" ht="16.5" customHeight="1">
      <c r="Q47" s="145" t="str">
        <f t="shared" si="18"/>
        <v> 0 </v>
      </c>
    </row>
    <row r="48" ht="16.5" customHeight="1">
      <c r="B48" s="179" t="str">
        <f>B42+1</f>
        <v>5.00</v>
      </c>
      <c r="C48" s="158" t="s">
        <v>346</v>
      </c>
      <c r="D48" s="151" t="s">
        <v>291</v>
      </c>
      <c r="E48" s="152" t="str">
        <f t="shared" ref="E48:P48" si="57">E45+E40+E31+E22</f>
        <v> 79 </v>
      </c>
      <c r="F48" s="152" t="str">
        <f t="shared" si="57"/>
        <v> 101 </v>
      </c>
      <c r="G48" s="152" t="str">
        <f t="shared" si="57"/>
        <v> 94 </v>
      </c>
      <c r="H48" s="152" t="str">
        <f t="shared" si="57"/>
        <v> 96 </v>
      </c>
      <c r="I48" s="152" t="str">
        <f t="shared" si="57"/>
        <v> 95 </v>
      </c>
      <c r="J48" s="152" t="str">
        <f t="shared" si="57"/>
        <v> 89 </v>
      </c>
      <c r="K48" s="152" t="str">
        <f t="shared" si="57"/>
        <v> 97 </v>
      </c>
      <c r="L48" s="152" t="str">
        <f t="shared" si="57"/>
        <v> 95 </v>
      </c>
      <c r="M48" s="152" t="str">
        <f t="shared" si="57"/>
        <v> 90 </v>
      </c>
      <c r="N48" s="152" t="str">
        <f t="shared" si="57"/>
        <v> 96 </v>
      </c>
      <c r="O48" s="152" t="str">
        <f t="shared" si="57"/>
        <v> 95 </v>
      </c>
      <c r="P48" s="152" t="str">
        <f t="shared" si="57"/>
        <v> 90 </v>
      </c>
      <c r="Q48" s="145" t="str">
        <f t="shared" si="18"/>
        <v> 1,116 </v>
      </c>
      <c r="R48" s="152" t="str">
        <f t="shared" ref="R48:Z48" si="58">SUM(#REF!)</f>
        <v>#REF!</v>
      </c>
      <c r="S48" s="152" t="str">
        <f t="shared" si="58"/>
        <v>#REF!</v>
      </c>
      <c r="T48" s="157" t="str">
        <f t="shared" si="58"/>
        <v>#REF!</v>
      </c>
      <c r="U48" s="157" t="str">
        <f t="shared" si="58"/>
        <v>#REF!</v>
      </c>
      <c r="V48" s="157" t="str">
        <f t="shared" si="58"/>
        <v>#REF!</v>
      </c>
      <c r="W48" s="157" t="str">
        <f t="shared" si="58"/>
        <v>#REF!</v>
      </c>
      <c r="X48" s="157" t="str">
        <f t="shared" si="58"/>
        <v>#REF!</v>
      </c>
      <c r="Y48" s="157" t="str">
        <f t="shared" si="58"/>
        <v>#REF!</v>
      </c>
      <c r="Z48" s="157" t="str">
        <f t="shared" si="58"/>
        <v>#REF!</v>
      </c>
      <c r="AA48" s="181" t="str">
        <f>Q48-6</f>
        <v> 1,110 </v>
      </c>
      <c r="AB48" s="182" t="str">
        <f>AB22+AB31+AB40+AB43</f>
        <v> 0 </v>
      </c>
    </row>
    <row r="49" ht="16.5" customHeight="1">
      <c r="Q49" s="145" t="str">
        <f t="shared" si="18"/>
        <v> 0 </v>
      </c>
    </row>
    <row r="50" ht="16.5" customHeight="1">
      <c r="Q50" s="145" t="str">
        <f t="shared" si="18"/>
        <v> 0 </v>
      </c>
    </row>
    <row r="51" ht="16.5" customHeight="1">
      <c r="B51" s="183" t="str">
        <f>B47+1</f>
        <v>1.00</v>
      </c>
      <c r="C51" s="185" t="s">
        <v>351</v>
      </c>
      <c r="Q51" s="145" t="str">
        <f t="shared" si="18"/>
        <v> 0 </v>
      </c>
    </row>
    <row r="52" ht="16.5" customHeight="1">
      <c r="B52" s="179" t="str">
        <f>B51+0.01</f>
        <v>1.01</v>
      </c>
      <c r="C52" s="158" t="s">
        <v>354</v>
      </c>
      <c r="Q52" s="145" t="str">
        <f t="shared" si="18"/>
        <v> 0 </v>
      </c>
    </row>
    <row r="53" ht="16.5" customHeight="1">
      <c r="B53" s="131" t="str">
        <f t="shared" ref="B53:B57" si="60">+B52+0.01</f>
        <v> 1.02 </v>
      </c>
      <c r="C53" s="39" t="s">
        <v>358</v>
      </c>
      <c r="D53" s="168" t="s">
        <v>359</v>
      </c>
      <c r="E53" s="143">
        <v>101685.0</v>
      </c>
      <c r="F53" s="143">
        <v>101685.0</v>
      </c>
      <c r="G53" s="143">
        <v>101685.0</v>
      </c>
      <c r="H53" s="143">
        <v>101685.0</v>
      </c>
      <c r="I53" s="143">
        <v>101685.0</v>
      </c>
      <c r="J53" s="143">
        <v>101685.0</v>
      </c>
      <c r="K53" s="143">
        <v>101685.0</v>
      </c>
      <c r="L53" s="143">
        <v>101685.0</v>
      </c>
      <c r="M53" s="143">
        <v>101685.0</v>
      </c>
      <c r="N53" s="143">
        <v>101685.0</v>
      </c>
      <c r="O53" s="143">
        <v>101685.0</v>
      </c>
      <c r="P53" s="143">
        <v>101685.0</v>
      </c>
      <c r="R53" s="145" t="str">
        <f t="shared" ref="R53:Z53" si="59">SUM(#REF!)</f>
        <v>#REF!</v>
      </c>
      <c r="S53" s="145" t="str">
        <f t="shared" si="59"/>
        <v>#REF!</v>
      </c>
      <c r="T53" s="157" t="str">
        <f t="shared" si="59"/>
        <v>#REF!</v>
      </c>
      <c r="U53" s="157" t="str">
        <f t="shared" si="59"/>
        <v>#REF!</v>
      </c>
      <c r="V53" s="157" t="str">
        <f t="shared" si="59"/>
        <v>#REF!</v>
      </c>
      <c r="W53" s="157" t="str">
        <f t="shared" si="59"/>
        <v>#REF!</v>
      </c>
      <c r="X53" s="157" t="str">
        <f t="shared" si="59"/>
        <v>#REF!</v>
      </c>
      <c r="Y53" s="157" t="str">
        <f t="shared" si="59"/>
        <v>#REF!</v>
      </c>
      <c r="Z53" s="157" t="str">
        <f t="shared" si="59"/>
        <v>#REF!</v>
      </c>
    </row>
    <row r="54" ht="16.5" customHeight="1">
      <c r="B54" s="131" t="str">
        <f t="shared" si="60"/>
        <v> 1.03 </v>
      </c>
      <c r="C54" s="39" t="s">
        <v>360</v>
      </c>
      <c r="D54" s="168" t="s">
        <v>359</v>
      </c>
      <c r="E54" s="145" t="str">
        <f t="shared" ref="E54:P54" si="61">E53-E55</f>
        <v> 83,685 </v>
      </c>
      <c r="F54" s="145" t="str">
        <f t="shared" si="61"/>
        <v> 83,685 </v>
      </c>
      <c r="G54" s="145" t="str">
        <f t="shared" si="61"/>
        <v> 83,685 </v>
      </c>
      <c r="H54" s="145" t="str">
        <f t="shared" si="61"/>
        <v> 83,685 </v>
      </c>
      <c r="I54" s="145" t="str">
        <f t="shared" si="61"/>
        <v> 83,685 </v>
      </c>
      <c r="J54" s="145" t="str">
        <f t="shared" si="61"/>
        <v> 83,685 </v>
      </c>
      <c r="K54" s="145" t="str">
        <f t="shared" si="61"/>
        <v> 83,685 </v>
      </c>
      <c r="L54" s="145" t="str">
        <f t="shared" si="61"/>
        <v> 83,685 </v>
      </c>
      <c r="M54" s="145" t="str">
        <f t="shared" si="61"/>
        <v> 83,685 </v>
      </c>
      <c r="N54" s="145" t="str">
        <f t="shared" si="61"/>
        <v> 83,685 </v>
      </c>
      <c r="O54" s="145" t="str">
        <f t="shared" si="61"/>
        <v> 83,685 </v>
      </c>
      <c r="P54" s="145" t="str">
        <f t="shared" si="61"/>
        <v> 83,685 </v>
      </c>
      <c r="R54" s="145" t="str">
        <f t="shared" ref="R54:Z54" si="62">SUM(#REF!)</f>
        <v>#REF!</v>
      </c>
      <c r="S54" s="145" t="str">
        <f t="shared" si="62"/>
        <v>#REF!</v>
      </c>
      <c r="T54" s="157" t="str">
        <f t="shared" si="62"/>
        <v>#REF!</v>
      </c>
      <c r="U54" s="157" t="str">
        <f t="shared" si="62"/>
        <v>#REF!</v>
      </c>
      <c r="V54" s="157" t="str">
        <f t="shared" si="62"/>
        <v>#REF!</v>
      </c>
      <c r="W54" s="157" t="str">
        <f t="shared" si="62"/>
        <v>#REF!</v>
      </c>
      <c r="X54" s="157" t="str">
        <f t="shared" si="62"/>
        <v>#REF!</v>
      </c>
      <c r="Y54" s="157" t="str">
        <f t="shared" si="62"/>
        <v>#REF!</v>
      </c>
      <c r="Z54" s="157" t="str">
        <f t="shared" si="62"/>
        <v>#REF!</v>
      </c>
    </row>
    <row r="55" ht="16.5" customHeight="1">
      <c r="B55" s="131" t="str">
        <f t="shared" si="60"/>
        <v> 1.04 </v>
      </c>
      <c r="C55" s="39" t="s">
        <v>363</v>
      </c>
      <c r="D55" s="168" t="s">
        <v>359</v>
      </c>
      <c r="E55" s="143">
        <v>18000.0</v>
      </c>
      <c r="F55" s="143">
        <v>18000.0</v>
      </c>
      <c r="G55" s="143">
        <v>18000.0</v>
      </c>
      <c r="H55" s="143">
        <v>18000.0</v>
      </c>
      <c r="I55" s="143">
        <v>18000.0</v>
      </c>
      <c r="J55" s="143">
        <v>18000.0</v>
      </c>
      <c r="K55" s="143">
        <v>18000.0</v>
      </c>
      <c r="L55" s="143">
        <v>18000.0</v>
      </c>
      <c r="M55" s="143">
        <v>18000.0</v>
      </c>
      <c r="N55" s="143">
        <v>18000.0</v>
      </c>
      <c r="O55" s="143">
        <v>18000.0</v>
      </c>
      <c r="P55" s="143">
        <v>18000.0</v>
      </c>
      <c r="R55" s="145" t="str">
        <f t="shared" ref="R55:Z55" si="63">SUM(#REF!)</f>
        <v>#REF!</v>
      </c>
      <c r="S55" s="145" t="str">
        <f t="shared" si="63"/>
        <v>#REF!</v>
      </c>
      <c r="T55" s="157" t="str">
        <f t="shared" si="63"/>
        <v>#REF!</v>
      </c>
      <c r="U55" s="157" t="str">
        <f t="shared" si="63"/>
        <v>#REF!</v>
      </c>
      <c r="V55" s="157" t="str">
        <f t="shared" si="63"/>
        <v>#REF!</v>
      </c>
      <c r="W55" s="157" t="str">
        <f t="shared" si="63"/>
        <v>#REF!</v>
      </c>
      <c r="X55" s="157" t="str">
        <f t="shared" si="63"/>
        <v>#REF!</v>
      </c>
      <c r="Y55" s="157" t="str">
        <f t="shared" si="63"/>
        <v>#REF!</v>
      </c>
      <c r="Z55" s="157" t="str">
        <f t="shared" si="63"/>
        <v>#REF!</v>
      </c>
    </row>
    <row r="56" ht="16.5" customHeight="1">
      <c r="B56" s="131" t="str">
        <f t="shared" si="60"/>
        <v> 1.05 </v>
      </c>
      <c r="C56" s="39" t="s">
        <v>364</v>
      </c>
      <c r="D56" s="168" t="s">
        <v>365</v>
      </c>
      <c r="E56" s="155" t="str">
        <f t="shared" ref="E56:P56" si="64">(41+(600000/E54))*1.15</f>
        <v>55.40</v>
      </c>
      <c r="F56" s="155" t="str">
        <f t="shared" si="64"/>
        <v>55.40</v>
      </c>
      <c r="G56" s="155" t="str">
        <f t="shared" si="64"/>
        <v>55.40</v>
      </c>
      <c r="H56" s="155" t="str">
        <f t="shared" si="64"/>
        <v>55.40</v>
      </c>
      <c r="I56" s="155" t="str">
        <f t="shared" si="64"/>
        <v>55.40</v>
      </c>
      <c r="J56" s="155" t="str">
        <f t="shared" si="64"/>
        <v>55.40</v>
      </c>
      <c r="K56" s="155" t="str">
        <f t="shared" si="64"/>
        <v>55.40</v>
      </c>
      <c r="L56" s="155" t="str">
        <f t="shared" si="64"/>
        <v>55.40</v>
      </c>
      <c r="M56" s="155" t="str">
        <f t="shared" si="64"/>
        <v>55.40</v>
      </c>
      <c r="N56" s="155" t="str">
        <f t="shared" si="64"/>
        <v>55.40</v>
      </c>
      <c r="O56" s="155" t="str">
        <f t="shared" si="64"/>
        <v>55.40</v>
      </c>
      <c r="P56" s="155" t="str">
        <f t="shared" si="64"/>
        <v>55.40</v>
      </c>
      <c r="R56" s="145" t="str">
        <f t="shared" ref="R56:Z56" si="65">SUM(#REF!)</f>
        <v>#REF!</v>
      </c>
      <c r="S56" s="145" t="str">
        <f t="shared" si="65"/>
        <v>#REF!</v>
      </c>
      <c r="T56" s="157" t="str">
        <f t="shared" si="65"/>
        <v>#REF!</v>
      </c>
      <c r="U56" s="157" t="str">
        <f t="shared" si="65"/>
        <v>#REF!</v>
      </c>
      <c r="V56" s="157" t="str">
        <f t="shared" si="65"/>
        <v>#REF!</v>
      </c>
      <c r="W56" s="157" t="str">
        <f t="shared" si="65"/>
        <v>#REF!</v>
      </c>
      <c r="X56" s="157" t="str">
        <f t="shared" si="65"/>
        <v>#REF!</v>
      </c>
      <c r="Y56" s="157" t="str">
        <f t="shared" si="65"/>
        <v>#REF!</v>
      </c>
      <c r="Z56" s="157" t="str">
        <f t="shared" si="65"/>
        <v>#REF!</v>
      </c>
      <c r="AA56" s="158" t="s">
        <v>367</v>
      </c>
    </row>
    <row r="57" ht="16.5" customHeight="1">
      <c r="B57" s="128" t="str">
        <f t="shared" si="60"/>
        <v> 1.06 </v>
      </c>
      <c r="C57" s="158" t="s">
        <v>368</v>
      </c>
      <c r="D57" s="172" t="s">
        <v>327</v>
      </c>
      <c r="E57" s="128" t="str">
        <f t="shared" ref="E57:P57" si="66">(E54*E56)/10^6</f>
        <v> 4.64 </v>
      </c>
      <c r="F57" s="128" t="str">
        <f t="shared" si="66"/>
        <v> 4.64 </v>
      </c>
      <c r="G57" s="128" t="str">
        <f t="shared" si="66"/>
        <v> 4.64 </v>
      </c>
      <c r="H57" s="128" t="str">
        <f t="shared" si="66"/>
        <v> 4.64 </v>
      </c>
      <c r="I57" s="128" t="str">
        <f t="shared" si="66"/>
        <v> 4.64 </v>
      </c>
      <c r="J57" s="128" t="str">
        <f t="shared" si="66"/>
        <v> 4.64 </v>
      </c>
      <c r="K57" s="128" t="str">
        <f t="shared" si="66"/>
        <v> 4.64 </v>
      </c>
      <c r="L57" s="128" t="str">
        <f t="shared" si="66"/>
        <v> 4.64 </v>
      </c>
      <c r="M57" s="128" t="str">
        <f t="shared" si="66"/>
        <v> 4.64 </v>
      </c>
      <c r="N57" s="128" t="str">
        <f t="shared" si="66"/>
        <v> 4.64 </v>
      </c>
      <c r="O57" s="128" t="str">
        <f t="shared" si="66"/>
        <v> 4.64 </v>
      </c>
      <c r="P57" s="128" t="str">
        <f t="shared" si="66"/>
        <v> 4.64 </v>
      </c>
      <c r="Q57" s="145" t="str">
        <f t="shared" ref="Q57:Q165" si="68">SUM(E57:P57)</f>
        <v> 56 </v>
      </c>
      <c r="R57" s="152" t="str">
        <f t="shared" ref="R57:Z57" si="67">SUM(#REF!)</f>
        <v>#REF!</v>
      </c>
      <c r="S57" s="152" t="str">
        <f t="shared" si="67"/>
        <v>#REF!</v>
      </c>
      <c r="T57" s="157" t="str">
        <f t="shared" si="67"/>
        <v>#REF!</v>
      </c>
      <c r="U57" s="157" t="str">
        <f t="shared" si="67"/>
        <v>#REF!</v>
      </c>
      <c r="V57" s="157" t="str">
        <f t="shared" si="67"/>
        <v>#REF!</v>
      </c>
      <c r="W57" s="157" t="str">
        <f t="shared" si="67"/>
        <v>#REF!</v>
      </c>
      <c r="X57" s="157" t="str">
        <f t="shared" si="67"/>
        <v>#REF!</v>
      </c>
      <c r="Y57" s="157" t="str">
        <f t="shared" si="67"/>
        <v>#REF!</v>
      </c>
      <c r="Z57" s="157" t="str">
        <f t="shared" si="67"/>
        <v>#REF!</v>
      </c>
    </row>
    <row r="58" ht="16.5" customHeight="1">
      <c r="Q58" s="145" t="str">
        <f t="shared" si="68"/>
        <v> 0 </v>
      </c>
    </row>
    <row r="59" ht="16.5" customHeight="1">
      <c r="B59" s="179" t="str">
        <f>B51+1</f>
        <v>2.00</v>
      </c>
      <c r="C59" s="158" t="s">
        <v>372</v>
      </c>
      <c r="Q59" s="145" t="str">
        <f t="shared" si="68"/>
        <v> 0 </v>
      </c>
    </row>
    <row r="60" ht="16.5" customHeight="1">
      <c r="B60" s="189" t="str">
        <f t="shared" ref="B60:B74" si="70">B59+0.01</f>
        <v>2.01</v>
      </c>
      <c r="C60" s="190" t="s">
        <v>373</v>
      </c>
      <c r="D60" s="143" t="s">
        <v>374</v>
      </c>
      <c r="E60" s="191">
        <v>21991.0</v>
      </c>
      <c r="F60" s="191">
        <v>21991.0</v>
      </c>
      <c r="G60" s="201" t="str">
        <f t="shared" ref="G60:P60" si="69">21991*1.15</f>
        <v> 25,290 </v>
      </c>
      <c r="H60" s="201" t="str">
        <f t="shared" si="69"/>
        <v> 25,290 </v>
      </c>
      <c r="I60" s="201" t="str">
        <f t="shared" si="69"/>
        <v> 25,290 </v>
      </c>
      <c r="J60" s="201" t="str">
        <f t="shared" si="69"/>
        <v> 25,290 </v>
      </c>
      <c r="K60" s="201" t="str">
        <f t="shared" si="69"/>
        <v> 25,290 </v>
      </c>
      <c r="L60" s="201" t="str">
        <f t="shared" si="69"/>
        <v> 25,290 </v>
      </c>
      <c r="M60" s="201" t="str">
        <f t="shared" si="69"/>
        <v> 25,290 </v>
      </c>
      <c r="N60" s="201" t="str">
        <f t="shared" si="69"/>
        <v> 25,290 </v>
      </c>
      <c r="O60" s="201" t="str">
        <f t="shared" si="69"/>
        <v> 25,290 </v>
      </c>
      <c r="P60" s="201" t="str">
        <f t="shared" si="69"/>
        <v> 25,290 </v>
      </c>
      <c r="Q60" s="145" t="str">
        <f t="shared" si="68"/>
        <v> 296,879 </v>
      </c>
      <c r="AB60" s="158" t="s">
        <v>382</v>
      </c>
    </row>
    <row r="61" ht="16.5" customHeight="1">
      <c r="B61" s="189" t="str">
        <f t="shared" si="70"/>
        <v>2.02</v>
      </c>
      <c r="C61" s="190" t="s">
        <v>384</v>
      </c>
      <c r="D61" s="143" t="s">
        <v>374</v>
      </c>
      <c r="E61" s="201" t="str">
        <f>'M&amp;E Cushman &amp; Wakefield'!F31*1.1</f>
        <v> 365,941 </v>
      </c>
      <c r="F61" s="201" t="str">
        <f t="shared" ref="F61:P61" si="71">E61</f>
        <v> 365,941 </v>
      </c>
      <c r="G61" s="201" t="str">
        <f t="shared" si="71"/>
        <v> 365,941 </v>
      </c>
      <c r="H61" s="201" t="str">
        <f t="shared" si="71"/>
        <v> 365,941 </v>
      </c>
      <c r="I61" s="201" t="str">
        <f t="shared" si="71"/>
        <v> 365,941 </v>
      </c>
      <c r="J61" s="201" t="str">
        <f t="shared" si="71"/>
        <v> 365,941 </v>
      </c>
      <c r="K61" s="201" t="str">
        <f t="shared" si="71"/>
        <v> 365,941 </v>
      </c>
      <c r="L61" s="201" t="str">
        <f t="shared" si="71"/>
        <v> 365,941 </v>
      </c>
      <c r="M61" s="201" t="str">
        <f t="shared" si="71"/>
        <v> 365,941 </v>
      </c>
      <c r="N61" s="201" t="str">
        <f t="shared" si="71"/>
        <v> 365,941 </v>
      </c>
      <c r="O61" s="201" t="str">
        <f t="shared" si="71"/>
        <v> 365,941 </v>
      </c>
      <c r="P61" s="201" t="str">
        <f t="shared" si="71"/>
        <v> 365,941 </v>
      </c>
      <c r="Q61" s="145" t="str">
        <f t="shared" si="68"/>
        <v> 4,391,290 </v>
      </c>
    </row>
    <row r="62" ht="16.5" customHeight="1">
      <c r="B62" s="189" t="str">
        <f t="shared" si="70"/>
        <v>2.03</v>
      </c>
      <c r="C62" s="190" t="s">
        <v>391</v>
      </c>
      <c r="D62" s="143" t="s">
        <v>374</v>
      </c>
      <c r="E62" s="191">
        <v>100000.0</v>
      </c>
      <c r="F62" s="191">
        <v>100000.0</v>
      </c>
      <c r="G62" s="191">
        <v>100000.0</v>
      </c>
      <c r="H62" s="191">
        <v>100000.0</v>
      </c>
      <c r="I62" s="191">
        <v>100000.0</v>
      </c>
      <c r="J62" s="191">
        <v>100000.0</v>
      </c>
      <c r="K62" s="191">
        <v>100000.0</v>
      </c>
      <c r="L62" s="191">
        <v>100000.0</v>
      </c>
      <c r="M62" s="191">
        <v>100000.0</v>
      </c>
      <c r="N62" s="191">
        <v>100000.0</v>
      </c>
      <c r="O62" s="191">
        <v>100000.0</v>
      </c>
      <c r="P62" s="191">
        <v>100000.0</v>
      </c>
      <c r="Q62" s="145" t="str">
        <f t="shared" si="68"/>
        <v> 1,200,000 </v>
      </c>
      <c r="AB62" s="158" t="s">
        <v>394</v>
      </c>
    </row>
    <row r="63" ht="16.5" customHeight="1">
      <c r="B63" s="189" t="str">
        <f t="shared" si="70"/>
        <v>2.04</v>
      </c>
      <c r="C63" s="188" t="s">
        <v>325</v>
      </c>
      <c r="D63" s="143" t="s">
        <v>374</v>
      </c>
      <c r="E63" s="145" t="str">
        <f>'Admin Opex'!D52*1.1</f>
        <v> 7,383 </v>
      </c>
      <c r="F63" s="145" t="str">
        <f t="shared" ref="F63:P63" si="72">E63</f>
        <v> 7,383 </v>
      </c>
      <c r="G63" s="145" t="str">
        <f t="shared" si="72"/>
        <v> 7,383 </v>
      </c>
      <c r="H63" s="145" t="str">
        <f t="shared" si="72"/>
        <v> 7,383 </v>
      </c>
      <c r="I63" s="145" t="str">
        <f t="shared" si="72"/>
        <v> 7,383 </v>
      </c>
      <c r="J63" s="145" t="str">
        <f t="shared" si="72"/>
        <v> 7,383 </v>
      </c>
      <c r="K63" s="145" t="str">
        <f t="shared" si="72"/>
        <v> 7,383 </v>
      </c>
      <c r="L63" s="145" t="str">
        <f t="shared" si="72"/>
        <v> 7,383 </v>
      </c>
      <c r="M63" s="145" t="str">
        <f t="shared" si="72"/>
        <v> 7,383 </v>
      </c>
      <c r="N63" s="145" t="str">
        <f t="shared" si="72"/>
        <v> 7,383 </v>
      </c>
      <c r="O63" s="145" t="str">
        <f t="shared" si="72"/>
        <v> 7,383 </v>
      </c>
      <c r="P63" s="145" t="str">
        <f t="shared" si="72"/>
        <v> 7,383 </v>
      </c>
      <c r="Q63" s="145" t="str">
        <f t="shared" si="68"/>
        <v> 88,598 </v>
      </c>
    </row>
    <row r="64" ht="16.5" customHeight="1">
      <c r="B64" s="189" t="str">
        <f t="shared" si="70"/>
        <v>2.05</v>
      </c>
      <c r="C64" s="188" t="s">
        <v>401</v>
      </c>
      <c r="D64" s="143" t="s">
        <v>374</v>
      </c>
      <c r="E64" s="145" t="str">
        <f>'Admin Opex'!D60+('Admin Opex'!D54/1950)*500</f>
        <v> 338,632 </v>
      </c>
      <c r="F64" s="145" t="str">
        <f t="shared" ref="F64:P64" si="73">E64</f>
        <v> 338,632 </v>
      </c>
      <c r="G64" s="145" t="str">
        <f t="shared" si="73"/>
        <v> 338,632 </v>
      </c>
      <c r="H64" s="145" t="str">
        <f t="shared" si="73"/>
        <v> 338,632 </v>
      </c>
      <c r="I64" s="145" t="str">
        <f t="shared" si="73"/>
        <v> 338,632 </v>
      </c>
      <c r="J64" s="145" t="str">
        <f t="shared" si="73"/>
        <v> 338,632 </v>
      </c>
      <c r="K64" s="145" t="str">
        <f t="shared" si="73"/>
        <v> 338,632 </v>
      </c>
      <c r="L64" s="145" t="str">
        <f t="shared" si="73"/>
        <v> 338,632 </v>
      </c>
      <c r="M64" s="145" t="str">
        <f t="shared" si="73"/>
        <v> 338,632 </v>
      </c>
      <c r="N64" s="145" t="str">
        <f t="shared" si="73"/>
        <v> 338,632 </v>
      </c>
      <c r="O64" s="145" t="str">
        <f t="shared" si="73"/>
        <v> 338,632 </v>
      </c>
      <c r="P64" s="145" t="str">
        <f t="shared" si="73"/>
        <v> 338,632 </v>
      </c>
      <c r="Q64" s="145" t="str">
        <f t="shared" si="68"/>
        <v> 4,063,584 </v>
      </c>
    </row>
    <row r="65" ht="16.5" customHeight="1">
      <c r="B65" s="189" t="str">
        <f t="shared" si="70"/>
        <v>2.06</v>
      </c>
      <c r="C65" s="188" t="s">
        <v>405</v>
      </c>
      <c r="D65" s="143" t="s">
        <v>181</v>
      </c>
      <c r="E65" s="145" t="str">
        <f>1.05*'Admin Opex'!D47</f>
        <v> 41,114 </v>
      </c>
      <c r="F65" s="145" t="str">
        <f t="shared" ref="F65:P65" si="74">E65</f>
        <v> 41,114 </v>
      </c>
      <c r="G65" s="145" t="str">
        <f t="shared" si="74"/>
        <v> 41,114 </v>
      </c>
      <c r="H65" s="145" t="str">
        <f t="shared" si="74"/>
        <v> 41,114 </v>
      </c>
      <c r="I65" s="145" t="str">
        <f t="shared" si="74"/>
        <v> 41,114 </v>
      </c>
      <c r="J65" s="145" t="str">
        <f t="shared" si="74"/>
        <v> 41,114 </v>
      </c>
      <c r="K65" s="145" t="str">
        <f t="shared" si="74"/>
        <v> 41,114 </v>
      </c>
      <c r="L65" s="145" t="str">
        <f t="shared" si="74"/>
        <v> 41,114 </v>
      </c>
      <c r="M65" s="145" t="str">
        <f t="shared" si="74"/>
        <v> 41,114 </v>
      </c>
      <c r="N65" s="145" t="str">
        <f t="shared" si="74"/>
        <v> 41,114 </v>
      </c>
      <c r="O65" s="145" t="str">
        <f t="shared" si="74"/>
        <v> 41,114 </v>
      </c>
      <c r="P65" s="145" t="str">
        <f t="shared" si="74"/>
        <v> 41,114 </v>
      </c>
      <c r="Q65" s="145" t="str">
        <f t="shared" si="68"/>
        <v> 493,374 </v>
      </c>
    </row>
    <row r="66" ht="16.5" customHeight="1">
      <c r="B66" s="189" t="str">
        <f t="shared" si="70"/>
        <v>2.07</v>
      </c>
      <c r="C66" s="188" t="s">
        <v>410</v>
      </c>
      <c r="D66" s="143" t="s">
        <v>374</v>
      </c>
      <c r="E66" s="145" t="str">
        <f>1.1*SUM('Admin Opex'!D34:L34)/9</f>
        <v> 45,436 </v>
      </c>
      <c r="F66" s="145" t="str">
        <f t="shared" ref="F66:P66" si="75">E66</f>
        <v> 45,436 </v>
      </c>
      <c r="G66" s="145" t="str">
        <f t="shared" si="75"/>
        <v> 45,436 </v>
      </c>
      <c r="H66" s="145" t="str">
        <f t="shared" si="75"/>
        <v> 45,436 </v>
      </c>
      <c r="I66" s="145" t="str">
        <f t="shared" si="75"/>
        <v> 45,436 </v>
      </c>
      <c r="J66" s="145" t="str">
        <f t="shared" si="75"/>
        <v> 45,436 </v>
      </c>
      <c r="K66" s="145" t="str">
        <f t="shared" si="75"/>
        <v> 45,436 </v>
      </c>
      <c r="L66" s="145" t="str">
        <f t="shared" si="75"/>
        <v> 45,436 </v>
      </c>
      <c r="M66" s="145" t="str">
        <f t="shared" si="75"/>
        <v> 45,436 </v>
      </c>
      <c r="N66" s="145" t="str">
        <f t="shared" si="75"/>
        <v> 45,436 </v>
      </c>
      <c r="O66" s="145" t="str">
        <f t="shared" si="75"/>
        <v> 45,436 </v>
      </c>
      <c r="P66" s="145" t="str">
        <f t="shared" si="75"/>
        <v> 45,436 </v>
      </c>
      <c r="Q66" s="145" t="str">
        <f t="shared" si="68"/>
        <v> 545,236 </v>
      </c>
    </row>
    <row r="67" ht="16.5" customHeight="1">
      <c r="B67" s="189" t="str">
        <f t="shared" si="70"/>
        <v>2.08</v>
      </c>
      <c r="C67" s="188" t="s">
        <v>411</v>
      </c>
      <c r="D67" s="143" t="s">
        <v>374</v>
      </c>
      <c r="E67" s="145" t="str">
        <f>1.1*SUM('Admin Opex'!D64:L64)/9</f>
        <v> 13,724 </v>
      </c>
      <c r="F67" s="145" t="str">
        <f t="shared" ref="F67:P67" si="76">E67</f>
        <v> 13,724 </v>
      </c>
      <c r="G67" s="145" t="str">
        <f t="shared" si="76"/>
        <v> 13,724 </v>
      </c>
      <c r="H67" s="145" t="str">
        <f t="shared" si="76"/>
        <v> 13,724 </v>
      </c>
      <c r="I67" s="145" t="str">
        <f t="shared" si="76"/>
        <v> 13,724 </v>
      </c>
      <c r="J67" s="145" t="str">
        <f t="shared" si="76"/>
        <v> 13,724 </v>
      </c>
      <c r="K67" s="145" t="str">
        <f t="shared" si="76"/>
        <v> 13,724 </v>
      </c>
      <c r="L67" s="145" t="str">
        <f t="shared" si="76"/>
        <v> 13,724 </v>
      </c>
      <c r="M67" s="145" t="str">
        <f t="shared" si="76"/>
        <v> 13,724 </v>
      </c>
      <c r="N67" s="145" t="str">
        <f t="shared" si="76"/>
        <v> 13,724 </v>
      </c>
      <c r="O67" s="145" t="str">
        <f t="shared" si="76"/>
        <v> 13,724 </v>
      </c>
      <c r="P67" s="145" t="str">
        <f t="shared" si="76"/>
        <v> 13,724 </v>
      </c>
      <c r="Q67" s="145" t="str">
        <f t="shared" si="68"/>
        <v> 164,689 </v>
      </c>
    </row>
    <row r="68" ht="16.5" customHeight="1">
      <c r="B68" s="189" t="str">
        <f t="shared" si="70"/>
        <v>2.09</v>
      </c>
      <c r="C68" s="188" t="s">
        <v>414</v>
      </c>
      <c r="D68" s="143" t="s">
        <v>374</v>
      </c>
      <c r="E68" s="143">
        <v>5000.0</v>
      </c>
      <c r="F68" s="143">
        <v>5000.0</v>
      </c>
      <c r="G68" s="143">
        <v>5000.0</v>
      </c>
      <c r="H68" s="143">
        <v>5000.0</v>
      </c>
      <c r="I68" s="143">
        <v>5000.0</v>
      </c>
      <c r="J68" s="143">
        <v>5000.0</v>
      </c>
      <c r="K68" s="143">
        <v>5000.0</v>
      </c>
      <c r="L68" s="143">
        <v>5000.0</v>
      </c>
      <c r="M68" s="143">
        <v>5000.0</v>
      </c>
      <c r="N68" s="143">
        <v>5000.0</v>
      </c>
      <c r="O68" s="143">
        <v>5000.0</v>
      </c>
      <c r="P68" s="143">
        <v>5000.0</v>
      </c>
      <c r="Q68" s="145" t="str">
        <f t="shared" si="68"/>
        <v> 60,000 </v>
      </c>
    </row>
    <row r="69" ht="16.5" customHeight="1">
      <c r="B69" s="189" t="str">
        <f t="shared" si="70"/>
        <v>2.10</v>
      </c>
      <c r="C69" s="188" t="s">
        <v>416</v>
      </c>
      <c r="D69" s="143" t="s">
        <v>374</v>
      </c>
      <c r="E69" s="145" t="str">
        <f t="shared" ref="E69:P69" si="77">(SUM(E60:E65)+SUM(E67:E68))*20%</f>
        <v> 178,757 </v>
      </c>
      <c r="F69" s="145" t="str">
        <f t="shared" si="77"/>
        <v> 178,757 </v>
      </c>
      <c r="G69" s="145" t="str">
        <f t="shared" si="77"/>
        <v> 179,417 </v>
      </c>
      <c r="H69" s="145" t="str">
        <f t="shared" si="77"/>
        <v> 179,417 </v>
      </c>
      <c r="I69" s="145" t="str">
        <f t="shared" si="77"/>
        <v> 179,417 </v>
      </c>
      <c r="J69" s="145" t="str">
        <f t="shared" si="77"/>
        <v> 179,417 </v>
      </c>
      <c r="K69" s="145" t="str">
        <f t="shared" si="77"/>
        <v> 179,417 </v>
      </c>
      <c r="L69" s="145" t="str">
        <f t="shared" si="77"/>
        <v> 179,417 </v>
      </c>
      <c r="M69" s="145" t="str">
        <f t="shared" si="77"/>
        <v> 179,417 </v>
      </c>
      <c r="N69" s="145" t="str">
        <f t="shared" si="77"/>
        <v> 179,417 </v>
      </c>
      <c r="O69" s="145" t="str">
        <f t="shared" si="77"/>
        <v> 179,417 </v>
      </c>
      <c r="P69" s="145" t="str">
        <f t="shared" si="77"/>
        <v> 179,417 </v>
      </c>
      <c r="Q69" s="145" t="str">
        <f t="shared" si="68"/>
        <v> 2,151,683 </v>
      </c>
    </row>
    <row r="70" ht="16.5" customHeight="1">
      <c r="B70" s="189" t="str">
        <f t="shared" si="70"/>
        <v>2.11</v>
      </c>
      <c r="C70" s="158" t="s">
        <v>419</v>
      </c>
      <c r="D70" s="151" t="s">
        <v>327</v>
      </c>
      <c r="E70" s="176" t="str">
        <f t="shared" ref="E70:P70" si="78">SUM(E60:E69)/10^6</f>
        <v>1.118 </v>
      </c>
      <c r="F70" s="176" t="str">
        <f t="shared" si="78"/>
        <v>1.118 </v>
      </c>
      <c r="G70" s="176" t="str">
        <f t="shared" si="78"/>
        <v>1.122 </v>
      </c>
      <c r="H70" s="176" t="str">
        <f t="shared" si="78"/>
        <v>1.122 </v>
      </c>
      <c r="I70" s="176" t="str">
        <f t="shared" si="78"/>
        <v>1.122 </v>
      </c>
      <c r="J70" s="176" t="str">
        <f t="shared" si="78"/>
        <v>1.122 </v>
      </c>
      <c r="K70" s="176" t="str">
        <f t="shared" si="78"/>
        <v>1.122 </v>
      </c>
      <c r="L70" s="176" t="str">
        <f t="shared" si="78"/>
        <v>1.122 </v>
      </c>
      <c r="M70" s="176" t="str">
        <f t="shared" si="78"/>
        <v>1.122 </v>
      </c>
      <c r="N70" s="176" t="str">
        <f t="shared" si="78"/>
        <v>1.122 </v>
      </c>
      <c r="O70" s="176" t="str">
        <f t="shared" si="78"/>
        <v>1.122 </v>
      </c>
      <c r="P70" s="176" t="str">
        <f t="shared" si="78"/>
        <v>1.122 </v>
      </c>
      <c r="Q70" s="145" t="str">
        <f t="shared" si="68"/>
        <v> 13 </v>
      </c>
    </row>
    <row r="71" ht="16.5" customHeight="1">
      <c r="B71" s="189" t="str">
        <f t="shared" si="70"/>
        <v>2.12</v>
      </c>
      <c r="C71" s="188" t="s">
        <v>358</v>
      </c>
      <c r="D71" s="143" t="s">
        <v>424</v>
      </c>
      <c r="E71" s="145" t="str">
        <f t="shared" ref="E71:P71" si="79">E53</f>
        <v> 101,685 </v>
      </c>
      <c r="F71" s="145" t="str">
        <f t="shared" si="79"/>
        <v> 101,685 </v>
      </c>
      <c r="G71" s="145" t="str">
        <f t="shared" si="79"/>
        <v> 101,685 </v>
      </c>
      <c r="H71" s="145" t="str">
        <f t="shared" si="79"/>
        <v> 101,685 </v>
      </c>
      <c r="I71" s="145" t="str">
        <f t="shared" si="79"/>
        <v> 101,685 </v>
      </c>
      <c r="J71" s="145" t="str">
        <f t="shared" si="79"/>
        <v> 101,685 </v>
      </c>
      <c r="K71" s="145" t="str">
        <f t="shared" si="79"/>
        <v> 101,685 </v>
      </c>
      <c r="L71" s="145" t="str">
        <f t="shared" si="79"/>
        <v> 101,685 </v>
      </c>
      <c r="M71" s="145" t="str">
        <f t="shared" si="79"/>
        <v> 101,685 </v>
      </c>
      <c r="N71" s="145" t="str">
        <f t="shared" si="79"/>
        <v> 101,685 </v>
      </c>
      <c r="O71" s="145" t="str">
        <f t="shared" si="79"/>
        <v> 101,685 </v>
      </c>
      <c r="P71" s="145" t="str">
        <f t="shared" si="79"/>
        <v> 101,685 </v>
      </c>
      <c r="Q71" s="145" t="str">
        <f t="shared" si="68"/>
        <v> 1,220,220 </v>
      </c>
    </row>
    <row r="72" ht="16.5" customHeight="1">
      <c r="B72" s="189" t="str">
        <f t="shared" si="70"/>
        <v>2.13</v>
      </c>
      <c r="C72" s="188" t="s">
        <v>432</v>
      </c>
      <c r="D72" s="143" t="s">
        <v>424</v>
      </c>
      <c r="E72" s="145" t="str">
        <f t="shared" ref="E72:P72" si="80">E54</f>
        <v> 83,685 </v>
      </c>
      <c r="F72" s="145" t="str">
        <f t="shared" si="80"/>
        <v> 83,685 </v>
      </c>
      <c r="G72" s="145" t="str">
        <f t="shared" si="80"/>
        <v> 83,685 </v>
      </c>
      <c r="H72" s="145" t="str">
        <f t="shared" si="80"/>
        <v> 83,685 </v>
      </c>
      <c r="I72" s="145" t="str">
        <f t="shared" si="80"/>
        <v> 83,685 </v>
      </c>
      <c r="J72" s="145" t="str">
        <f t="shared" si="80"/>
        <v> 83,685 </v>
      </c>
      <c r="K72" s="145" t="str">
        <f t="shared" si="80"/>
        <v> 83,685 </v>
      </c>
      <c r="L72" s="145" t="str">
        <f t="shared" si="80"/>
        <v> 83,685 </v>
      </c>
      <c r="M72" s="145" t="str">
        <f t="shared" si="80"/>
        <v> 83,685 </v>
      </c>
      <c r="N72" s="145" t="str">
        <f t="shared" si="80"/>
        <v> 83,685 </v>
      </c>
      <c r="O72" s="145" t="str">
        <f t="shared" si="80"/>
        <v> 83,685 </v>
      </c>
      <c r="P72" s="145" t="str">
        <f t="shared" si="80"/>
        <v> 83,685 </v>
      </c>
      <c r="Q72" s="145" t="str">
        <f t="shared" si="68"/>
        <v> 1,004,220 </v>
      </c>
    </row>
    <row r="73" ht="16.5" customHeight="1">
      <c r="B73" s="189" t="str">
        <f t="shared" si="70"/>
        <v>2.14</v>
      </c>
      <c r="C73" s="188" t="s">
        <v>363</v>
      </c>
      <c r="D73" s="143" t="s">
        <v>424</v>
      </c>
      <c r="E73" s="145" t="str">
        <f t="shared" ref="E73:P73" si="81">E55</f>
        <v> 18,000 </v>
      </c>
      <c r="F73" s="145" t="str">
        <f t="shared" si="81"/>
        <v> 18,000 </v>
      </c>
      <c r="G73" s="145" t="str">
        <f t="shared" si="81"/>
        <v> 18,000 </v>
      </c>
      <c r="H73" s="145" t="str">
        <f t="shared" si="81"/>
        <v> 18,000 </v>
      </c>
      <c r="I73" s="145" t="str">
        <f t="shared" si="81"/>
        <v> 18,000 </v>
      </c>
      <c r="J73" s="145" t="str">
        <f t="shared" si="81"/>
        <v> 18,000 </v>
      </c>
      <c r="K73" s="145" t="str">
        <f t="shared" si="81"/>
        <v> 18,000 </v>
      </c>
      <c r="L73" s="145" t="str">
        <f t="shared" si="81"/>
        <v> 18,000 </v>
      </c>
      <c r="M73" s="145" t="str">
        <f t="shared" si="81"/>
        <v> 18,000 </v>
      </c>
      <c r="N73" s="145" t="str">
        <f t="shared" si="81"/>
        <v> 18,000 </v>
      </c>
      <c r="O73" s="145" t="str">
        <f t="shared" si="81"/>
        <v> 18,000 </v>
      </c>
      <c r="P73" s="145" t="str">
        <f t="shared" si="81"/>
        <v> 18,000 </v>
      </c>
      <c r="Q73" s="145" t="str">
        <f t="shared" si="68"/>
        <v> 216,000 </v>
      </c>
    </row>
    <row r="74" ht="16.5" customHeight="1">
      <c r="B74" s="189" t="str">
        <f t="shared" si="70"/>
        <v>2.15</v>
      </c>
      <c r="C74" s="158" t="s">
        <v>444</v>
      </c>
      <c r="D74" s="151" t="s">
        <v>327</v>
      </c>
      <c r="E74" s="176" t="str">
        <f t="shared" ref="E74:P74" si="82">(E70/E71)*E72</f>
        <v>0.920 </v>
      </c>
      <c r="F74" s="176" t="str">
        <f t="shared" si="82"/>
        <v>0.920 </v>
      </c>
      <c r="G74" s="176" t="str">
        <f t="shared" si="82"/>
        <v>0.923 </v>
      </c>
      <c r="H74" s="176" t="str">
        <f t="shared" si="82"/>
        <v>0.923 </v>
      </c>
      <c r="I74" s="176" t="str">
        <f t="shared" si="82"/>
        <v>0.923 </v>
      </c>
      <c r="J74" s="176" t="str">
        <f t="shared" si="82"/>
        <v>0.923 </v>
      </c>
      <c r="K74" s="176" t="str">
        <f t="shared" si="82"/>
        <v>0.923 </v>
      </c>
      <c r="L74" s="176" t="str">
        <f t="shared" si="82"/>
        <v>0.923 </v>
      </c>
      <c r="M74" s="176" t="str">
        <f t="shared" si="82"/>
        <v>0.923 </v>
      </c>
      <c r="N74" s="176" t="str">
        <f t="shared" si="82"/>
        <v>0.923 </v>
      </c>
      <c r="O74" s="176" t="str">
        <f t="shared" si="82"/>
        <v>0.923 </v>
      </c>
      <c r="P74" s="176" t="str">
        <f t="shared" si="82"/>
        <v>0.923 </v>
      </c>
      <c r="Q74" s="145" t="str">
        <f t="shared" si="68"/>
        <v> 11 </v>
      </c>
    </row>
    <row r="75" ht="16.5" customHeight="1">
      <c r="Q75" s="145" t="str">
        <f t="shared" si="68"/>
        <v> 0 </v>
      </c>
    </row>
    <row r="76" ht="16.5" customHeight="1">
      <c r="B76" s="179" t="str">
        <f>B59+1</f>
        <v>3.00</v>
      </c>
      <c r="C76" s="158" t="s">
        <v>451</v>
      </c>
      <c r="Q76" s="145" t="str">
        <f t="shared" si="68"/>
        <v> 0 </v>
      </c>
    </row>
    <row r="77" ht="16.5" customHeight="1">
      <c r="B77" s="189" t="str">
        <f t="shared" ref="B77:B86" si="83">B76+0.01</f>
        <v>3.01</v>
      </c>
      <c r="C77" s="188" t="s">
        <v>454</v>
      </c>
      <c r="D77" s="143" t="s">
        <v>455</v>
      </c>
      <c r="E77" s="145" t="str">
        <f>'Admin Opex'!D108</f>
        <v> 339,041 </v>
      </c>
      <c r="F77" s="145" t="str">
        <f>'Admin Opex'!E108</f>
        <v> 350,609 </v>
      </c>
      <c r="G77" s="145" t="str">
        <f>'Admin Opex'!F108</f>
        <v> 340,175 </v>
      </c>
      <c r="H77" s="145" t="str">
        <f>'Admin Opex'!G108</f>
        <v> 341,693 </v>
      </c>
      <c r="I77" s="145" t="str">
        <f>'Admin Opex'!H108</f>
        <v> 343,336 </v>
      </c>
      <c r="J77" s="145" t="str">
        <f>'Admin Opex'!I108</f>
        <v> 323,051 </v>
      </c>
      <c r="K77" s="145" t="str">
        <f>'Admin Opex'!J108</f>
        <v> 320,380 </v>
      </c>
      <c r="L77" s="145" t="str">
        <f>'Admin Opex'!K108</f>
        <v> 301,811 </v>
      </c>
      <c r="M77" s="145" t="str">
        <f>'Admin Opex'!L108</f>
        <v> 304,017 </v>
      </c>
      <c r="N77" s="145" t="str">
        <f>'Admin Opex'!M108</f>
        <v> 304,017 </v>
      </c>
      <c r="O77" s="145" t="str">
        <f>'Admin Opex'!N108</f>
        <v> 301,811 </v>
      </c>
      <c r="P77" s="145" t="str">
        <f>'Admin Opex'!O108</f>
        <v> 320,380 </v>
      </c>
      <c r="Q77" s="145" t="str">
        <f t="shared" si="68"/>
        <v> 3,890,320 </v>
      </c>
      <c r="AA77" s="188" t="s">
        <v>463</v>
      </c>
    </row>
    <row r="78" ht="16.5" customHeight="1">
      <c r="B78" s="131" t="str">
        <f t="shared" si="83"/>
        <v> 3.02 </v>
      </c>
      <c r="C78" s="137" t="s">
        <v>464</v>
      </c>
      <c r="D78" s="133" t="s">
        <v>181</v>
      </c>
      <c r="E78" s="131" t="str">
        <f t="shared" ref="E78:P78" si="84">5.01*1</f>
        <v> 5.01 </v>
      </c>
      <c r="F78" s="131" t="str">
        <f t="shared" si="84"/>
        <v> 5.01 </v>
      </c>
      <c r="G78" s="131" t="str">
        <f t="shared" si="84"/>
        <v> 5.01 </v>
      </c>
      <c r="H78" s="131" t="str">
        <f t="shared" si="84"/>
        <v> 5.01 </v>
      </c>
      <c r="I78" s="131" t="str">
        <f t="shared" si="84"/>
        <v> 5.01 </v>
      </c>
      <c r="J78" s="131" t="str">
        <f t="shared" si="84"/>
        <v> 5.01 </v>
      </c>
      <c r="K78" s="131" t="str">
        <f t="shared" si="84"/>
        <v> 5.01 </v>
      </c>
      <c r="L78" s="131" t="str">
        <f t="shared" si="84"/>
        <v> 5.01 </v>
      </c>
      <c r="M78" s="131" t="str">
        <f t="shared" si="84"/>
        <v> 5.01 </v>
      </c>
      <c r="N78" s="131" t="str">
        <f t="shared" si="84"/>
        <v> 5.01 </v>
      </c>
      <c r="O78" s="131" t="str">
        <f t="shared" si="84"/>
        <v> 5.01 </v>
      </c>
      <c r="P78" s="131" t="str">
        <f t="shared" si="84"/>
        <v> 5.01 </v>
      </c>
      <c r="Q78" s="145" t="str">
        <f t="shared" si="68"/>
        <v> 60 </v>
      </c>
      <c r="AA78" s="137" t="s">
        <v>471</v>
      </c>
    </row>
    <row r="79" ht="16.5" customHeight="1">
      <c r="B79" s="131" t="str">
        <f t="shared" si="83"/>
        <v> 3.03 </v>
      </c>
      <c r="C79" s="137" t="s">
        <v>475</v>
      </c>
      <c r="D79" s="133" t="s">
        <v>327</v>
      </c>
      <c r="E79" s="131" t="str">
        <f t="shared" ref="E79:P79" si="85">((E77*E78)+158600)/10^6</f>
        <v> 1.86 </v>
      </c>
      <c r="F79" s="131" t="str">
        <f t="shared" si="85"/>
        <v> 1.92 </v>
      </c>
      <c r="G79" s="131" t="str">
        <f t="shared" si="85"/>
        <v> 1.86 </v>
      </c>
      <c r="H79" s="131" t="str">
        <f t="shared" si="85"/>
        <v> 1.87 </v>
      </c>
      <c r="I79" s="131" t="str">
        <f t="shared" si="85"/>
        <v> 1.88 </v>
      </c>
      <c r="J79" s="131" t="str">
        <f t="shared" si="85"/>
        <v> 1.78 </v>
      </c>
      <c r="K79" s="131" t="str">
        <f t="shared" si="85"/>
        <v> 1.76 </v>
      </c>
      <c r="L79" s="131" t="str">
        <f t="shared" si="85"/>
        <v> 1.67 </v>
      </c>
      <c r="M79" s="131" t="str">
        <f t="shared" si="85"/>
        <v> 1.68 </v>
      </c>
      <c r="N79" s="131" t="str">
        <f t="shared" si="85"/>
        <v> 1.68 </v>
      </c>
      <c r="O79" s="131" t="str">
        <f t="shared" si="85"/>
        <v> 1.67 </v>
      </c>
      <c r="P79" s="131" t="str">
        <f t="shared" si="85"/>
        <v> 1.76 </v>
      </c>
      <c r="Q79" s="145" t="str">
        <f t="shared" si="68"/>
        <v> 21 </v>
      </c>
    </row>
    <row r="80" ht="16.5" customHeight="1">
      <c r="B80" s="189" t="str">
        <f t="shared" si="83"/>
        <v>3.04</v>
      </c>
      <c r="C80" s="188" t="s">
        <v>482</v>
      </c>
      <c r="D80" s="143" t="s">
        <v>455</v>
      </c>
      <c r="E80" s="145" t="str">
        <f>'Admin Opex'!D109</f>
        <v> 182,560 </v>
      </c>
      <c r="F80" s="145" t="str">
        <f>'Admin Opex'!E109</f>
        <v> 188,790 </v>
      </c>
      <c r="G80" s="145" t="str">
        <f>'Admin Opex'!F109</f>
        <v> 183,171 </v>
      </c>
      <c r="H80" s="145" t="str">
        <f>'Admin Opex'!G109</f>
        <v> 183,989 </v>
      </c>
      <c r="I80" s="145" t="str">
        <f>'Admin Opex'!H109</f>
        <v> 184,873 </v>
      </c>
      <c r="J80" s="145" t="str">
        <f>'Admin Opex'!I109</f>
        <v> 173,951 </v>
      </c>
      <c r="K80" s="145" t="str">
        <f>'Admin Opex'!J109</f>
        <v> 172,512 </v>
      </c>
      <c r="L80" s="145" t="str">
        <f>'Admin Opex'!K109</f>
        <v> 162,513 </v>
      </c>
      <c r="M80" s="145" t="str">
        <f>'Admin Opex'!L109</f>
        <v> 163,701 </v>
      </c>
      <c r="N80" s="145" t="str">
        <f>'Admin Opex'!M109</f>
        <v> 163,701 </v>
      </c>
      <c r="O80" s="145" t="str">
        <f>'Admin Opex'!N109</f>
        <v> 162,513 </v>
      </c>
      <c r="P80" s="145" t="str">
        <f>'Admin Opex'!O109</f>
        <v> 172,512 </v>
      </c>
      <c r="Q80" s="145" t="str">
        <f t="shared" si="68"/>
        <v> 2,094,787 </v>
      </c>
    </row>
    <row r="81" ht="16.5" customHeight="1">
      <c r="B81" s="131" t="str">
        <f t="shared" si="83"/>
        <v> 3.05 </v>
      </c>
      <c r="C81" s="140" t="s">
        <v>496</v>
      </c>
      <c r="D81" s="139" t="s">
        <v>181</v>
      </c>
      <c r="E81" s="147" t="str">
        <f t="shared" ref="E81:J81" si="86">11.5*1.075</f>
        <v>12.4 </v>
      </c>
      <c r="F81" s="147" t="str">
        <f t="shared" si="86"/>
        <v>12.4 </v>
      </c>
      <c r="G81" s="147" t="str">
        <f t="shared" si="86"/>
        <v>12.4 </v>
      </c>
      <c r="H81" s="147" t="str">
        <f t="shared" si="86"/>
        <v>12.4 </v>
      </c>
      <c r="I81" s="147" t="str">
        <f t="shared" si="86"/>
        <v>12.4 </v>
      </c>
      <c r="J81" s="147" t="str">
        <f t="shared" si="86"/>
        <v>12.4 </v>
      </c>
      <c r="K81" s="147" t="str">
        <f t="shared" ref="K81:P81" si="87">11.5*1.15</f>
        <v>13.2 </v>
      </c>
      <c r="L81" s="147" t="str">
        <f t="shared" si="87"/>
        <v>13.2 </v>
      </c>
      <c r="M81" s="147" t="str">
        <f t="shared" si="87"/>
        <v>13.2 </v>
      </c>
      <c r="N81" s="147" t="str">
        <f t="shared" si="87"/>
        <v>13.2 </v>
      </c>
      <c r="O81" s="147" t="str">
        <f t="shared" si="87"/>
        <v>13.2 </v>
      </c>
      <c r="P81" s="147" t="str">
        <f t="shared" si="87"/>
        <v>13.2 </v>
      </c>
      <c r="Q81" s="145" t="str">
        <f t="shared" si="68"/>
        <v> 154 </v>
      </c>
      <c r="AA81" s="140" t="s">
        <v>500</v>
      </c>
    </row>
    <row r="82" ht="16.5" customHeight="1">
      <c r="B82" s="131" t="str">
        <f t="shared" si="83"/>
        <v> 3.06 </v>
      </c>
      <c r="C82" s="140" t="s">
        <v>501</v>
      </c>
      <c r="D82" s="139" t="s">
        <v>327</v>
      </c>
      <c r="E82" s="147" t="str">
        <f t="shared" ref="E82:P82" si="88">E80*E81/10^6</f>
        <v>2.3 </v>
      </c>
      <c r="F82" s="147" t="str">
        <f t="shared" si="88"/>
        <v>2.3 </v>
      </c>
      <c r="G82" s="147" t="str">
        <f t="shared" si="88"/>
        <v>2.3 </v>
      </c>
      <c r="H82" s="147" t="str">
        <f t="shared" si="88"/>
        <v>2.3 </v>
      </c>
      <c r="I82" s="147" t="str">
        <f t="shared" si="88"/>
        <v>2.3 </v>
      </c>
      <c r="J82" s="147" t="str">
        <f t="shared" si="88"/>
        <v>2.2 </v>
      </c>
      <c r="K82" s="147" t="str">
        <f t="shared" si="88"/>
        <v>2.3 </v>
      </c>
      <c r="L82" s="147" t="str">
        <f t="shared" si="88"/>
        <v>2.1 </v>
      </c>
      <c r="M82" s="147" t="str">
        <f t="shared" si="88"/>
        <v>2.2 </v>
      </c>
      <c r="N82" s="147" t="str">
        <f t="shared" si="88"/>
        <v>2.2 </v>
      </c>
      <c r="O82" s="147" t="str">
        <f t="shared" si="88"/>
        <v>2.1 </v>
      </c>
      <c r="P82" s="147" t="str">
        <f t="shared" si="88"/>
        <v>2.3 </v>
      </c>
      <c r="Q82" s="145" t="str">
        <f t="shared" si="68"/>
        <v> 27 </v>
      </c>
    </row>
    <row r="83" ht="16.5" customHeight="1">
      <c r="B83" s="131" t="str">
        <f t="shared" si="83"/>
        <v> 3.07 </v>
      </c>
      <c r="C83" s="140" t="s">
        <v>508</v>
      </c>
      <c r="D83" s="139" t="s">
        <v>327</v>
      </c>
      <c r="E83" s="147" t="str">
        <f t="shared" ref="E83:P83" si="89">E79+E82</f>
        <v>4.1 </v>
      </c>
      <c r="F83" s="147" t="str">
        <f t="shared" si="89"/>
        <v>4.2 </v>
      </c>
      <c r="G83" s="147" t="str">
        <f t="shared" si="89"/>
        <v>4.1 </v>
      </c>
      <c r="H83" s="147" t="str">
        <f t="shared" si="89"/>
        <v>4.1 </v>
      </c>
      <c r="I83" s="147" t="str">
        <f t="shared" si="89"/>
        <v>4.2 </v>
      </c>
      <c r="J83" s="147" t="str">
        <f t="shared" si="89"/>
        <v>3.9 </v>
      </c>
      <c r="K83" s="147" t="str">
        <f t="shared" si="89"/>
        <v>4.0 </v>
      </c>
      <c r="L83" s="147" t="str">
        <f t="shared" si="89"/>
        <v>3.8 </v>
      </c>
      <c r="M83" s="147" t="str">
        <f t="shared" si="89"/>
        <v>3.8 </v>
      </c>
      <c r="N83" s="147" t="str">
        <f t="shared" si="89"/>
        <v>3.8 </v>
      </c>
      <c r="O83" s="147" t="str">
        <f t="shared" si="89"/>
        <v>3.8 </v>
      </c>
      <c r="P83" s="147" t="str">
        <f t="shared" si="89"/>
        <v>4.0 </v>
      </c>
      <c r="Q83" s="145" t="str">
        <f t="shared" si="68"/>
        <v> 48 </v>
      </c>
    </row>
    <row r="84" ht="16.5" customHeight="1">
      <c r="B84" s="131" t="str">
        <f t="shared" si="83"/>
        <v> 3.08 </v>
      </c>
      <c r="C84" s="140" t="s">
        <v>509</v>
      </c>
      <c r="D84" s="139" t="s">
        <v>327</v>
      </c>
      <c r="E84" s="131" t="str">
        <f t="shared" ref="E84:P84" si="90">1.15*179000/10^6</f>
        <v> 0.21 </v>
      </c>
      <c r="F84" s="131" t="str">
        <f t="shared" si="90"/>
        <v> 0.21 </v>
      </c>
      <c r="G84" s="131" t="str">
        <f t="shared" si="90"/>
        <v> 0.21 </v>
      </c>
      <c r="H84" s="131" t="str">
        <f t="shared" si="90"/>
        <v> 0.21 </v>
      </c>
      <c r="I84" s="131" t="str">
        <f t="shared" si="90"/>
        <v> 0.21 </v>
      </c>
      <c r="J84" s="131" t="str">
        <f t="shared" si="90"/>
        <v> 0.21 </v>
      </c>
      <c r="K84" s="131" t="str">
        <f t="shared" si="90"/>
        <v> 0.21 </v>
      </c>
      <c r="L84" s="131" t="str">
        <f t="shared" si="90"/>
        <v> 0.21 </v>
      </c>
      <c r="M84" s="131" t="str">
        <f t="shared" si="90"/>
        <v> 0.21 </v>
      </c>
      <c r="N84" s="131" t="str">
        <f t="shared" si="90"/>
        <v> 0.21 </v>
      </c>
      <c r="O84" s="131" t="str">
        <f t="shared" si="90"/>
        <v> 0.21 </v>
      </c>
      <c r="P84" s="131" t="str">
        <f t="shared" si="90"/>
        <v> 0.21 </v>
      </c>
      <c r="Q84" s="145" t="str">
        <f t="shared" si="68"/>
        <v> 2 </v>
      </c>
    </row>
    <row r="85" ht="16.5" customHeight="1">
      <c r="B85" s="131" t="str">
        <f t="shared" si="83"/>
        <v> 3.09 </v>
      </c>
      <c r="C85" s="140" t="s">
        <v>511</v>
      </c>
      <c r="D85" s="139" t="s">
        <v>327</v>
      </c>
      <c r="E85" s="131" t="str">
        <f t="shared" ref="E85:P85" si="91">E83-E84</f>
        <v> 3.91 </v>
      </c>
      <c r="F85" s="131" t="str">
        <f t="shared" si="91"/>
        <v> 4.04 </v>
      </c>
      <c r="G85" s="131" t="str">
        <f t="shared" si="91"/>
        <v> 3.92 </v>
      </c>
      <c r="H85" s="131" t="str">
        <f t="shared" si="91"/>
        <v> 3.94 </v>
      </c>
      <c r="I85" s="131" t="str">
        <f t="shared" si="91"/>
        <v> 3.96 </v>
      </c>
      <c r="J85" s="131" t="str">
        <f t="shared" si="91"/>
        <v> 3.72 </v>
      </c>
      <c r="K85" s="131" t="str">
        <f t="shared" si="91"/>
        <v> 3.84 </v>
      </c>
      <c r="L85" s="131" t="str">
        <f t="shared" si="91"/>
        <v> 3.61 </v>
      </c>
      <c r="M85" s="131" t="str">
        <f t="shared" si="91"/>
        <v> 3.64 </v>
      </c>
      <c r="N85" s="131" t="str">
        <f t="shared" si="91"/>
        <v> 3.64 </v>
      </c>
      <c r="O85" s="131" t="str">
        <f t="shared" si="91"/>
        <v> 3.61 </v>
      </c>
      <c r="P85" s="131" t="str">
        <f t="shared" si="91"/>
        <v> 3.84 </v>
      </c>
      <c r="Q85" s="145" t="str">
        <f t="shared" si="68"/>
        <v> 46 </v>
      </c>
    </row>
    <row r="86" ht="16.5" customHeight="1">
      <c r="B86" s="128" t="str">
        <f t="shared" si="83"/>
        <v> 3.10 </v>
      </c>
      <c r="C86" s="232" t="s">
        <v>512</v>
      </c>
      <c r="D86" s="233" t="s">
        <v>327</v>
      </c>
      <c r="E86" s="128" t="str">
        <f t="shared" ref="E86:P86" si="92">E85</f>
        <v> 3.91 </v>
      </c>
      <c r="F86" s="128" t="str">
        <f t="shared" si="92"/>
        <v> 4.04 </v>
      </c>
      <c r="G86" s="128" t="str">
        <f t="shared" si="92"/>
        <v> 3.92 </v>
      </c>
      <c r="H86" s="128" t="str">
        <f t="shared" si="92"/>
        <v> 3.94 </v>
      </c>
      <c r="I86" s="128" t="str">
        <f t="shared" si="92"/>
        <v> 3.96 </v>
      </c>
      <c r="J86" s="128" t="str">
        <f t="shared" si="92"/>
        <v> 3.72 </v>
      </c>
      <c r="K86" s="128" t="str">
        <f t="shared" si="92"/>
        <v> 3.84 </v>
      </c>
      <c r="L86" s="128" t="str">
        <f t="shared" si="92"/>
        <v> 3.61 </v>
      </c>
      <c r="M86" s="128" t="str">
        <f t="shared" si="92"/>
        <v> 3.64 </v>
      </c>
      <c r="N86" s="128" t="str">
        <f t="shared" si="92"/>
        <v> 3.64 </v>
      </c>
      <c r="O86" s="128" t="str">
        <f t="shared" si="92"/>
        <v> 3.61 </v>
      </c>
      <c r="P86" s="128" t="str">
        <f t="shared" si="92"/>
        <v> 3.84 </v>
      </c>
      <c r="Q86" s="145" t="str">
        <f t="shared" si="68"/>
        <v> 46 </v>
      </c>
    </row>
    <row r="87" ht="16.5" customHeight="1">
      <c r="Q87" s="145" t="str">
        <f t="shared" si="68"/>
        <v> 0 </v>
      </c>
    </row>
    <row r="88" ht="16.5" customHeight="1">
      <c r="B88" s="234">
        <v>4.0</v>
      </c>
      <c r="C88" s="158" t="s">
        <v>325</v>
      </c>
      <c r="D88" s="151" t="s">
        <v>327</v>
      </c>
      <c r="E88" s="128" t="str">
        <f t="shared" ref="E88:P88" si="93">0.12</f>
        <v> 0.12 </v>
      </c>
      <c r="F88" s="128" t="str">
        <f t="shared" si="93"/>
        <v> 0.12 </v>
      </c>
      <c r="G88" s="128" t="str">
        <f t="shared" si="93"/>
        <v> 0.12 </v>
      </c>
      <c r="H88" s="128" t="str">
        <f t="shared" si="93"/>
        <v> 0.12 </v>
      </c>
      <c r="I88" s="128" t="str">
        <f t="shared" si="93"/>
        <v> 0.12 </v>
      </c>
      <c r="J88" s="128" t="str">
        <f t="shared" si="93"/>
        <v> 0.12 </v>
      </c>
      <c r="K88" s="128" t="str">
        <f t="shared" si="93"/>
        <v> 0.12 </v>
      </c>
      <c r="L88" s="128" t="str">
        <f t="shared" si="93"/>
        <v> 0.12 </v>
      </c>
      <c r="M88" s="128" t="str">
        <f t="shared" si="93"/>
        <v> 0.12 </v>
      </c>
      <c r="N88" s="128" t="str">
        <f t="shared" si="93"/>
        <v> 0.12 </v>
      </c>
      <c r="O88" s="128" t="str">
        <f t="shared" si="93"/>
        <v> 0.12 </v>
      </c>
      <c r="P88" s="128" t="str">
        <f t="shared" si="93"/>
        <v> 0.12 </v>
      </c>
      <c r="Q88" s="145" t="str">
        <f t="shared" si="68"/>
        <v> 1 </v>
      </c>
    </row>
    <row r="89" ht="16.5" customHeight="1">
      <c r="Q89" s="145" t="str">
        <f t="shared" si="68"/>
        <v> 0 </v>
      </c>
    </row>
    <row r="90" ht="16.5" customHeight="1">
      <c r="B90" s="179" t="str">
        <f>B88+1</f>
        <v>5.00</v>
      </c>
      <c r="C90" s="158" t="s">
        <v>513</v>
      </c>
      <c r="Q90" s="145" t="str">
        <f t="shared" si="68"/>
        <v> 0 </v>
      </c>
    </row>
    <row r="91" ht="16.5" customHeight="1">
      <c r="B91" s="189" t="str">
        <f t="shared" ref="B91:B114" si="94">B90+0.01</f>
        <v>5.01</v>
      </c>
      <c r="C91" s="188" t="s">
        <v>514</v>
      </c>
      <c r="Q91" s="145" t="str">
        <f t="shared" si="68"/>
        <v> 0 </v>
      </c>
    </row>
    <row r="92" ht="16.5" customHeight="1">
      <c r="B92" s="189" t="str">
        <f t="shared" si="94"/>
        <v>5.02</v>
      </c>
      <c r="C92" s="188" t="s">
        <v>495</v>
      </c>
      <c r="D92" s="143" t="s">
        <v>374</v>
      </c>
      <c r="F92" s="145" t="str">
        <f>(193248*$E$5)/4</f>
        <v> 2,171,624 </v>
      </c>
      <c r="I92" s="145" t="str">
        <f t="shared" ref="I92:I93" si="95">F92*1</f>
        <v> 2,171,624 </v>
      </c>
      <c r="L92" s="145" t="str">
        <f>(F92*1)+(55386572*3.5%)/4</f>
        <v> 2,656,257 </v>
      </c>
      <c r="M92" s="145" t="str">
        <f>J92*1.1</f>
        <v> 0 </v>
      </c>
      <c r="O92" s="145" t="str">
        <f>L92</f>
        <v> 2,656,257 </v>
      </c>
      <c r="P92" s="145" t="str">
        <f>J92*1.1</f>
        <v> 0 </v>
      </c>
      <c r="Q92" s="145" t="str">
        <f t="shared" si="68"/>
        <v> 9,655,763 </v>
      </c>
    </row>
    <row r="93" ht="16.5" customHeight="1">
      <c r="B93" s="189" t="str">
        <f t="shared" si="94"/>
        <v>5.03</v>
      </c>
      <c r="C93" s="188" t="s">
        <v>427</v>
      </c>
      <c r="D93" s="143" t="s">
        <v>374</v>
      </c>
      <c r="F93" s="145" t="str">
        <f>(113974*$E$5)/4</f>
        <v> 1,280,783 </v>
      </c>
      <c r="I93" s="145" t="str">
        <f t="shared" si="95"/>
        <v> 1,280,783 </v>
      </c>
      <c r="L93" s="145" t="str">
        <f>I93*1</f>
        <v> 1,280,783 </v>
      </c>
      <c r="O93" s="145" t="str">
        <f>L93*1</f>
        <v> 1,280,783 </v>
      </c>
      <c r="Q93" s="145" t="str">
        <f t="shared" si="68"/>
        <v> 5,123,131 </v>
      </c>
    </row>
    <row r="94" ht="16.5" customHeight="1">
      <c r="B94" s="189" t="str">
        <f t="shared" si="94"/>
        <v>5.04</v>
      </c>
      <c r="C94" s="188" t="s">
        <v>517</v>
      </c>
      <c r="D94" s="143" t="s">
        <v>374</v>
      </c>
      <c r="E94" s="145" t="str">
        <f>80000*$E$5/4</f>
        <v> 899,000 </v>
      </c>
      <c r="H94" s="145" t="str">
        <f>E94</f>
        <v> 899,000 </v>
      </c>
      <c r="K94" s="145" t="str">
        <f>E94</f>
        <v> 899,000 </v>
      </c>
      <c r="N94" s="145" t="str">
        <f>E94</f>
        <v> 899,000 </v>
      </c>
      <c r="Q94" s="145" t="str">
        <f t="shared" si="68"/>
        <v> 3,596,000 </v>
      </c>
    </row>
    <row r="95" ht="16.5" customHeight="1">
      <c r="B95" s="189" t="str">
        <f t="shared" si="94"/>
        <v>5.05</v>
      </c>
      <c r="C95" s="188" t="s">
        <v>522</v>
      </c>
      <c r="D95" s="143" t="s">
        <v>374</v>
      </c>
      <c r="E95" s="145" t="str">
        <f>1*(1400000+1018182)*24/38/4</f>
        <v> 381,818 </v>
      </c>
      <c r="H95" s="145" t="str">
        <f>1*(1400000+1018182)*24/38/4</f>
        <v> 381,818 </v>
      </c>
      <c r="K95" s="145" t="str">
        <f>1*(1400000+1018182)*24/38/4</f>
        <v> 381,818 </v>
      </c>
      <c r="N95" s="145" t="str">
        <f>1*(1400000+1018182)*24/38/4</f>
        <v> 381,818 </v>
      </c>
      <c r="Q95" s="145" t="str">
        <f t="shared" si="68"/>
        <v> 1,527,273 </v>
      </c>
    </row>
    <row r="96" ht="16.5" customHeight="1">
      <c r="B96" s="189" t="str">
        <f t="shared" si="94"/>
        <v>5.06</v>
      </c>
      <c r="C96" s="188" t="s">
        <v>527</v>
      </c>
      <c r="D96" s="143" t="s">
        <v>374</v>
      </c>
      <c r="G96" s="145" t="str">
        <f>85000/4</f>
        <v> 21,250 </v>
      </c>
      <c r="J96" s="145" t="str">
        <f>1*(85000+36000)/4</f>
        <v> 30,250 </v>
      </c>
      <c r="M96" s="145" t="str">
        <f>1*(85000+36000)/4</f>
        <v> 30,250 </v>
      </c>
      <c r="P96" s="145" t="str">
        <f>1*(85000+36000)/4</f>
        <v> 30,250 </v>
      </c>
      <c r="Q96" s="145" t="str">
        <f t="shared" si="68"/>
        <v> 112,000 </v>
      </c>
    </row>
    <row r="97" ht="16.5" customHeight="1">
      <c r="B97" s="189" t="str">
        <f t="shared" si="94"/>
        <v>5.07</v>
      </c>
      <c r="C97" s="188" t="s">
        <v>528</v>
      </c>
      <c r="D97" s="143" t="s">
        <v>374</v>
      </c>
      <c r="E97" s="145" t="str">
        <f>(200000*1)/4</f>
        <v> 50,000 </v>
      </c>
      <c r="H97" s="145" t="str">
        <f>(200000*1)/4</f>
        <v> 50,000 </v>
      </c>
      <c r="K97" s="145" t="str">
        <f>(200000*1)/4</f>
        <v> 50,000 </v>
      </c>
      <c r="N97" s="145" t="str">
        <f>(200000*1)/4</f>
        <v> 50,000 </v>
      </c>
      <c r="Q97" s="145" t="str">
        <f t="shared" si="68"/>
        <v> 200,000 </v>
      </c>
    </row>
    <row r="98" ht="16.5" customHeight="1">
      <c r="B98" s="189" t="str">
        <f t="shared" si="94"/>
        <v>5.08</v>
      </c>
      <c r="C98" s="188" t="s">
        <v>530</v>
      </c>
      <c r="D98" s="143" t="s">
        <v>374</v>
      </c>
      <c r="F98" s="145" t="str">
        <f>5381500/4</f>
        <v> 1,345,375 </v>
      </c>
      <c r="I98" s="145" t="str">
        <f>F98*1</f>
        <v> 1,345,375 </v>
      </c>
      <c r="L98" s="145" t="str">
        <f>F98+(12123838*9%)/4</f>
        <v> 1,618,161 </v>
      </c>
      <c r="O98" s="145" t="str">
        <f>I98+(12123838*9%)/4</f>
        <v> 1,618,161 </v>
      </c>
      <c r="Q98" s="145" t="str">
        <f t="shared" si="68"/>
        <v> 5,927,073 </v>
      </c>
    </row>
    <row r="99" ht="16.5" customHeight="1">
      <c r="B99" s="189" t="str">
        <f t="shared" si="94"/>
        <v>5.09</v>
      </c>
      <c r="C99" s="188" t="s">
        <v>533</v>
      </c>
      <c r="D99" s="143" t="s">
        <v>374</v>
      </c>
      <c r="E99" s="145" t="str">
        <f>11438860/4</f>
        <v> 2,859,715 </v>
      </c>
      <c r="H99" s="145" t="str">
        <f>11438860/4</f>
        <v> 2,859,715 </v>
      </c>
      <c r="K99" s="145" t="str">
        <f>11438860/4</f>
        <v> 2,859,715 </v>
      </c>
      <c r="N99" s="145" t="str">
        <f>11438860/4</f>
        <v> 2,859,715 </v>
      </c>
      <c r="Q99" s="145" t="str">
        <f t="shared" si="68"/>
        <v> 11,438,860 </v>
      </c>
    </row>
    <row r="100" ht="16.5" customHeight="1">
      <c r="B100" s="189" t="str">
        <f t="shared" si="94"/>
        <v>5.10</v>
      </c>
      <c r="C100" s="188" t="s">
        <v>534</v>
      </c>
      <c r="D100" s="143" t="s">
        <v>374</v>
      </c>
      <c r="E100" s="145" t="str">
        <f>(1*621000)/2</f>
        <v> 310,500 </v>
      </c>
      <c r="F100" s="145" t="str">
        <f>0</f>
        <v> 0 </v>
      </c>
      <c r="G100" s="143">
        <v>0.0</v>
      </c>
      <c r="K100" s="145" t="str">
        <f>(1*621000)/2</f>
        <v> 310,500 </v>
      </c>
      <c r="Q100" s="145" t="str">
        <f t="shared" si="68"/>
        <v> 621,000 </v>
      </c>
    </row>
    <row r="101" ht="16.5" customHeight="1">
      <c r="B101" s="189" t="str">
        <f t="shared" si="94"/>
        <v>5.11</v>
      </c>
      <c r="C101" s="188" t="s">
        <v>537</v>
      </c>
      <c r="D101" s="143" t="s">
        <v>374</v>
      </c>
      <c r="G101" s="145" t="str">
        <f>155000/4</f>
        <v> 38,750 </v>
      </c>
      <c r="J101" s="145" t="str">
        <f>155000/4</f>
        <v> 38,750 </v>
      </c>
      <c r="L101" s="143" t="s">
        <v>539</v>
      </c>
      <c r="M101" s="145" t="str">
        <f>(155000*1)/4</f>
        <v> 38,750 </v>
      </c>
      <c r="P101" s="145" t="str">
        <f>(155000*1)/4</f>
        <v> 38,750 </v>
      </c>
      <c r="Q101" s="145" t="str">
        <f t="shared" si="68"/>
        <v> 155,000 </v>
      </c>
    </row>
    <row r="102" ht="16.5" customHeight="1">
      <c r="B102" s="189" t="str">
        <f t="shared" si="94"/>
        <v>5.12</v>
      </c>
      <c r="C102" s="188" t="s">
        <v>541</v>
      </c>
      <c r="D102" s="143" t="s">
        <v>374</v>
      </c>
      <c r="G102" s="145" t="str">
        <f>140000/4</f>
        <v> 35,000 </v>
      </c>
      <c r="J102" s="145" t="str">
        <f>140000/4</f>
        <v> 35,000 </v>
      </c>
      <c r="M102" s="145" t="str">
        <f>1*(140000/4)</f>
        <v> 35,000 </v>
      </c>
      <c r="P102" s="145" t="str">
        <f>1*(140000/4)</f>
        <v> 35,000 </v>
      </c>
      <c r="Q102" s="145" t="str">
        <f t="shared" si="68"/>
        <v> 140,000 </v>
      </c>
    </row>
    <row r="103" ht="16.5" customHeight="1">
      <c r="B103" s="189" t="str">
        <f t="shared" si="94"/>
        <v>5.13</v>
      </c>
      <c r="C103" s="188" t="s">
        <v>543</v>
      </c>
      <c r="D103" s="143" t="s">
        <v>374</v>
      </c>
      <c r="F103" s="145" t="str">
        <f>300000/4</f>
        <v> 75,000 </v>
      </c>
      <c r="I103" s="145" t="str">
        <f>300000/4</f>
        <v> 75,000 </v>
      </c>
      <c r="L103" s="145" t="str">
        <f>300000/4</f>
        <v> 75,000 </v>
      </c>
      <c r="O103" s="145" t="str">
        <f>300000/4</f>
        <v> 75,000 </v>
      </c>
      <c r="Q103" s="145" t="str">
        <f t="shared" si="68"/>
        <v> 300,000 </v>
      </c>
    </row>
    <row r="104" ht="16.5" customHeight="1">
      <c r="B104" s="189" t="str">
        <f t="shared" si="94"/>
        <v>5.14</v>
      </c>
      <c r="C104" s="188" t="s">
        <v>545</v>
      </c>
      <c r="D104" s="143" t="s">
        <v>374</v>
      </c>
      <c r="E104" s="145" t="str">
        <f>(1*353000)/4</f>
        <v> 88,250 </v>
      </c>
      <c r="H104" s="145" t="str">
        <f>(1*353000)/4</f>
        <v> 88,250 </v>
      </c>
      <c r="K104" s="145" t="str">
        <f>(1*353000)/4</f>
        <v> 88,250 </v>
      </c>
      <c r="N104" s="145" t="str">
        <f>(1*353000)/4</f>
        <v> 88,250 </v>
      </c>
      <c r="Q104" s="145" t="str">
        <f t="shared" si="68"/>
        <v> 353,000 </v>
      </c>
    </row>
    <row r="105" ht="16.5" customHeight="1">
      <c r="B105" s="189" t="str">
        <f t="shared" si="94"/>
        <v>5.15</v>
      </c>
      <c r="C105" s="188" t="s">
        <v>549</v>
      </c>
      <c r="D105" s="143" t="s">
        <v>374</v>
      </c>
      <c r="G105" s="145" t="str">
        <f>275000/4</f>
        <v> 68,750 </v>
      </c>
      <c r="J105" s="145" t="str">
        <f>275000/4</f>
        <v> 68,750 </v>
      </c>
      <c r="M105" s="145" t="str">
        <f>1*(275000/4)</f>
        <v> 68,750 </v>
      </c>
      <c r="P105" s="145" t="str">
        <f>1*(275000/4)</f>
        <v> 68,750 </v>
      </c>
      <c r="Q105" s="145" t="str">
        <f t="shared" si="68"/>
        <v> 275,000 </v>
      </c>
    </row>
    <row r="106" ht="16.5" customHeight="1">
      <c r="B106" s="189" t="str">
        <f t="shared" si="94"/>
        <v>5.16</v>
      </c>
      <c r="C106" s="188" t="s">
        <v>553</v>
      </c>
      <c r="D106" s="143" t="s">
        <v>374</v>
      </c>
      <c r="E106" s="145" t="str">
        <f>50000*$E$5/4</f>
        <v> 561,875 </v>
      </c>
      <c r="H106" s="145" t="str">
        <f>50000*$E$5/4</f>
        <v> 561,875 </v>
      </c>
      <c r="K106" s="145" t="str">
        <f>50000*$E$5/4</f>
        <v> 561,875 </v>
      </c>
      <c r="N106" s="145" t="str">
        <f>50000*$E$5/4</f>
        <v> 561,875 </v>
      </c>
      <c r="Q106" s="145" t="str">
        <f t="shared" si="68"/>
        <v> 2,247,500 </v>
      </c>
    </row>
    <row r="107" ht="16.5" customHeight="1">
      <c r="B107" s="189" t="str">
        <f t="shared" si="94"/>
        <v>5.17</v>
      </c>
      <c r="C107" s="188" t="s">
        <v>557</v>
      </c>
      <c r="D107" s="143" t="s">
        <v>374</v>
      </c>
      <c r="F107" s="145" t="str">
        <f>189342/4</f>
        <v> 47,336 </v>
      </c>
      <c r="I107" s="145" t="str">
        <f>F107*1</f>
        <v> 47,336 </v>
      </c>
      <c r="L107" s="145" t="str">
        <f>I107</f>
        <v> 47,336 </v>
      </c>
      <c r="O107" s="145" t="str">
        <f>I107</f>
        <v> 47,336 </v>
      </c>
      <c r="Q107" s="145" t="str">
        <f t="shared" si="68"/>
        <v> 189,342 </v>
      </c>
    </row>
    <row r="108" ht="16.5" customHeight="1">
      <c r="B108" s="189" t="str">
        <f t="shared" si="94"/>
        <v>5.18</v>
      </c>
      <c r="C108" s="188" t="s">
        <v>560</v>
      </c>
      <c r="D108" s="143" t="s">
        <v>374</v>
      </c>
      <c r="E108" s="145" t="str">
        <f>13000000*6%/4</f>
        <v> 195,000 </v>
      </c>
      <c r="H108" s="145" t="str">
        <f>13000000*6%/4</f>
        <v> 195,000 </v>
      </c>
      <c r="K108" s="145" t="str">
        <f>13000000*6%/4</f>
        <v> 195,000 </v>
      </c>
      <c r="N108" s="145" t="str">
        <f>13000000*6%/4</f>
        <v> 195,000 </v>
      </c>
      <c r="Q108" s="145" t="str">
        <f t="shared" si="68"/>
        <v> 780,000 </v>
      </c>
    </row>
    <row r="109" ht="16.5" customHeight="1">
      <c r="B109" s="189" t="str">
        <f t="shared" si="94"/>
        <v>5.19</v>
      </c>
      <c r="C109" s="188" t="s">
        <v>562</v>
      </c>
      <c r="D109" s="143" t="s">
        <v>374</v>
      </c>
      <c r="I109" s="145" t="str">
        <f>(567806+10000+59000)*1</f>
        <v> 636,806 </v>
      </c>
      <c r="Q109" s="145" t="str">
        <f t="shared" si="68"/>
        <v> 636,806 </v>
      </c>
    </row>
    <row r="110" ht="16.5" customHeight="1">
      <c r="B110" s="189" t="str">
        <f t="shared" si="94"/>
        <v>5.20</v>
      </c>
      <c r="C110" s="188" t="s">
        <v>565</v>
      </c>
      <c r="D110" s="143" t="s">
        <v>374</v>
      </c>
      <c r="E110" s="145" t="str">
        <f>(6500*38+445000+50000+150000+100000+NOC!$H$81)/12</f>
        <v> 362,679 </v>
      </c>
      <c r="F110" s="145" t="str">
        <f>(6500*38+445000+50000+150000+100000+NOC!$H$81)/12</f>
        <v> 362,679 </v>
      </c>
      <c r="G110" s="145" t="str">
        <f>(6500*38+445000+50000+150000+100000+NOC!$H$81)/12</f>
        <v> 362,679 </v>
      </c>
      <c r="H110" s="145" t="str">
        <f>(6500*38+445000+50000+150000+100000+NOC!$H$81)/12</f>
        <v> 362,679 </v>
      </c>
      <c r="I110" s="145" t="str">
        <f>(6500*38+445000+50000+150000+100000+NOC!$H$81)/12</f>
        <v> 362,679 </v>
      </c>
      <c r="J110" s="145" t="str">
        <f>(6500*38+445000+50000+150000+100000+NOC!$H$81)/12</f>
        <v> 362,679 </v>
      </c>
      <c r="K110" s="145" t="str">
        <f>(6500*38+445000+50000+150000+100000+NOC!$H$81)/12</f>
        <v> 362,679 </v>
      </c>
      <c r="L110" s="145" t="str">
        <f>(6500*38+445000+50000+150000+100000+NOC!$H$81)/12</f>
        <v> 362,679 </v>
      </c>
      <c r="M110" s="145" t="str">
        <f>(6500*38+445000+50000+150000+100000+NOC!$H$81)/12</f>
        <v> 362,679 </v>
      </c>
      <c r="N110" s="145" t="str">
        <f>(6500*38+445000+50000+150000+100000+NOC!$H$81)/12</f>
        <v> 362,679 </v>
      </c>
      <c r="O110" s="145" t="str">
        <f>(6500*38+445000+50000+150000+100000+NOC!$H$81)/12</f>
        <v> 362,679 </v>
      </c>
      <c r="P110" s="145" t="str">
        <f>(6500*38+445000+50000+150000+100000+NOC!$H$81)/12</f>
        <v> 362,679 </v>
      </c>
      <c r="Q110" s="145" t="str">
        <f t="shared" si="68"/>
        <v> 4,352,150 </v>
      </c>
    </row>
    <row r="111" ht="16.5" customHeight="1">
      <c r="B111" s="189" t="str">
        <f t="shared" si="94"/>
        <v>5.21</v>
      </c>
      <c r="C111" s="188" t="s">
        <v>571</v>
      </c>
      <c r="D111" s="143" t="s">
        <v>374</v>
      </c>
      <c r="E111" s="145" t="str">
        <f>114000*$E$5/4</f>
        <v> 1,281,075 </v>
      </c>
      <c r="H111" s="145" t="str">
        <f>114000*$E$5/4</f>
        <v> 1,281,075 </v>
      </c>
      <c r="K111" s="145" t="str">
        <f>114000*$E$5/4</f>
        <v> 1,281,075 </v>
      </c>
      <c r="N111" s="145" t="str">
        <f>114000*$E$5/4</f>
        <v> 1,281,075 </v>
      </c>
      <c r="Q111" s="145" t="str">
        <f t="shared" si="68"/>
        <v> 5,124,300 </v>
      </c>
    </row>
    <row r="112" ht="16.5" customHeight="1">
      <c r="B112" s="189" t="str">
        <f t="shared" si="94"/>
        <v>5.22</v>
      </c>
      <c r="C112" s="188" t="s">
        <v>572</v>
      </c>
      <c r="D112" s="143" t="s">
        <v>374</v>
      </c>
      <c r="E112" s="145" t="str">
        <f t="shared" ref="E112:P112" si="96">SUM(E92:E111)</f>
        <v> 6,989,912 </v>
      </c>
      <c r="F112" s="145" t="str">
        <f t="shared" si="96"/>
        <v> 5,282,797 </v>
      </c>
      <c r="G112" s="145" t="str">
        <f t="shared" si="96"/>
        <v> 526,429 </v>
      </c>
      <c r="H112" s="145" t="str">
        <f t="shared" si="96"/>
        <v> 6,679,412 </v>
      </c>
      <c r="I112" s="145" t="str">
        <f t="shared" si="96"/>
        <v> 5,919,603 </v>
      </c>
      <c r="J112" s="145" t="str">
        <f t="shared" si="96"/>
        <v> 535,429 </v>
      </c>
      <c r="K112" s="145" t="str">
        <f t="shared" si="96"/>
        <v> 6,989,912 </v>
      </c>
      <c r="L112" s="145" t="str">
        <f t="shared" si="96"/>
        <v> 6,040,216 </v>
      </c>
      <c r="M112" s="145" t="str">
        <f t="shared" si="96"/>
        <v> 535,429 </v>
      </c>
      <c r="N112" s="145" t="str">
        <f t="shared" si="96"/>
        <v> 6,679,412 </v>
      </c>
      <c r="O112" s="145" t="str">
        <f t="shared" si="96"/>
        <v> 6,040,216 </v>
      </c>
      <c r="P112" s="145" t="str">
        <f t="shared" si="96"/>
        <v> 535,429 </v>
      </c>
      <c r="Q112" s="145" t="str">
        <f t="shared" si="68"/>
        <v> 52,754,197 </v>
      </c>
    </row>
    <row r="113" ht="16.5" customHeight="1">
      <c r="B113" s="189" t="str">
        <f t="shared" si="94"/>
        <v>5.23</v>
      </c>
      <c r="C113" s="188" t="s">
        <v>574</v>
      </c>
      <c r="D113" s="143" t="s">
        <v>374</v>
      </c>
      <c r="E113" s="186" t="str">
        <f t="shared" ref="E113:P113" si="97">20000+516665+(600000/12)+(1000000/12)</f>
        <v>669,998</v>
      </c>
      <c r="F113" s="186" t="str">
        <f t="shared" si="97"/>
        <v>669,998</v>
      </c>
      <c r="G113" s="186" t="str">
        <f t="shared" si="97"/>
        <v>669,998</v>
      </c>
      <c r="H113" s="186" t="str">
        <f t="shared" si="97"/>
        <v>669,998</v>
      </c>
      <c r="I113" s="186" t="str">
        <f t="shared" si="97"/>
        <v>669,998</v>
      </c>
      <c r="J113" s="186" t="str">
        <f t="shared" si="97"/>
        <v>669,998</v>
      </c>
      <c r="K113" s="186" t="str">
        <f t="shared" si="97"/>
        <v>669,998</v>
      </c>
      <c r="L113" s="186" t="str">
        <f t="shared" si="97"/>
        <v>669,998</v>
      </c>
      <c r="M113" s="186" t="str">
        <f t="shared" si="97"/>
        <v>669,998</v>
      </c>
      <c r="N113" s="186" t="str">
        <f t="shared" si="97"/>
        <v>669,998</v>
      </c>
      <c r="O113" s="186" t="str">
        <f t="shared" si="97"/>
        <v>669,998</v>
      </c>
      <c r="P113" s="186" t="str">
        <f t="shared" si="97"/>
        <v>669,998</v>
      </c>
      <c r="Q113" s="145" t="str">
        <f t="shared" si="68"/>
        <v> 8,039,980 </v>
      </c>
    </row>
    <row r="114" ht="16.5" customHeight="1">
      <c r="B114" s="189" t="str">
        <f t="shared" si="94"/>
        <v>5.24</v>
      </c>
      <c r="C114" s="158" t="s">
        <v>575</v>
      </c>
      <c r="D114" s="151" t="s">
        <v>327</v>
      </c>
      <c r="E114" s="176" t="str">
        <f t="shared" ref="E114:P114" si="98">(E112+E113)/10^6</f>
        <v>7.660 </v>
      </c>
      <c r="F114" s="176" t="str">
        <f t="shared" si="98"/>
        <v>5.953 </v>
      </c>
      <c r="G114" s="176" t="str">
        <f t="shared" si="98"/>
        <v>1.196 </v>
      </c>
      <c r="H114" s="176" t="str">
        <f t="shared" si="98"/>
        <v>7.349 </v>
      </c>
      <c r="I114" s="176" t="str">
        <f t="shared" si="98"/>
        <v>6.590 </v>
      </c>
      <c r="J114" s="176" t="str">
        <f t="shared" si="98"/>
        <v>1.205 </v>
      </c>
      <c r="K114" s="176" t="str">
        <f t="shared" si="98"/>
        <v>7.660 </v>
      </c>
      <c r="L114" s="176" t="str">
        <f t="shared" si="98"/>
        <v>6.710 </v>
      </c>
      <c r="M114" s="176" t="str">
        <f t="shared" si="98"/>
        <v>1.205 </v>
      </c>
      <c r="N114" s="176" t="str">
        <f t="shared" si="98"/>
        <v>7.349 </v>
      </c>
      <c r="O114" s="176" t="str">
        <f t="shared" si="98"/>
        <v>6.710 </v>
      </c>
      <c r="P114" s="176" t="str">
        <f t="shared" si="98"/>
        <v>1.205 </v>
      </c>
      <c r="Q114" s="145" t="str">
        <f t="shared" si="68"/>
        <v> 61 </v>
      </c>
    </row>
    <row r="115" ht="16.5" customHeight="1">
      <c r="Q115" s="145" t="str">
        <f t="shared" si="68"/>
        <v> 0 </v>
      </c>
    </row>
    <row r="116" ht="16.5" customHeight="1">
      <c r="B116" s="179" t="str">
        <f>B90+1</f>
        <v>6.00</v>
      </c>
      <c r="C116" s="158" t="s">
        <v>576</v>
      </c>
      <c r="Q116" s="145" t="str">
        <f t="shared" si="68"/>
        <v> 0 </v>
      </c>
    </row>
    <row r="117" ht="16.5" customHeight="1">
      <c r="B117" s="189" t="str">
        <f t="shared" ref="B117:B132" si="100">B116+0.01</f>
        <v>6.01</v>
      </c>
      <c r="C117" s="188" t="s">
        <v>579</v>
      </c>
      <c r="D117" s="143" t="s">
        <v>374</v>
      </c>
      <c r="E117" s="201" t="str">
        <f t="shared" ref="E117:P117" si="99">165000*1.1*0.82</f>
        <v> 148,830 </v>
      </c>
      <c r="F117" s="201" t="str">
        <f t="shared" si="99"/>
        <v> 148,830 </v>
      </c>
      <c r="G117" s="201" t="str">
        <f t="shared" si="99"/>
        <v> 148,830 </v>
      </c>
      <c r="H117" s="201" t="str">
        <f t="shared" si="99"/>
        <v> 148,830 </v>
      </c>
      <c r="I117" s="201" t="str">
        <f t="shared" si="99"/>
        <v> 148,830 </v>
      </c>
      <c r="J117" s="201" t="str">
        <f t="shared" si="99"/>
        <v> 148,830 </v>
      </c>
      <c r="K117" s="201" t="str">
        <f t="shared" si="99"/>
        <v> 148,830 </v>
      </c>
      <c r="L117" s="201" t="str">
        <f t="shared" si="99"/>
        <v> 148,830 </v>
      </c>
      <c r="M117" s="201" t="str">
        <f t="shared" si="99"/>
        <v> 148,830 </v>
      </c>
      <c r="N117" s="201" t="str">
        <f t="shared" si="99"/>
        <v> 148,830 </v>
      </c>
      <c r="O117" s="201" t="str">
        <f t="shared" si="99"/>
        <v> 148,830 </v>
      </c>
      <c r="P117" s="201" t="str">
        <f t="shared" si="99"/>
        <v> 148,830 </v>
      </c>
      <c r="Q117" s="145" t="str">
        <f t="shared" si="68"/>
        <v> 1,785,960 </v>
      </c>
      <c r="AB117" s="158" t="s">
        <v>583</v>
      </c>
    </row>
    <row r="118" ht="16.5" customHeight="1">
      <c r="B118" s="189" t="str">
        <f t="shared" si="100"/>
        <v>6.02</v>
      </c>
      <c r="C118" s="188" t="s">
        <v>586</v>
      </c>
      <c r="D118" s="143" t="s">
        <v>374</v>
      </c>
      <c r="E118" s="201" t="str">
        <f t="shared" ref="E118:P118" si="101">60166*1.1*0.82</f>
        <v> 54,270 </v>
      </c>
      <c r="F118" s="201" t="str">
        <f t="shared" si="101"/>
        <v> 54,270 </v>
      </c>
      <c r="G118" s="201" t="str">
        <f t="shared" si="101"/>
        <v> 54,270 </v>
      </c>
      <c r="H118" s="201" t="str">
        <f t="shared" si="101"/>
        <v> 54,270 </v>
      </c>
      <c r="I118" s="201" t="str">
        <f t="shared" si="101"/>
        <v> 54,270 </v>
      </c>
      <c r="J118" s="201" t="str">
        <f t="shared" si="101"/>
        <v> 54,270 </v>
      </c>
      <c r="K118" s="201" t="str">
        <f t="shared" si="101"/>
        <v> 54,270 </v>
      </c>
      <c r="L118" s="201" t="str">
        <f t="shared" si="101"/>
        <v> 54,270 </v>
      </c>
      <c r="M118" s="201" t="str">
        <f t="shared" si="101"/>
        <v> 54,270 </v>
      </c>
      <c r="N118" s="201" t="str">
        <f t="shared" si="101"/>
        <v> 54,270 </v>
      </c>
      <c r="O118" s="201" t="str">
        <f t="shared" si="101"/>
        <v> 54,270 </v>
      </c>
      <c r="P118" s="201" t="str">
        <f t="shared" si="101"/>
        <v> 54,270 </v>
      </c>
      <c r="Q118" s="145" t="str">
        <f t="shared" si="68"/>
        <v> 651,237 </v>
      </c>
      <c r="AB118" s="158" t="s">
        <v>583</v>
      </c>
    </row>
    <row r="119" ht="16.5" customHeight="1">
      <c r="B119" s="189" t="str">
        <f t="shared" si="100"/>
        <v>6.03</v>
      </c>
      <c r="C119" s="188" t="s">
        <v>587</v>
      </c>
      <c r="D119" s="143" t="s">
        <v>374</v>
      </c>
      <c r="E119" s="269" t="str">
        <f t="shared" ref="E119:P119" si="102">(150000)*(0)</f>
        <v> 0 </v>
      </c>
      <c r="F119" s="269" t="str">
        <f t="shared" si="102"/>
        <v> 0 </v>
      </c>
      <c r="G119" s="269" t="str">
        <f t="shared" si="102"/>
        <v> 0 </v>
      </c>
      <c r="H119" s="269" t="str">
        <f t="shared" si="102"/>
        <v> 0 </v>
      </c>
      <c r="I119" s="269" t="str">
        <f t="shared" si="102"/>
        <v> 0 </v>
      </c>
      <c r="J119" s="269" t="str">
        <f t="shared" si="102"/>
        <v> 0 </v>
      </c>
      <c r="K119" s="269" t="str">
        <f t="shared" si="102"/>
        <v> 0 </v>
      </c>
      <c r="L119" s="269" t="str">
        <f t="shared" si="102"/>
        <v> 0 </v>
      </c>
      <c r="M119" s="269" t="str">
        <f t="shared" si="102"/>
        <v> 0 </v>
      </c>
      <c r="N119" s="269" t="str">
        <f t="shared" si="102"/>
        <v> 0 </v>
      </c>
      <c r="O119" s="269" t="str">
        <f t="shared" si="102"/>
        <v> 0 </v>
      </c>
      <c r="P119" s="269" t="str">
        <f t="shared" si="102"/>
        <v> 0 </v>
      </c>
      <c r="Q119" s="269" t="str">
        <f t="shared" si="68"/>
        <v> 0 </v>
      </c>
      <c r="AB119" s="158" t="s">
        <v>588</v>
      </c>
    </row>
    <row r="120" ht="16.5" customHeight="1">
      <c r="B120" s="189" t="str">
        <f t="shared" si="100"/>
        <v>6.04</v>
      </c>
      <c r="C120" s="188" t="s">
        <v>589</v>
      </c>
      <c r="D120" s="143" t="s">
        <v>374</v>
      </c>
      <c r="E120" s="269" t="str">
        <f t="shared" ref="E120:P120" si="103">12000</f>
        <v> 12,000 </v>
      </c>
      <c r="F120" s="269" t="str">
        <f t="shared" si="103"/>
        <v> 12,000 </v>
      </c>
      <c r="G120" s="269" t="str">
        <f t="shared" si="103"/>
        <v> 12,000 </v>
      </c>
      <c r="H120" s="269" t="str">
        <f t="shared" si="103"/>
        <v> 12,000 </v>
      </c>
      <c r="I120" s="269" t="str">
        <f t="shared" si="103"/>
        <v> 12,000 </v>
      </c>
      <c r="J120" s="269" t="str">
        <f t="shared" si="103"/>
        <v> 12,000 </v>
      </c>
      <c r="K120" s="269" t="str">
        <f t="shared" si="103"/>
        <v> 12,000 </v>
      </c>
      <c r="L120" s="269" t="str">
        <f t="shared" si="103"/>
        <v> 12,000 </v>
      </c>
      <c r="M120" s="269" t="str">
        <f t="shared" si="103"/>
        <v> 12,000 </v>
      </c>
      <c r="N120" s="269" t="str">
        <f t="shared" si="103"/>
        <v> 12,000 </v>
      </c>
      <c r="O120" s="269" t="str">
        <f t="shared" si="103"/>
        <v> 12,000 </v>
      </c>
      <c r="P120" s="269" t="str">
        <f t="shared" si="103"/>
        <v> 12,000 </v>
      </c>
      <c r="Q120" s="269" t="str">
        <f t="shared" si="68"/>
        <v> 144,000 </v>
      </c>
    </row>
    <row r="121" ht="16.5" customHeight="1">
      <c r="B121" s="189" t="str">
        <f t="shared" si="100"/>
        <v>6.05</v>
      </c>
      <c r="C121" s="188" t="s">
        <v>591</v>
      </c>
      <c r="D121" s="143" t="s">
        <v>374</v>
      </c>
      <c r="E121" s="270">
        <v>45000.0</v>
      </c>
      <c r="F121" s="270">
        <v>45000.0</v>
      </c>
      <c r="G121" s="270">
        <v>45000.0</v>
      </c>
      <c r="H121" s="270">
        <v>45000.0</v>
      </c>
      <c r="I121" s="270">
        <v>45000.0</v>
      </c>
      <c r="J121" s="270">
        <v>45000.0</v>
      </c>
      <c r="K121" s="270">
        <v>45000.0</v>
      </c>
      <c r="L121" s="270">
        <v>45000.0</v>
      </c>
      <c r="M121" s="270">
        <v>45000.0</v>
      </c>
      <c r="N121" s="270">
        <v>45000.0</v>
      </c>
      <c r="O121" s="270">
        <v>45000.0</v>
      </c>
      <c r="P121" s="270">
        <v>45000.0</v>
      </c>
      <c r="Q121" s="269" t="str">
        <f t="shared" si="68"/>
        <v> 540,000 </v>
      </c>
    </row>
    <row r="122" ht="16.5" customHeight="1">
      <c r="B122" s="189" t="str">
        <f t="shared" si="100"/>
        <v>6.06</v>
      </c>
      <c r="C122" s="188" t="s">
        <v>593</v>
      </c>
      <c r="D122" s="143" t="s">
        <v>374</v>
      </c>
      <c r="E122" s="269" t="str">
        <f t="shared" ref="E122:P122" si="104">(150000)*(0)</f>
        <v> 0 </v>
      </c>
      <c r="F122" s="269" t="str">
        <f t="shared" si="104"/>
        <v> 0 </v>
      </c>
      <c r="G122" s="269" t="str">
        <f t="shared" si="104"/>
        <v> 0 </v>
      </c>
      <c r="H122" s="269" t="str">
        <f t="shared" si="104"/>
        <v> 0 </v>
      </c>
      <c r="I122" s="269" t="str">
        <f t="shared" si="104"/>
        <v> 0 </v>
      </c>
      <c r="J122" s="269" t="str">
        <f t="shared" si="104"/>
        <v> 0 </v>
      </c>
      <c r="K122" s="269" t="str">
        <f t="shared" si="104"/>
        <v> 0 </v>
      </c>
      <c r="L122" s="269" t="str">
        <f t="shared" si="104"/>
        <v> 0 </v>
      </c>
      <c r="M122" s="269" t="str">
        <f t="shared" si="104"/>
        <v> 0 </v>
      </c>
      <c r="N122" s="269" t="str">
        <f t="shared" si="104"/>
        <v> 0 </v>
      </c>
      <c r="O122" s="269" t="str">
        <f t="shared" si="104"/>
        <v> 0 </v>
      </c>
      <c r="P122" s="269" t="str">
        <f t="shared" si="104"/>
        <v> 0 </v>
      </c>
      <c r="Q122" s="269" t="str">
        <f t="shared" si="68"/>
        <v> 0 </v>
      </c>
    </row>
    <row r="123" ht="16.5" customHeight="1">
      <c r="B123" s="189" t="str">
        <f t="shared" si="100"/>
        <v>6.07</v>
      </c>
      <c r="C123" s="188" t="s">
        <v>596</v>
      </c>
      <c r="D123" s="143" t="s">
        <v>374</v>
      </c>
      <c r="E123" s="269" t="str">
        <f t="shared" ref="E123:P123" si="105">(45000*1.1)*(0)</f>
        <v> 0 </v>
      </c>
      <c r="F123" s="269" t="str">
        <f t="shared" si="105"/>
        <v> 0 </v>
      </c>
      <c r="G123" s="269" t="str">
        <f t="shared" si="105"/>
        <v> 0 </v>
      </c>
      <c r="H123" s="269" t="str">
        <f t="shared" si="105"/>
        <v> 0 </v>
      </c>
      <c r="I123" s="269" t="str">
        <f t="shared" si="105"/>
        <v> 0 </v>
      </c>
      <c r="J123" s="269" t="str">
        <f t="shared" si="105"/>
        <v> 0 </v>
      </c>
      <c r="K123" s="269" t="str">
        <f t="shared" si="105"/>
        <v> 0 </v>
      </c>
      <c r="L123" s="269" t="str">
        <f t="shared" si="105"/>
        <v> 0 </v>
      </c>
      <c r="M123" s="269" t="str">
        <f t="shared" si="105"/>
        <v> 0 </v>
      </c>
      <c r="N123" s="269" t="str">
        <f t="shared" si="105"/>
        <v> 0 </v>
      </c>
      <c r="O123" s="269" t="str">
        <f t="shared" si="105"/>
        <v> 0 </v>
      </c>
      <c r="P123" s="269" t="str">
        <f t="shared" si="105"/>
        <v> 0 </v>
      </c>
      <c r="Q123" s="269" t="str">
        <f t="shared" si="68"/>
        <v> 0 </v>
      </c>
    </row>
    <row r="124" ht="16.5" customHeight="1">
      <c r="B124" s="189" t="str">
        <f t="shared" si="100"/>
        <v>6.08</v>
      </c>
      <c r="C124" s="188" t="s">
        <v>598</v>
      </c>
      <c r="D124" s="143" t="s">
        <v>374</v>
      </c>
      <c r="E124" s="191">
        <v>15000.0</v>
      </c>
      <c r="F124" s="191">
        <v>15000.0</v>
      </c>
      <c r="G124" s="191">
        <v>15000.0</v>
      </c>
      <c r="H124" s="191">
        <v>15000.0</v>
      </c>
      <c r="I124" s="191">
        <v>15000.0</v>
      </c>
      <c r="J124" s="191">
        <v>15000.0</v>
      </c>
      <c r="K124" s="191">
        <v>15000.0</v>
      </c>
      <c r="L124" s="191">
        <v>15000.0</v>
      </c>
      <c r="M124" s="191">
        <v>15000.0</v>
      </c>
      <c r="N124" s="191">
        <v>15000.0</v>
      </c>
      <c r="O124" s="191">
        <v>15000.0</v>
      </c>
      <c r="P124" s="191">
        <v>15000.0</v>
      </c>
      <c r="Q124" s="145" t="str">
        <f t="shared" si="68"/>
        <v> 180,000 </v>
      </c>
    </row>
    <row r="125" ht="16.5" customHeight="1">
      <c r="B125" s="189" t="str">
        <f t="shared" si="100"/>
        <v>6.09</v>
      </c>
      <c r="C125" s="188" t="s">
        <v>600</v>
      </c>
      <c r="D125" s="143" t="s">
        <v>374</v>
      </c>
      <c r="E125" s="201"/>
      <c r="F125" s="201"/>
      <c r="G125" s="201"/>
      <c r="H125" s="201"/>
      <c r="I125" s="201"/>
      <c r="J125" s="201"/>
      <c r="K125" s="201"/>
      <c r="L125" s="201"/>
      <c r="M125" s="201"/>
      <c r="N125" s="201"/>
      <c r="O125" s="201"/>
      <c r="P125" s="201"/>
      <c r="Q125" s="145" t="str">
        <f t="shared" si="68"/>
        <v> 0 </v>
      </c>
      <c r="AB125" s="158" t="s">
        <v>603</v>
      </c>
    </row>
    <row r="126" ht="16.5" customHeight="1">
      <c r="B126" s="189" t="str">
        <f t="shared" si="100"/>
        <v>6.10</v>
      </c>
      <c r="C126" s="188" t="s">
        <v>604</v>
      </c>
      <c r="D126" s="143" t="s">
        <v>374</v>
      </c>
      <c r="E126" s="269" t="str">
        <f t="shared" ref="E126:P126" si="106">(10000)*(0)</f>
        <v> 0 </v>
      </c>
      <c r="F126" s="269" t="str">
        <f t="shared" si="106"/>
        <v> 0 </v>
      </c>
      <c r="G126" s="269" t="str">
        <f t="shared" si="106"/>
        <v> 0 </v>
      </c>
      <c r="H126" s="269" t="str">
        <f t="shared" si="106"/>
        <v> 0 </v>
      </c>
      <c r="I126" s="269" t="str">
        <f t="shared" si="106"/>
        <v> 0 </v>
      </c>
      <c r="J126" s="269" t="str">
        <f t="shared" si="106"/>
        <v> 0 </v>
      </c>
      <c r="K126" s="269" t="str">
        <f t="shared" si="106"/>
        <v> 0 </v>
      </c>
      <c r="L126" s="269" t="str">
        <f t="shared" si="106"/>
        <v> 0 </v>
      </c>
      <c r="M126" s="269" t="str">
        <f t="shared" si="106"/>
        <v> 0 </v>
      </c>
      <c r="N126" s="269" t="str">
        <f t="shared" si="106"/>
        <v> 0 </v>
      </c>
      <c r="O126" s="269" t="str">
        <f t="shared" si="106"/>
        <v> 0 </v>
      </c>
      <c r="P126" s="269" t="str">
        <f t="shared" si="106"/>
        <v> 0 </v>
      </c>
      <c r="Q126" s="269" t="str">
        <f t="shared" si="68"/>
        <v> 0 </v>
      </c>
    </row>
    <row r="127" ht="16.5" customHeight="1">
      <c r="B127" s="189" t="str">
        <f t="shared" si="100"/>
        <v>6.11</v>
      </c>
      <c r="C127" s="188" t="s">
        <v>610</v>
      </c>
      <c r="D127" s="143" t="s">
        <v>374</v>
      </c>
      <c r="E127" s="143">
        <v>83000.0</v>
      </c>
      <c r="F127" s="143">
        <v>83000.0</v>
      </c>
      <c r="G127" s="143">
        <v>83000.0</v>
      </c>
      <c r="H127" s="143">
        <v>83000.0</v>
      </c>
      <c r="I127" s="143">
        <v>83000.0</v>
      </c>
      <c r="J127" s="143">
        <v>83000.0</v>
      </c>
      <c r="K127" s="143">
        <v>83000.0</v>
      </c>
      <c r="L127" s="143">
        <v>83000.0</v>
      </c>
      <c r="M127" s="143">
        <v>83000.0</v>
      </c>
      <c r="N127" s="143">
        <v>83000.0</v>
      </c>
      <c r="O127" s="143">
        <v>83000.0</v>
      </c>
      <c r="P127" s="143">
        <v>83000.0</v>
      </c>
      <c r="Q127" s="145" t="str">
        <f t="shared" si="68"/>
        <v> 996,000 </v>
      </c>
    </row>
    <row r="128" ht="16.5" customHeight="1">
      <c r="B128" s="189" t="str">
        <f t="shared" si="100"/>
        <v>6.12</v>
      </c>
      <c r="C128" s="188" t="s">
        <v>613</v>
      </c>
      <c r="D128" s="143" t="s">
        <v>374</v>
      </c>
      <c r="E128" s="191">
        <v>5000.0</v>
      </c>
      <c r="F128" s="191">
        <v>5000.0</v>
      </c>
      <c r="G128" s="191">
        <v>5000.0</v>
      </c>
      <c r="H128" s="191">
        <v>5000.0</v>
      </c>
      <c r="I128" s="191">
        <v>5000.0</v>
      </c>
      <c r="J128" s="191">
        <v>5000.0</v>
      </c>
      <c r="K128" s="191">
        <v>5000.0</v>
      </c>
      <c r="L128" s="191">
        <v>5000.0</v>
      </c>
      <c r="M128" s="191">
        <v>5000.0</v>
      </c>
      <c r="N128" s="191">
        <v>5000.0</v>
      </c>
      <c r="O128" s="191">
        <v>5000.0</v>
      </c>
      <c r="P128" s="191">
        <v>5000.0</v>
      </c>
      <c r="Q128" s="145" t="str">
        <f t="shared" si="68"/>
        <v> 60,000 </v>
      </c>
    </row>
    <row r="129" ht="16.5" customHeight="1">
      <c r="B129" s="189" t="str">
        <f t="shared" si="100"/>
        <v>6.13</v>
      </c>
      <c r="C129" s="188" t="s">
        <v>615</v>
      </c>
      <c r="D129" s="143" t="s">
        <v>374</v>
      </c>
      <c r="E129" s="201" t="str">
        <f t="shared" ref="E129:P129" si="107">17000+25000</f>
        <v> 42,000 </v>
      </c>
      <c r="F129" s="201" t="str">
        <f t="shared" si="107"/>
        <v> 42,000 </v>
      </c>
      <c r="G129" s="201" t="str">
        <f t="shared" si="107"/>
        <v> 42,000 </v>
      </c>
      <c r="H129" s="201" t="str">
        <f t="shared" si="107"/>
        <v> 42,000 </v>
      </c>
      <c r="I129" s="201" t="str">
        <f t="shared" si="107"/>
        <v> 42,000 </v>
      </c>
      <c r="J129" s="201" t="str">
        <f t="shared" si="107"/>
        <v> 42,000 </v>
      </c>
      <c r="K129" s="201" t="str">
        <f t="shared" si="107"/>
        <v> 42,000 </v>
      </c>
      <c r="L129" s="201" t="str">
        <f t="shared" si="107"/>
        <v> 42,000 </v>
      </c>
      <c r="M129" s="201" t="str">
        <f t="shared" si="107"/>
        <v> 42,000 </v>
      </c>
      <c r="N129" s="201" t="str">
        <f t="shared" si="107"/>
        <v> 42,000 </v>
      </c>
      <c r="O129" s="201" t="str">
        <f t="shared" si="107"/>
        <v> 42,000 </v>
      </c>
      <c r="P129" s="201" t="str">
        <f t="shared" si="107"/>
        <v> 42,000 </v>
      </c>
      <c r="Q129" s="145" t="str">
        <f t="shared" si="68"/>
        <v> 504,000 </v>
      </c>
      <c r="AB129" s="158" t="s">
        <v>625</v>
      </c>
    </row>
    <row r="130" ht="16.5" customHeight="1">
      <c r="B130" s="189" t="str">
        <f t="shared" si="100"/>
        <v>6.14</v>
      </c>
      <c r="C130" s="188" t="s">
        <v>626</v>
      </c>
      <c r="D130" s="143" t="s">
        <v>374</v>
      </c>
      <c r="E130" s="191">
        <v>25000.0</v>
      </c>
      <c r="F130" s="191">
        <v>25000.0</v>
      </c>
      <c r="G130" s="191">
        <v>25000.0</v>
      </c>
      <c r="H130" s="191">
        <v>25000.0</v>
      </c>
      <c r="I130" s="191">
        <v>25000.0</v>
      </c>
      <c r="J130" s="191">
        <v>25000.0</v>
      </c>
      <c r="K130" s="191">
        <v>25000.0</v>
      </c>
      <c r="L130" s="191">
        <v>25000.0</v>
      </c>
      <c r="M130" s="191">
        <v>25000.0</v>
      </c>
      <c r="N130" s="191">
        <v>25000.0</v>
      </c>
      <c r="O130" s="191">
        <v>25000.0</v>
      </c>
      <c r="P130" s="191">
        <v>25000.0</v>
      </c>
      <c r="Q130" s="145" t="str">
        <f t="shared" si="68"/>
        <v> 300,000 </v>
      </c>
      <c r="AB130" s="158" t="s">
        <v>630</v>
      </c>
    </row>
    <row r="131" ht="16.5" customHeight="1">
      <c r="B131" s="189" t="str">
        <f t="shared" si="100"/>
        <v>6.15</v>
      </c>
      <c r="C131" s="188" t="s">
        <v>631</v>
      </c>
      <c r="D131" s="143" t="s">
        <v>374</v>
      </c>
      <c r="Q131" s="145" t="str">
        <f t="shared" si="68"/>
        <v> 0 </v>
      </c>
    </row>
    <row r="132" ht="16.5" customHeight="1">
      <c r="B132" s="189" t="str">
        <f t="shared" si="100"/>
        <v>6.16</v>
      </c>
      <c r="C132" s="188" t="s">
        <v>632</v>
      </c>
      <c r="D132" s="143" t="s">
        <v>374</v>
      </c>
      <c r="F132" s="143">
        <v>200000.0</v>
      </c>
      <c r="I132" s="143">
        <v>200000.0</v>
      </c>
      <c r="L132" s="143">
        <v>200000.0</v>
      </c>
      <c r="O132" s="143">
        <v>200000.0</v>
      </c>
      <c r="Q132" s="145" t="str">
        <f t="shared" si="68"/>
        <v> 800,000 </v>
      </c>
    </row>
    <row r="133" ht="16.5" customHeight="1">
      <c r="B133" s="189" t="str">
        <f>B130+0.01</f>
        <v>6.15</v>
      </c>
      <c r="C133" s="188" t="s">
        <v>639</v>
      </c>
      <c r="D133" s="143" t="s">
        <v>327</v>
      </c>
      <c r="E133" s="275" t="str">
        <f t="shared" ref="E133:P133" si="108">SUM(E117:E132)/10^6</f>
        <v>0.4 </v>
      </c>
      <c r="F133" s="275" t="str">
        <f t="shared" si="108"/>
        <v>0.6 </v>
      </c>
      <c r="G133" s="275" t="str">
        <f t="shared" si="108"/>
        <v>0.4 </v>
      </c>
      <c r="H133" s="275" t="str">
        <f t="shared" si="108"/>
        <v>0.4 </v>
      </c>
      <c r="I133" s="275" t="str">
        <f t="shared" si="108"/>
        <v>0.6 </v>
      </c>
      <c r="J133" s="275" t="str">
        <f t="shared" si="108"/>
        <v>0.4 </v>
      </c>
      <c r="K133" s="275" t="str">
        <f t="shared" si="108"/>
        <v>0.4 </v>
      </c>
      <c r="L133" s="275" t="str">
        <f t="shared" si="108"/>
        <v>0.6 </v>
      </c>
      <c r="M133" s="275" t="str">
        <f t="shared" si="108"/>
        <v>0.4 </v>
      </c>
      <c r="N133" s="275" t="str">
        <f t="shared" si="108"/>
        <v>0.4 </v>
      </c>
      <c r="O133" s="275" t="str">
        <f t="shared" si="108"/>
        <v>0.6 </v>
      </c>
      <c r="P133" s="275" t="str">
        <f t="shared" si="108"/>
        <v>0.4 </v>
      </c>
      <c r="Q133" s="145" t="str">
        <f t="shared" si="68"/>
        <v> 6 </v>
      </c>
    </row>
    <row r="134" ht="16.5" customHeight="1">
      <c r="Q134" s="145" t="str">
        <f t="shared" si="68"/>
        <v> 0 </v>
      </c>
    </row>
    <row r="135" ht="16.5" customHeight="1">
      <c r="B135" s="179" t="str">
        <f>B116+1</f>
        <v>7.00</v>
      </c>
      <c r="C135" s="158" t="s">
        <v>651</v>
      </c>
      <c r="Q135" s="145" t="str">
        <f t="shared" si="68"/>
        <v> 0 </v>
      </c>
    </row>
    <row r="136" ht="16.5" customHeight="1">
      <c r="B136" s="189" t="str">
        <f t="shared" ref="B136:B138" si="109">B135+0.01</f>
        <v>7.01</v>
      </c>
      <c r="C136" s="188" t="s">
        <v>654</v>
      </c>
      <c r="D136" s="143" t="s">
        <v>655</v>
      </c>
      <c r="E136" s="278">
        <v>4800.0</v>
      </c>
      <c r="F136" s="278">
        <v>4800.0</v>
      </c>
      <c r="G136" s="278">
        <v>4800.0</v>
      </c>
      <c r="H136" s="278">
        <v>4800.0</v>
      </c>
      <c r="I136" s="278">
        <v>4800.0</v>
      </c>
      <c r="J136" s="278">
        <v>4800.0</v>
      </c>
      <c r="K136" s="278">
        <v>4800.0</v>
      </c>
      <c r="L136" s="278">
        <v>4800.0</v>
      </c>
      <c r="M136" s="278">
        <v>4800.0</v>
      </c>
      <c r="N136" s="278">
        <v>4800.0</v>
      </c>
      <c r="O136" s="278">
        <v>4800.0</v>
      </c>
      <c r="P136" s="278">
        <v>4800.0</v>
      </c>
      <c r="Q136" s="145" t="str">
        <f t="shared" si="68"/>
        <v> 57,600 </v>
      </c>
    </row>
    <row r="137" ht="16.5" customHeight="1">
      <c r="B137" s="189" t="str">
        <f t="shared" si="109"/>
        <v>7.02</v>
      </c>
      <c r="C137" s="188" t="s">
        <v>364</v>
      </c>
      <c r="D137" s="143" t="s">
        <v>181</v>
      </c>
      <c r="E137" s="278">
        <v>22.0</v>
      </c>
      <c r="F137" s="278">
        <v>22.0</v>
      </c>
      <c r="G137" s="278">
        <v>22.0</v>
      </c>
      <c r="H137" s="278">
        <v>22.0</v>
      </c>
      <c r="I137" s="278">
        <v>22.0</v>
      </c>
      <c r="J137" s="278">
        <v>22.0</v>
      </c>
      <c r="K137" s="278">
        <v>22.0</v>
      </c>
      <c r="L137" s="278">
        <v>22.0</v>
      </c>
      <c r="M137" s="278">
        <v>22.0</v>
      </c>
      <c r="N137" s="278">
        <v>22.0</v>
      </c>
      <c r="O137" s="278">
        <v>22.0</v>
      </c>
      <c r="P137" s="278">
        <v>22.0</v>
      </c>
      <c r="Q137" s="145" t="str">
        <f t="shared" si="68"/>
        <v> 264 </v>
      </c>
    </row>
    <row r="138" ht="16.5" customHeight="1">
      <c r="B138" s="189" t="str">
        <f t="shared" si="109"/>
        <v>7.03</v>
      </c>
      <c r="C138" s="188" t="s">
        <v>663</v>
      </c>
      <c r="D138" s="143" t="s">
        <v>327</v>
      </c>
      <c r="E138" s="280" t="str">
        <f t="shared" ref="E138:P138" si="110">E136*E137/10^6</f>
        <v>0.1056</v>
      </c>
      <c r="F138" s="280" t="str">
        <f t="shared" si="110"/>
        <v>0.1056</v>
      </c>
      <c r="G138" s="280" t="str">
        <f t="shared" si="110"/>
        <v>0.1056</v>
      </c>
      <c r="H138" s="280" t="str">
        <f t="shared" si="110"/>
        <v>0.1056</v>
      </c>
      <c r="I138" s="280" t="str">
        <f t="shared" si="110"/>
        <v>0.1056</v>
      </c>
      <c r="J138" s="280" t="str">
        <f t="shared" si="110"/>
        <v>0.1056</v>
      </c>
      <c r="K138" s="280" t="str">
        <f t="shared" si="110"/>
        <v>0.1056</v>
      </c>
      <c r="L138" s="280" t="str">
        <f t="shared" si="110"/>
        <v>0.1056</v>
      </c>
      <c r="M138" s="280" t="str">
        <f t="shared" si="110"/>
        <v>0.1056</v>
      </c>
      <c r="N138" s="280" t="str">
        <f t="shared" si="110"/>
        <v>0.1056</v>
      </c>
      <c r="O138" s="280" t="str">
        <f t="shared" si="110"/>
        <v>0.1056</v>
      </c>
      <c r="P138" s="280" t="str">
        <f t="shared" si="110"/>
        <v>0.1056</v>
      </c>
      <c r="Q138" s="145" t="str">
        <f t="shared" si="68"/>
        <v> 1 </v>
      </c>
    </row>
    <row r="139" ht="16.5" customHeight="1">
      <c r="Q139" s="145" t="str">
        <f t="shared" si="68"/>
        <v> 0 </v>
      </c>
    </row>
    <row r="140" ht="16.5" customHeight="1">
      <c r="B140" s="179" t="str">
        <f>B135+1</f>
        <v>8.00</v>
      </c>
      <c r="C140" s="171" t="s">
        <v>667</v>
      </c>
      <c r="D140" s="151" t="s">
        <v>327</v>
      </c>
      <c r="E140" s="280" t="str">
        <f t="shared" ref="E140:P140" si="111">177699/10^6</f>
        <v>0.1777</v>
      </c>
      <c r="F140" s="280" t="str">
        <f t="shared" si="111"/>
        <v>0.1777</v>
      </c>
      <c r="G140" s="280" t="str">
        <f t="shared" si="111"/>
        <v>0.1777</v>
      </c>
      <c r="H140" s="280" t="str">
        <f t="shared" si="111"/>
        <v>0.1777</v>
      </c>
      <c r="I140" s="280" t="str">
        <f t="shared" si="111"/>
        <v>0.1777</v>
      </c>
      <c r="J140" s="280" t="str">
        <f t="shared" si="111"/>
        <v>0.1777</v>
      </c>
      <c r="K140" s="280" t="str">
        <f t="shared" si="111"/>
        <v>0.1777</v>
      </c>
      <c r="L140" s="280" t="str">
        <f t="shared" si="111"/>
        <v>0.1777</v>
      </c>
      <c r="M140" s="280" t="str">
        <f t="shared" si="111"/>
        <v>0.1777</v>
      </c>
      <c r="N140" s="280" t="str">
        <f t="shared" si="111"/>
        <v>0.1777</v>
      </c>
      <c r="O140" s="280" t="str">
        <f t="shared" si="111"/>
        <v>0.1777</v>
      </c>
      <c r="P140" s="280" t="str">
        <f t="shared" si="111"/>
        <v>0.1777</v>
      </c>
      <c r="Q140" s="145" t="str">
        <f t="shared" si="68"/>
        <v> 2 </v>
      </c>
    </row>
    <row r="141" ht="36.0" customHeight="1">
      <c r="C141" s="157"/>
      <c r="Q141" s="145" t="str">
        <f t="shared" si="68"/>
        <v> 0 </v>
      </c>
    </row>
    <row r="142" ht="16.5" customHeight="1">
      <c r="B142" s="179" t="str">
        <f>B140+1</f>
        <v>9.00</v>
      </c>
      <c r="C142" s="158" t="s">
        <v>673</v>
      </c>
      <c r="Q142" s="145" t="str">
        <f t="shared" si="68"/>
        <v> 0 </v>
      </c>
    </row>
    <row r="143" ht="16.5" customHeight="1">
      <c r="B143" s="189" t="str">
        <f t="shared" ref="B143:B149" si="115">B142+0.01</f>
        <v>9.01</v>
      </c>
      <c r="C143" s="188" t="s">
        <v>454</v>
      </c>
      <c r="D143" s="143" t="s">
        <v>674</v>
      </c>
      <c r="E143" s="282" t="str">
        <f t="shared" ref="E143:F143" si="112">40000</f>
        <v>40000</v>
      </c>
      <c r="F143" s="282" t="str">
        <f t="shared" si="112"/>
        <v>40000</v>
      </c>
      <c r="G143" s="282" t="str">
        <f t="shared" ref="G143:J143" si="113">40000+10200</f>
        <v>50200</v>
      </c>
      <c r="H143" s="282" t="str">
        <f t="shared" si="113"/>
        <v>50200</v>
      </c>
      <c r="I143" s="282" t="str">
        <f t="shared" si="113"/>
        <v>50200</v>
      </c>
      <c r="J143" s="282" t="str">
        <f t="shared" si="113"/>
        <v>50200</v>
      </c>
      <c r="K143" s="282" t="str">
        <f t="shared" ref="K143:P143" si="114">40000+10200+75000</f>
        <v>125200</v>
      </c>
      <c r="L143" s="282" t="str">
        <f t="shared" si="114"/>
        <v>125200</v>
      </c>
      <c r="M143" s="282" t="str">
        <f t="shared" si="114"/>
        <v>125200</v>
      </c>
      <c r="N143" s="282" t="str">
        <f t="shared" si="114"/>
        <v>125200</v>
      </c>
      <c r="O143" s="282" t="str">
        <f t="shared" si="114"/>
        <v>125200</v>
      </c>
      <c r="P143" s="282" t="str">
        <f t="shared" si="114"/>
        <v>125200</v>
      </c>
      <c r="Q143" s="145" t="str">
        <f t="shared" si="68"/>
        <v> 1,032,000 </v>
      </c>
    </row>
    <row r="144" ht="16.5" customHeight="1">
      <c r="B144" s="189" t="str">
        <f t="shared" si="115"/>
        <v>9.02</v>
      </c>
      <c r="C144" s="188" t="s">
        <v>464</v>
      </c>
      <c r="D144" s="143" t="s">
        <v>181</v>
      </c>
      <c r="E144" s="189" t="str">
        <f t="shared" ref="E144:P144" si="116">6.85+0.45</f>
        <v>7.30</v>
      </c>
      <c r="F144" s="189" t="str">
        <f t="shared" si="116"/>
        <v>7.30</v>
      </c>
      <c r="G144" s="189" t="str">
        <f t="shared" si="116"/>
        <v>7.30</v>
      </c>
      <c r="H144" s="189" t="str">
        <f t="shared" si="116"/>
        <v>7.30</v>
      </c>
      <c r="I144" s="189" t="str">
        <f t="shared" si="116"/>
        <v>7.30</v>
      </c>
      <c r="J144" s="189" t="str">
        <f t="shared" si="116"/>
        <v>7.30</v>
      </c>
      <c r="K144" s="189" t="str">
        <f t="shared" si="116"/>
        <v>7.30</v>
      </c>
      <c r="L144" s="189" t="str">
        <f t="shared" si="116"/>
        <v>7.30</v>
      </c>
      <c r="M144" s="189" t="str">
        <f t="shared" si="116"/>
        <v>7.30</v>
      </c>
      <c r="N144" s="189" t="str">
        <f t="shared" si="116"/>
        <v>7.30</v>
      </c>
      <c r="O144" s="189" t="str">
        <f t="shared" si="116"/>
        <v>7.30</v>
      </c>
      <c r="P144" s="189" t="str">
        <f t="shared" si="116"/>
        <v>7.30</v>
      </c>
      <c r="Q144" s="145" t="str">
        <f t="shared" si="68"/>
        <v> 88 </v>
      </c>
    </row>
    <row r="145" ht="16.5" customHeight="1">
      <c r="B145" s="189" t="str">
        <f t="shared" si="115"/>
        <v>9.03</v>
      </c>
      <c r="C145" s="188" t="s">
        <v>475</v>
      </c>
      <c r="D145" s="283" t="s">
        <v>675</v>
      </c>
      <c r="E145" s="189" t="str">
        <f t="shared" ref="E145:P145" si="117">E143*E144/10^6</f>
        <v>0.29</v>
      </c>
      <c r="F145" s="189" t="str">
        <f t="shared" si="117"/>
        <v>0.29</v>
      </c>
      <c r="G145" s="189" t="str">
        <f t="shared" si="117"/>
        <v>0.37</v>
      </c>
      <c r="H145" s="189" t="str">
        <f t="shared" si="117"/>
        <v>0.37</v>
      </c>
      <c r="I145" s="189" t="str">
        <f t="shared" si="117"/>
        <v>0.37</v>
      </c>
      <c r="J145" s="189" t="str">
        <f t="shared" si="117"/>
        <v>0.37</v>
      </c>
      <c r="K145" s="189" t="str">
        <f t="shared" si="117"/>
        <v>0.91</v>
      </c>
      <c r="L145" s="189" t="str">
        <f t="shared" si="117"/>
        <v>0.91</v>
      </c>
      <c r="M145" s="189" t="str">
        <f t="shared" si="117"/>
        <v>0.91</v>
      </c>
      <c r="N145" s="189" t="str">
        <f t="shared" si="117"/>
        <v>0.91</v>
      </c>
      <c r="O145" s="189" t="str">
        <f t="shared" si="117"/>
        <v>0.91</v>
      </c>
      <c r="P145" s="189" t="str">
        <f t="shared" si="117"/>
        <v>0.91</v>
      </c>
      <c r="Q145" s="145" t="str">
        <f t="shared" si="68"/>
        <v> 8 </v>
      </c>
    </row>
    <row r="146" ht="16.5" customHeight="1">
      <c r="B146" s="189" t="str">
        <f t="shared" si="115"/>
        <v>9.04</v>
      </c>
      <c r="C146" s="188" t="s">
        <v>676</v>
      </c>
      <c r="D146" s="143" t="s">
        <v>455</v>
      </c>
      <c r="E146" s="278">
        <v>3000.0</v>
      </c>
      <c r="F146" s="278">
        <v>3000.0</v>
      </c>
      <c r="G146" s="278">
        <v>3000.0</v>
      </c>
      <c r="H146" s="282" t="str">
        <f t="shared" ref="H146:P146" si="118">(H143/E143)*E146</f>
        <v>3765</v>
      </c>
      <c r="I146" s="282" t="str">
        <f t="shared" si="118"/>
        <v>3765</v>
      </c>
      <c r="J146" s="282" t="str">
        <f t="shared" si="118"/>
        <v>3000</v>
      </c>
      <c r="K146" s="282" t="str">
        <f t="shared" si="118"/>
        <v>9390</v>
      </c>
      <c r="L146" s="282" t="str">
        <f t="shared" si="118"/>
        <v>9390</v>
      </c>
      <c r="M146" s="282" t="str">
        <f t="shared" si="118"/>
        <v>7482</v>
      </c>
      <c r="N146" s="282" t="str">
        <f t="shared" si="118"/>
        <v>9390</v>
      </c>
      <c r="O146" s="282" t="str">
        <f t="shared" si="118"/>
        <v>9390</v>
      </c>
      <c r="P146" s="282" t="str">
        <f t="shared" si="118"/>
        <v>7482</v>
      </c>
      <c r="Q146" s="145" t="str">
        <f t="shared" si="68"/>
        <v> 72,054 </v>
      </c>
    </row>
    <row r="147" ht="16.5" customHeight="1">
      <c r="B147" s="189" t="str">
        <f t="shared" si="115"/>
        <v>9.05</v>
      </c>
      <c r="C147" s="188" t="s">
        <v>496</v>
      </c>
      <c r="D147" s="143" t="s">
        <v>181</v>
      </c>
      <c r="E147" s="284">
        <v>14.86</v>
      </c>
      <c r="F147" s="284">
        <v>14.86</v>
      </c>
      <c r="G147" s="284">
        <v>14.86</v>
      </c>
      <c r="H147" s="284">
        <v>14.86</v>
      </c>
      <c r="I147" s="284">
        <v>14.86</v>
      </c>
      <c r="J147" s="284">
        <v>14.86</v>
      </c>
      <c r="K147" s="284">
        <v>14.86</v>
      </c>
      <c r="L147" s="284">
        <v>14.86</v>
      </c>
      <c r="M147" s="284">
        <v>14.86</v>
      </c>
      <c r="N147" s="284">
        <v>14.86</v>
      </c>
      <c r="O147" s="284">
        <v>14.86</v>
      </c>
      <c r="P147" s="284">
        <v>14.86</v>
      </c>
      <c r="Q147" s="145" t="str">
        <f t="shared" si="68"/>
        <v> 178 </v>
      </c>
    </row>
    <row r="148" ht="16.5" customHeight="1">
      <c r="B148" s="189" t="str">
        <f t="shared" si="115"/>
        <v>9.06</v>
      </c>
      <c r="C148" s="188" t="s">
        <v>501</v>
      </c>
      <c r="D148" s="283" t="s">
        <v>675</v>
      </c>
      <c r="E148" s="189" t="str">
        <f t="shared" ref="E148:P148" si="119">E147*E146/10^6</f>
        <v>0.04</v>
      </c>
      <c r="F148" s="189" t="str">
        <f t="shared" si="119"/>
        <v>0.04</v>
      </c>
      <c r="G148" s="189" t="str">
        <f t="shared" si="119"/>
        <v>0.04</v>
      </c>
      <c r="H148" s="189" t="str">
        <f t="shared" si="119"/>
        <v>0.06</v>
      </c>
      <c r="I148" s="189" t="str">
        <f t="shared" si="119"/>
        <v>0.06</v>
      </c>
      <c r="J148" s="189" t="str">
        <f t="shared" si="119"/>
        <v>0.04</v>
      </c>
      <c r="K148" s="189" t="str">
        <f t="shared" si="119"/>
        <v>0.14</v>
      </c>
      <c r="L148" s="189" t="str">
        <f t="shared" si="119"/>
        <v>0.14</v>
      </c>
      <c r="M148" s="189" t="str">
        <f t="shared" si="119"/>
        <v>0.11</v>
      </c>
      <c r="N148" s="189" t="str">
        <f t="shared" si="119"/>
        <v>0.14</v>
      </c>
      <c r="O148" s="189" t="str">
        <f t="shared" si="119"/>
        <v>0.14</v>
      </c>
      <c r="P148" s="189" t="str">
        <f t="shared" si="119"/>
        <v>0.11</v>
      </c>
      <c r="Q148" s="145" t="str">
        <f t="shared" si="68"/>
        <v> 1 </v>
      </c>
    </row>
    <row r="149" ht="16.5" customHeight="1">
      <c r="B149" s="128" t="str">
        <f t="shared" si="115"/>
        <v> 9.07 </v>
      </c>
      <c r="C149" s="285" t="s">
        <v>508</v>
      </c>
      <c r="D149" s="286" t="s">
        <v>675</v>
      </c>
      <c r="E149" s="179" t="str">
        <f t="shared" ref="E149:P149" si="120">E145+E148</f>
        <v>0.34</v>
      </c>
      <c r="F149" s="179" t="str">
        <f t="shared" si="120"/>
        <v>0.34</v>
      </c>
      <c r="G149" s="179" t="str">
        <f t="shared" si="120"/>
        <v>0.41</v>
      </c>
      <c r="H149" s="179" t="str">
        <f t="shared" si="120"/>
        <v>0.42</v>
      </c>
      <c r="I149" s="179" t="str">
        <f t="shared" si="120"/>
        <v>0.42</v>
      </c>
      <c r="J149" s="179" t="str">
        <f t="shared" si="120"/>
        <v>0.41</v>
      </c>
      <c r="K149" s="179" t="str">
        <f t="shared" si="120"/>
        <v>1.05</v>
      </c>
      <c r="L149" s="179" t="str">
        <f t="shared" si="120"/>
        <v>1.05</v>
      </c>
      <c r="M149" s="179" t="str">
        <f t="shared" si="120"/>
        <v>1.03</v>
      </c>
      <c r="N149" s="179" t="str">
        <f t="shared" si="120"/>
        <v>1.05</v>
      </c>
      <c r="O149" s="179" t="str">
        <f t="shared" si="120"/>
        <v>1.05</v>
      </c>
      <c r="P149" s="179" t="str">
        <f t="shared" si="120"/>
        <v>1.03</v>
      </c>
      <c r="Q149" s="145" t="str">
        <f t="shared" si="68"/>
        <v> 9 </v>
      </c>
    </row>
    <row r="150" ht="16.5" customHeight="1">
      <c r="Q150" s="145" t="str">
        <f t="shared" si="68"/>
        <v> 0 </v>
      </c>
    </row>
    <row r="151" ht="16.5" customHeight="1">
      <c r="B151" s="179" t="str">
        <f>B142+1</f>
        <v>10.00</v>
      </c>
      <c r="C151" s="158" t="s">
        <v>677</v>
      </c>
      <c r="Q151" s="145" t="str">
        <f t="shared" si="68"/>
        <v> 0 </v>
      </c>
      <c r="AB151" s="158" t="s">
        <v>678</v>
      </c>
    </row>
    <row r="152" ht="16.5" customHeight="1">
      <c r="B152" s="189" t="str">
        <f t="shared" ref="B152:B162" si="121">B151+0.01</f>
        <v>10.01</v>
      </c>
      <c r="C152" s="188" t="s">
        <v>514</v>
      </c>
      <c r="Q152" s="145" t="str">
        <f t="shared" si="68"/>
        <v> 0 </v>
      </c>
    </row>
    <row r="153" ht="16.5" customHeight="1">
      <c r="B153" s="189" t="str">
        <f t="shared" si="121"/>
        <v>10.02</v>
      </c>
      <c r="C153" s="188" t="s">
        <v>522</v>
      </c>
      <c r="D153" s="143" t="s">
        <v>327</v>
      </c>
      <c r="E153" s="131" t="str">
        <f>1.05*((2418182/38)*14)/4/10^6</f>
        <v> 0.23 </v>
      </c>
      <c r="H153" s="131" t="str">
        <f>1.05*((2418182/38)*14)/4/10^6</f>
        <v> 0.23 </v>
      </c>
      <c r="K153" s="131" t="str">
        <f>1.05*((2418182/38)*14)/4/10^6</f>
        <v> 0.23 </v>
      </c>
      <c r="N153" s="131" t="str">
        <f>1.05*((2418182/38)*14)/4/10^6</f>
        <v> 0.23 </v>
      </c>
      <c r="Q153" s="145" t="str">
        <f t="shared" si="68"/>
        <v> 1 </v>
      </c>
      <c r="AB153" s="188" t="s">
        <v>678</v>
      </c>
    </row>
    <row r="154" ht="16.5" customHeight="1">
      <c r="B154" s="189" t="str">
        <f t="shared" si="121"/>
        <v>10.03</v>
      </c>
      <c r="C154" s="188" t="s">
        <v>527</v>
      </c>
      <c r="D154" s="143" t="s">
        <v>327</v>
      </c>
      <c r="E154" s="292" t="str">
        <f>1.05*(36000/4/10^6)</f>
        <v>0.0095</v>
      </c>
      <c r="H154" s="292" t="str">
        <f>1.05*(36000/4/10^6)</f>
        <v>0.0095</v>
      </c>
      <c r="K154" s="292" t="str">
        <f>1.05*(36000/4/10^6)</f>
        <v>0.0095</v>
      </c>
      <c r="N154" s="292" t="str">
        <f>K154*1.05</f>
        <v>0.0099</v>
      </c>
      <c r="Q154" s="145" t="str">
        <f t="shared" si="68"/>
        <v> 0 </v>
      </c>
      <c r="AB154" s="188" t="s">
        <v>678</v>
      </c>
    </row>
    <row r="155" ht="16.5" customHeight="1">
      <c r="B155" s="189" t="str">
        <f t="shared" si="121"/>
        <v>10.04</v>
      </c>
      <c r="C155" s="188" t="s">
        <v>681</v>
      </c>
      <c r="D155" s="143" t="s">
        <v>327</v>
      </c>
      <c r="E155" s="292" t="str">
        <f t="shared" ref="E155:P155" si="122">40000/10^6</f>
        <v>0.0400</v>
      </c>
      <c r="F155" s="292" t="str">
        <f t="shared" si="122"/>
        <v>0.0400</v>
      </c>
      <c r="G155" s="292" t="str">
        <f t="shared" si="122"/>
        <v>0.0400</v>
      </c>
      <c r="H155" s="292" t="str">
        <f t="shared" si="122"/>
        <v>0.0400</v>
      </c>
      <c r="I155" s="292" t="str">
        <f t="shared" si="122"/>
        <v>0.0400</v>
      </c>
      <c r="J155" s="292" t="str">
        <f t="shared" si="122"/>
        <v>0.0400</v>
      </c>
      <c r="K155" s="292" t="str">
        <f t="shared" si="122"/>
        <v>0.0400</v>
      </c>
      <c r="L155" s="292" t="str">
        <f t="shared" si="122"/>
        <v>0.0400</v>
      </c>
      <c r="M155" s="292" t="str">
        <f t="shared" si="122"/>
        <v>0.0400</v>
      </c>
      <c r="N155" s="292" t="str">
        <f t="shared" si="122"/>
        <v>0.0400</v>
      </c>
      <c r="O155" s="292" t="str">
        <f t="shared" si="122"/>
        <v>0.0400</v>
      </c>
      <c r="P155" s="292" t="str">
        <f t="shared" si="122"/>
        <v>0.0400</v>
      </c>
      <c r="Q155" s="145" t="str">
        <f t="shared" si="68"/>
        <v> 0 </v>
      </c>
    </row>
    <row r="156" ht="48.75" customHeight="1">
      <c r="B156" s="189" t="str">
        <f t="shared" si="121"/>
        <v>10.05</v>
      </c>
      <c r="C156" s="167" t="s">
        <v>682</v>
      </c>
      <c r="D156" s="143" t="s">
        <v>327</v>
      </c>
      <c r="E156" s="292" t="str">
        <f t="shared" ref="E156:P156" si="123">35000/10^6</f>
        <v>0.0350</v>
      </c>
      <c r="F156" s="292" t="str">
        <f t="shared" si="123"/>
        <v>0.0350</v>
      </c>
      <c r="G156" s="292" t="str">
        <f t="shared" si="123"/>
        <v>0.0350</v>
      </c>
      <c r="H156" s="292" t="str">
        <f t="shared" si="123"/>
        <v>0.0350</v>
      </c>
      <c r="I156" s="292" t="str">
        <f t="shared" si="123"/>
        <v>0.0350</v>
      </c>
      <c r="J156" s="292" t="str">
        <f t="shared" si="123"/>
        <v>0.0350</v>
      </c>
      <c r="K156" s="292" t="str">
        <f t="shared" si="123"/>
        <v>0.0350</v>
      </c>
      <c r="L156" s="292" t="str">
        <f t="shared" si="123"/>
        <v>0.0350</v>
      </c>
      <c r="M156" s="292" t="str">
        <f t="shared" si="123"/>
        <v>0.0350</v>
      </c>
      <c r="N156" s="292" t="str">
        <f t="shared" si="123"/>
        <v>0.0350</v>
      </c>
      <c r="O156" s="292" t="str">
        <f t="shared" si="123"/>
        <v>0.0350</v>
      </c>
      <c r="P156" s="292" t="str">
        <f t="shared" si="123"/>
        <v>0.0350</v>
      </c>
      <c r="Q156" s="145" t="str">
        <f t="shared" si="68"/>
        <v> 0 </v>
      </c>
    </row>
    <row r="157" ht="16.5" customHeight="1">
      <c r="B157" s="189" t="str">
        <f t="shared" si="121"/>
        <v>10.06</v>
      </c>
      <c r="C157" s="188" t="s">
        <v>683</v>
      </c>
      <c r="D157" s="143" t="s">
        <v>327</v>
      </c>
      <c r="G157" s="292" t="str">
        <f>100000/4/10^6</f>
        <v>0.0250</v>
      </c>
      <c r="J157" s="292" t="str">
        <f>100000/4/10^6</f>
        <v>0.0250</v>
      </c>
      <c r="M157" s="292" t="str">
        <f>100000/4/10^6</f>
        <v>0.0250</v>
      </c>
      <c r="P157" s="292" t="str">
        <f>100000/4/10^6</f>
        <v>0.0250</v>
      </c>
      <c r="Q157" s="145" t="str">
        <f t="shared" si="68"/>
        <v> 0 </v>
      </c>
    </row>
    <row r="158" ht="16.5" customHeight="1">
      <c r="B158" s="189" t="str">
        <f t="shared" si="121"/>
        <v>10.07</v>
      </c>
      <c r="C158" s="188" t="s">
        <v>684</v>
      </c>
      <c r="D158" s="143" t="s">
        <v>327</v>
      </c>
      <c r="E158" s="292" t="str">
        <f t="shared" ref="E158:P158" si="124">3750/10^6</f>
        <v>0.0038</v>
      </c>
      <c r="F158" s="292" t="str">
        <f t="shared" si="124"/>
        <v>0.0038</v>
      </c>
      <c r="G158" s="292" t="str">
        <f t="shared" si="124"/>
        <v>0.0038</v>
      </c>
      <c r="H158" s="292" t="str">
        <f t="shared" si="124"/>
        <v>0.0038</v>
      </c>
      <c r="I158" s="292" t="str">
        <f t="shared" si="124"/>
        <v>0.0038</v>
      </c>
      <c r="J158" s="292" t="str">
        <f t="shared" si="124"/>
        <v>0.0038</v>
      </c>
      <c r="K158" s="292" t="str">
        <f t="shared" si="124"/>
        <v>0.0038</v>
      </c>
      <c r="L158" s="292" t="str">
        <f t="shared" si="124"/>
        <v>0.0038</v>
      </c>
      <c r="M158" s="292" t="str">
        <f t="shared" si="124"/>
        <v>0.0038</v>
      </c>
      <c r="N158" s="292" t="str">
        <f t="shared" si="124"/>
        <v>0.0038</v>
      </c>
      <c r="O158" s="292" t="str">
        <f t="shared" si="124"/>
        <v>0.0038</v>
      </c>
      <c r="P158" s="292" t="str">
        <f t="shared" si="124"/>
        <v>0.0038</v>
      </c>
      <c r="Q158" s="145" t="str">
        <f t="shared" si="68"/>
        <v> 0 </v>
      </c>
      <c r="AB158" s="188" t="s">
        <v>678</v>
      </c>
    </row>
    <row r="159" ht="16.5" customHeight="1">
      <c r="B159" s="189" t="str">
        <f t="shared" si="121"/>
        <v>10.08</v>
      </c>
      <c r="C159" s="188" t="s">
        <v>686</v>
      </c>
      <c r="D159" s="143" t="s">
        <v>327</v>
      </c>
      <c r="E159" s="292" t="str">
        <f t="shared" ref="E159:P159" si="125">15848.25/10^6</f>
        <v>0.0158</v>
      </c>
      <c r="F159" s="292" t="str">
        <f t="shared" si="125"/>
        <v>0.0158</v>
      </c>
      <c r="G159" s="292" t="str">
        <f t="shared" si="125"/>
        <v>0.0158</v>
      </c>
      <c r="H159" s="292" t="str">
        <f t="shared" si="125"/>
        <v>0.0158</v>
      </c>
      <c r="I159" s="292" t="str">
        <f t="shared" si="125"/>
        <v>0.0158</v>
      </c>
      <c r="J159" s="292" t="str">
        <f t="shared" si="125"/>
        <v>0.0158</v>
      </c>
      <c r="K159" s="292" t="str">
        <f t="shared" si="125"/>
        <v>0.0158</v>
      </c>
      <c r="L159" s="292" t="str">
        <f t="shared" si="125"/>
        <v>0.0158</v>
      </c>
      <c r="M159" s="292" t="str">
        <f t="shared" si="125"/>
        <v>0.0158</v>
      </c>
      <c r="N159" s="292" t="str">
        <f t="shared" si="125"/>
        <v>0.0158</v>
      </c>
      <c r="O159" s="292" t="str">
        <f t="shared" si="125"/>
        <v>0.0158</v>
      </c>
      <c r="P159" s="292" t="str">
        <f t="shared" si="125"/>
        <v>0.0158</v>
      </c>
      <c r="Q159" s="145" t="str">
        <f t="shared" si="68"/>
        <v> 0 </v>
      </c>
    </row>
    <row r="160" ht="16.5" customHeight="1">
      <c r="B160" s="189" t="str">
        <f t="shared" si="121"/>
        <v>10.09</v>
      </c>
      <c r="C160" s="188" t="s">
        <v>572</v>
      </c>
      <c r="D160" s="143" t="s">
        <v>327</v>
      </c>
      <c r="E160" s="292" t="str">
        <f t="shared" ref="E160:P160" si="126">SUM(E153:E159)</f>
        <v>0.3379</v>
      </c>
      <c r="F160" s="292" t="str">
        <f t="shared" si="126"/>
        <v>0.0946</v>
      </c>
      <c r="G160" s="292" t="str">
        <f t="shared" si="126"/>
        <v>0.1196</v>
      </c>
      <c r="H160" s="292" t="str">
        <f t="shared" si="126"/>
        <v>0.3379</v>
      </c>
      <c r="I160" s="292" t="str">
        <f t="shared" si="126"/>
        <v>0.0946</v>
      </c>
      <c r="J160" s="292" t="str">
        <f t="shared" si="126"/>
        <v>0.1196</v>
      </c>
      <c r="K160" s="292" t="str">
        <f t="shared" si="126"/>
        <v>0.3379</v>
      </c>
      <c r="L160" s="292" t="str">
        <f t="shared" si="126"/>
        <v>0.0946</v>
      </c>
      <c r="M160" s="292" t="str">
        <f t="shared" si="126"/>
        <v>0.1196</v>
      </c>
      <c r="N160" s="292" t="str">
        <f t="shared" si="126"/>
        <v>0.3384</v>
      </c>
      <c r="O160" s="292" t="str">
        <f t="shared" si="126"/>
        <v>0.0946</v>
      </c>
      <c r="P160" s="292" t="str">
        <f t="shared" si="126"/>
        <v>0.1196</v>
      </c>
      <c r="Q160" s="145" t="str">
        <f t="shared" si="68"/>
        <v> 2 </v>
      </c>
    </row>
    <row r="161" ht="16.5" customHeight="1">
      <c r="B161" s="189" t="str">
        <f t="shared" si="121"/>
        <v>10.10</v>
      </c>
      <c r="C161" s="188" t="s">
        <v>688</v>
      </c>
      <c r="D161" s="143" t="s">
        <v>327</v>
      </c>
      <c r="E161" s="292" t="str">
        <f t="shared" ref="E161:P161" si="127">10000/10^6</f>
        <v>0.0100</v>
      </c>
      <c r="F161" s="292" t="str">
        <f t="shared" si="127"/>
        <v>0.0100</v>
      </c>
      <c r="G161" s="292" t="str">
        <f t="shared" si="127"/>
        <v>0.0100</v>
      </c>
      <c r="H161" s="292" t="str">
        <f t="shared" si="127"/>
        <v>0.0100</v>
      </c>
      <c r="I161" s="292" t="str">
        <f t="shared" si="127"/>
        <v>0.0100</v>
      </c>
      <c r="J161" s="292" t="str">
        <f t="shared" si="127"/>
        <v>0.0100</v>
      </c>
      <c r="K161" s="292" t="str">
        <f t="shared" si="127"/>
        <v>0.0100</v>
      </c>
      <c r="L161" s="292" t="str">
        <f t="shared" si="127"/>
        <v>0.0100</v>
      </c>
      <c r="M161" s="292" t="str">
        <f t="shared" si="127"/>
        <v>0.0100</v>
      </c>
      <c r="N161" s="292" t="str">
        <f t="shared" si="127"/>
        <v>0.0100</v>
      </c>
      <c r="O161" s="292" t="str">
        <f t="shared" si="127"/>
        <v>0.0100</v>
      </c>
      <c r="P161" s="292" t="str">
        <f t="shared" si="127"/>
        <v>0.0100</v>
      </c>
      <c r="Q161" s="145" t="str">
        <f t="shared" si="68"/>
        <v> 0 </v>
      </c>
    </row>
    <row r="162" ht="16.5" customHeight="1">
      <c r="B162" s="179" t="str">
        <f t="shared" si="121"/>
        <v>10.11</v>
      </c>
      <c r="C162" s="158" t="s">
        <v>575</v>
      </c>
      <c r="D162" s="151" t="s">
        <v>327</v>
      </c>
      <c r="E162" s="280" t="str">
        <f t="shared" ref="E162:P162" si="128">E160+E161</f>
        <v>0.3479</v>
      </c>
      <c r="F162" s="280" t="str">
        <f t="shared" si="128"/>
        <v>0.1046</v>
      </c>
      <c r="G162" s="280" t="str">
        <f t="shared" si="128"/>
        <v>0.1296</v>
      </c>
      <c r="H162" s="280" t="str">
        <f t="shared" si="128"/>
        <v>0.3479</v>
      </c>
      <c r="I162" s="280" t="str">
        <f t="shared" si="128"/>
        <v>0.1046</v>
      </c>
      <c r="J162" s="280" t="str">
        <f t="shared" si="128"/>
        <v>0.1296</v>
      </c>
      <c r="K162" s="280" t="str">
        <f t="shared" si="128"/>
        <v>0.3479</v>
      </c>
      <c r="L162" s="280" t="str">
        <f t="shared" si="128"/>
        <v>0.1046</v>
      </c>
      <c r="M162" s="280" t="str">
        <f t="shared" si="128"/>
        <v>0.1296</v>
      </c>
      <c r="N162" s="280" t="str">
        <f t="shared" si="128"/>
        <v>0.3484</v>
      </c>
      <c r="O162" s="280" t="str">
        <f t="shared" si="128"/>
        <v>0.1046</v>
      </c>
      <c r="P162" s="280" t="str">
        <f t="shared" si="128"/>
        <v>0.1296</v>
      </c>
      <c r="Q162" s="145" t="str">
        <f t="shared" si="68"/>
        <v> 2 </v>
      </c>
    </row>
    <row r="163" ht="16.5" customHeight="1">
      <c r="Q163" s="145" t="str">
        <f t="shared" si="68"/>
        <v> 0 </v>
      </c>
    </row>
    <row r="164" ht="16.5" customHeight="1">
      <c r="C164" s="158" t="s">
        <v>691</v>
      </c>
      <c r="Q164" s="145" t="str">
        <f t="shared" si="68"/>
        <v> 0 </v>
      </c>
    </row>
    <row r="165" ht="16.5" customHeight="1">
      <c r="B165" s="275" t="str">
        <f>B151+1</f>
        <v>11.0 </v>
      </c>
      <c r="C165" s="232" t="s">
        <v>692</v>
      </c>
      <c r="D165" s="233" t="s">
        <v>327</v>
      </c>
      <c r="E165" s="189" t="str">
        <f t="shared" ref="E165:P165" si="129">3000/10^6</f>
        <v>0.00</v>
      </c>
      <c r="F165" s="189" t="str">
        <f t="shared" si="129"/>
        <v>0.00</v>
      </c>
      <c r="G165" s="189" t="str">
        <f t="shared" si="129"/>
        <v>0.00</v>
      </c>
      <c r="H165" s="189" t="str">
        <f t="shared" si="129"/>
        <v>0.00</v>
      </c>
      <c r="I165" s="189" t="str">
        <f t="shared" si="129"/>
        <v>0.00</v>
      </c>
      <c r="J165" s="189" t="str">
        <f t="shared" si="129"/>
        <v>0.00</v>
      </c>
      <c r="K165" s="189" t="str">
        <f t="shared" si="129"/>
        <v>0.00</v>
      </c>
      <c r="L165" s="189" t="str">
        <f t="shared" si="129"/>
        <v>0.00</v>
      </c>
      <c r="M165" s="189" t="str">
        <f t="shared" si="129"/>
        <v>0.00</v>
      </c>
      <c r="N165" s="189" t="str">
        <f t="shared" si="129"/>
        <v>0.00</v>
      </c>
      <c r="O165" s="189" t="str">
        <f t="shared" si="129"/>
        <v>0.00</v>
      </c>
      <c r="P165" s="189" t="str">
        <f t="shared" si="129"/>
        <v>0.00</v>
      </c>
      <c r="Q165" s="145" t="str">
        <f t="shared" si="68"/>
        <v> 0 </v>
      </c>
    </row>
  </sheetData>
  <hyperlinks>
    <hyperlink r:id="rId2" ref="D145"/>
    <hyperlink r:id="rId3" ref="D148"/>
    <hyperlink r:id="rId4" ref="D149"/>
  </hyperlinks>
  <drawing r:id="rId5"/>
  <legacy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9.29"/>
    <col customWidth="1" min="2" max="2" width="34.14"/>
    <col customWidth="1" min="3" max="15" width="9.29"/>
  </cols>
  <sheetData>
    <row r="3">
      <c r="B3" s="59" t="s">
        <v>987</v>
      </c>
    </row>
    <row r="5">
      <c r="C5" s="51" t="s">
        <v>988</v>
      </c>
      <c r="D5" s="404">
        <v>40634.0</v>
      </c>
      <c r="E5" s="404">
        <v>40664.0</v>
      </c>
      <c r="F5" s="404">
        <v>40695.0</v>
      </c>
      <c r="G5" s="404">
        <v>40725.0</v>
      </c>
      <c r="H5" s="404">
        <v>40756.0</v>
      </c>
      <c r="I5" s="404">
        <v>40787.0</v>
      </c>
      <c r="J5" s="404">
        <v>40817.0</v>
      </c>
      <c r="K5" s="404">
        <v>40848.0</v>
      </c>
      <c r="L5" s="404">
        <v>40878.0</v>
      </c>
      <c r="M5" s="404">
        <v>40909.0</v>
      </c>
      <c r="N5" s="404">
        <v>40940.0</v>
      </c>
      <c r="O5" s="404">
        <v>40969.0</v>
      </c>
    </row>
    <row r="6">
      <c r="B6" s="59" t="s">
        <v>991</v>
      </c>
    </row>
    <row r="8">
      <c r="B8" s="57" t="s">
        <v>992</v>
      </c>
      <c r="C8" s="51" t="s">
        <v>993</v>
      </c>
      <c r="D8" s="406">
        <v>1.0</v>
      </c>
      <c r="F8" s="406">
        <v>1.0</v>
      </c>
      <c r="I8" s="406">
        <v>1.0</v>
      </c>
      <c r="J8" s="406">
        <v>2.0</v>
      </c>
    </row>
    <row r="9">
      <c r="B9" s="57" t="s">
        <v>996</v>
      </c>
      <c r="C9" s="51" t="s">
        <v>993</v>
      </c>
      <c r="D9" s="406">
        <v>2.0</v>
      </c>
      <c r="F9" s="406">
        <v>2.0</v>
      </c>
      <c r="I9" s="406">
        <v>2.0</v>
      </c>
      <c r="J9" s="406">
        <v>2.0</v>
      </c>
    </row>
    <row r="10">
      <c r="B10" s="57" t="s">
        <v>997</v>
      </c>
      <c r="C10" s="51" t="s">
        <v>181</v>
      </c>
      <c r="D10" s="406">
        <v>35000.0</v>
      </c>
      <c r="F10" s="406">
        <v>35000.0</v>
      </c>
      <c r="I10" s="406">
        <v>30000.0</v>
      </c>
      <c r="J10" s="406">
        <v>30000.0</v>
      </c>
    </row>
    <row r="11">
      <c r="B11" s="57" t="s">
        <v>998</v>
      </c>
      <c r="C11" s="51" t="s">
        <v>181</v>
      </c>
      <c r="D11" s="406">
        <v>25000.0</v>
      </c>
      <c r="F11" s="406">
        <v>25000.0</v>
      </c>
      <c r="I11" s="406">
        <v>15000.0</v>
      </c>
      <c r="J11" s="406">
        <v>15000.0</v>
      </c>
    </row>
    <row r="12">
      <c r="B12" s="59" t="s">
        <v>999</v>
      </c>
      <c r="C12" s="51" t="s">
        <v>181</v>
      </c>
      <c r="D12" s="407" t="str">
        <f t="shared" ref="D12:L12" si="1">(D8*D10)+(D8*D9*D11)</f>
        <v> 85,000 </v>
      </c>
      <c r="E12" s="407" t="str">
        <f t="shared" si="1"/>
        <v> 0 </v>
      </c>
      <c r="F12" s="407" t="str">
        <f t="shared" si="1"/>
        <v> 85,000 </v>
      </c>
      <c r="G12" s="407" t="str">
        <f t="shared" si="1"/>
        <v> 0 </v>
      </c>
      <c r="H12" s="407" t="str">
        <f t="shared" si="1"/>
        <v> 0 </v>
      </c>
      <c r="I12" s="407" t="str">
        <f t="shared" si="1"/>
        <v> 60,000 </v>
      </c>
      <c r="J12" s="407" t="str">
        <f t="shared" si="1"/>
        <v> 120,000 </v>
      </c>
      <c r="K12" s="407" t="str">
        <f t="shared" si="1"/>
        <v> 0 </v>
      </c>
      <c r="L12" s="407" t="str">
        <f t="shared" si="1"/>
        <v> 0 </v>
      </c>
      <c r="M12" s="411">
        <v>0.0</v>
      </c>
      <c r="N12" s="407" t="str">
        <f t="shared" ref="N12:O12" si="2">(N8*N10)+(N8*N9*N11)</f>
        <v> 0 </v>
      </c>
      <c r="O12" s="407" t="str">
        <f t="shared" si="2"/>
        <v> 0 </v>
      </c>
    </row>
    <row r="14">
      <c r="B14" s="412" t="s">
        <v>1010</v>
      </c>
    </row>
    <row r="15">
      <c r="B15" s="57" t="s">
        <v>1012</v>
      </c>
      <c r="C15" s="413" t="s">
        <v>1013</v>
      </c>
      <c r="D15" s="406">
        <v>1.0</v>
      </c>
      <c r="E15" s="406">
        <v>1.0</v>
      </c>
      <c r="F15" s="406">
        <v>1.0</v>
      </c>
      <c r="G15" s="406">
        <v>1.0</v>
      </c>
      <c r="H15" s="406">
        <v>1.0</v>
      </c>
      <c r="I15" s="406">
        <v>1.0</v>
      </c>
      <c r="J15" s="406">
        <v>1.0</v>
      </c>
      <c r="K15" s="406">
        <v>1.0</v>
      </c>
      <c r="L15" s="406">
        <v>1.0</v>
      </c>
      <c r="M15" s="406">
        <v>1.0</v>
      </c>
      <c r="N15" s="406">
        <v>1.0</v>
      </c>
      <c r="O15" s="406">
        <v>1.0</v>
      </c>
    </row>
    <row r="17">
      <c r="B17" s="416" t="s">
        <v>1016</v>
      </c>
      <c r="C17" s="413" t="s">
        <v>1013</v>
      </c>
      <c r="D17" s="406">
        <v>1.0</v>
      </c>
      <c r="F17" s="406">
        <v>2.0</v>
      </c>
      <c r="H17" s="406">
        <v>2.0</v>
      </c>
      <c r="J17" s="406">
        <v>4.0</v>
      </c>
      <c r="K17" s="406">
        <v>2.0</v>
      </c>
      <c r="L17" s="406">
        <v>4.0</v>
      </c>
      <c r="M17" s="406">
        <v>3.0</v>
      </c>
      <c r="N17" s="406">
        <v>3.0</v>
      </c>
      <c r="O17" s="406">
        <v>2.0</v>
      </c>
    </row>
    <row r="19">
      <c r="B19" s="416" t="s">
        <v>1024</v>
      </c>
      <c r="C19" s="413" t="s">
        <v>1013</v>
      </c>
      <c r="J19" s="406">
        <v>4.0</v>
      </c>
      <c r="K19" s="406">
        <v>4.0</v>
      </c>
      <c r="L19" s="406">
        <v>2.0</v>
      </c>
      <c r="M19" s="406">
        <v>4.0</v>
      </c>
      <c r="N19" s="406">
        <v>4.0</v>
      </c>
      <c r="O19" s="406">
        <v>4.0</v>
      </c>
    </row>
    <row r="21">
      <c r="B21" s="416" t="s">
        <v>1025</v>
      </c>
      <c r="C21" s="413" t="s">
        <v>1013</v>
      </c>
      <c r="D21" s="406">
        <v>2.0</v>
      </c>
      <c r="F21" s="406">
        <v>2.0</v>
      </c>
      <c r="H21" s="406">
        <v>2.0</v>
      </c>
    </row>
    <row r="23">
      <c r="B23" s="416" t="s">
        <v>1027</v>
      </c>
      <c r="C23" s="413" t="s">
        <v>1013</v>
      </c>
      <c r="J23" s="406">
        <v>15.0</v>
      </c>
      <c r="K23" s="406">
        <v>15.0</v>
      </c>
      <c r="L23" s="406">
        <v>15.0</v>
      </c>
      <c r="M23" s="406">
        <v>15.0</v>
      </c>
      <c r="N23" s="406">
        <v>15.0</v>
      </c>
      <c r="O23" s="406">
        <v>15.0</v>
      </c>
    </row>
    <row r="25">
      <c r="B25" s="57" t="s">
        <v>1030</v>
      </c>
      <c r="C25" s="413" t="s">
        <v>181</v>
      </c>
      <c r="D25" s="406">
        <v>9000.0</v>
      </c>
      <c r="E25" s="406">
        <v>9000.0</v>
      </c>
      <c r="F25" s="406">
        <v>9000.0</v>
      </c>
      <c r="G25" s="406">
        <v>9000.0</v>
      </c>
      <c r="H25" s="406">
        <v>9000.0</v>
      </c>
      <c r="I25" s="406">
        <v>9000.0</v>
      </c>
      <c r="J25" s="406">
        <v>9000.0</v>
      </c>
      <c r="K25" s="406">
        <v>9000.0</v>
      </c>
      <c r="L25" s="406">
        <v>9000.0</v>
      </c>
      <c r="M25" s="406">
        <v>9000.0</v>
      </c>
      <c r="N25" s="406">
        <v>9000.0</v>
      </c>
      <c r="O25" s="406">
        <v>9000.0</v>
      </c>
    </row>
    <row r="26">
      <c r="B26" s="57" t="s">
        <v>1031</v>
      </c>
      <c r="C26" s="413" t="s">
        <v>181</v>
      </c>
      <c r="D26" s="406">
        <v>4000.0</v>
      </c>
      <c r="E26" s="406">
        <v>4000.0</v>
      </c>
      <c r="F26" s="406">
        <v>4000.0</v>
      </c>
      <c r="G26" s="406">
        <v>4000.0</v>
      </c>
      <c r="H26" s="406">
        <v>4000.0</v>
      </c>
      <c r="I26" s="406">
        <v>4000.0</v>
      </c>
      <c r="J26" s="406">
        <v>4000.0</v>
      </c>
      <c r="K26" s="406">
        <v>4000.0</v>
      </c>
      <c r="L26" s="406">
        <v>4000.0</v>
      </c>
      <c r="M26" s="406">
        <v>4000.0</v>
      </c>
      <c r="N26" s="406">
        <v>4000.0</v>
      </c>
      <c r="O26" s="406">
        <v>4000.0</v>
      </c>
    </row>
    <row r="28">
      <c r="B28" s="57" t="s">
        <v>1034</v>
      </c>
      <c r="C28" s="413" t="s">
        <v>181</v>
      </c>
      <c r="D28" s="406">
        <v>4000.0</v>
      </c>
      <c r="E28" s="406">
        <v>4000.0</v>
      </c>
      <c r="F28" s="406">
        <v>4000.0</v>
      </c>
      <c r="G28" s="406">
        <v>4000.0</v>
      </c>
      <c r="H28" s="406">
        <v>4000.0</v>
      </c>
      <c r="I28" s="406">
        <v>4000.0</v>
      </c>
      <c r="J28" s="406">
        <v>4000.0</v>
      </c>
      <c r="K28" s="406">
        <v>4000.0</v>
      </c>
      <c r="L28" s="406">
        <v>4000.0</v>
      </c>
      <c r="M28" s="406">
        <v>4000.0</v>
      </c>
      <c r="N28" s="406">
        <v>4000.0</v>
      </c>
      <c r="O28" s="406">
        <v>4000.0</v>
      </c>
    </row>
    <row r="30">
      <c r="B30" s="59" t="s">
        <v>1036</v>
      </c>
      <c r="C30" s="51" t="s">
        <v>181</v>
      </c>
      <c r="D30" s="407" t="str">
        <f t="shared" ref="D30:O30" si="3">(D15*D17*D25)+(D15*D19*D26)+(D15*D17*D21*D28)+(D15*D19*D23*D28)</f>
        <v> 17,000 </v>
      </c>
      <c r="E30" s="407" t="str">
        <f t="shared" si="3"/>
        <v> 0 </v>
      </c>
      <c r="F30" s="407" t="str">
        <f t="shared" si="3"/>
        <v> 34,000 </v>
      </c>
      <c r="G30" s="407" t="str">
        <f t="shared" si="3"/>
        <v> 0 </v>
      </c>
      <c r="H30" s="407" t="str">
        <f t="shared" si="3"/>
        <v> 34,000 </v>
      </c>
      <c r="I30" s="407" t="str">
        <f t="shared" si="3"/>
        <v> 0 </v>
      </c>
      <c r="J30" s="407" t="str">
        <f t="shared" si="3"/>
        <v> 292,000 </v>
      </c>
      <c r="K30" s="407" t="str">
        <f t="shared" si="3"/>
        <v> 274,000 </v>
      </c>
      <c r="L30" s="407" t="str">
        <f t="shared" si="3"/>
        <v> 164,000 </v>
      </c>
      <c r="M30" s="407" t="str">
        <f t="shared" si="3"/>
        <v> 283,000 </v>
      </c>
      <c r="N30" s="407" t="str">
        <f t="shared" si="3"/>
        <v> 283,000 </v>
      </c>
      <c r="O30" s="407" t="str">
        <f t="shared" si="3"/>
        <v> 274,000 </v>
      </c>
    </row>
    <row r="32">
      <c r="B32" s="59" t="s">
        <v>1052</v>
      </c>
      <c r="C32" s="51" t="s">
        <v>181</v>
      </c>
      <c r="D32" s="421" t="str">
        <f t="shared" ref="D32:O32" si="4">D30+D12</f>
        <v> 102,000 </v>
      </c>
      <c r="E32" s="421" t="str">
        <f t="shared" si="4"/>
        <v> 0 </v>
      </c>
      <c r="F32" s="421" t="str">
        <f t="shared" si="4"/>
        <v> 119,000 </v>
      </c>
      <c r="G32" s="421" t="str">
        <f t="shared" si="4"/>
        <v> 0 </v>
      </c>
      <c r="H32" s="421" t="str">
        <f t="shared" si="4"/>
        <v> 34,000 </v>
      </c>
      <c r="I32" s="421" t="str">
        <f t="shared" si="4"/>
        <v> 60,000 </v>
      </c>
      <c r="J32" s="421" t="str">
        <f t="shared" si="4"/>
        <v> 412,000 </v>
      </c>
      <c r="K32" s="421" t="str">
        <f t="shared" si="4"/>
        <v> 274,000 </v>
      </c>
      <c r="L32" s="421" t="str">
        <f t="shared" si="4"/>
        <v> 164,000 </v>
      </c>
      <c r="M32" s="421" t="str">
        <f t="shared" si="4"/>
        <v> 283,000 </v>
      </c>
      <c r="N32" s="421" t="str">
        <f t="shared" si="4"/>
        <v> 283,000 </v>
      </c>
      <c r="O32" s="421" t="str">
        <f t="shared" si="4"/>
        <v> 274,000 </v>
      </c>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14"/>
    <col customWidth="1" min="2" max="3" width="9.29"/>
    <col customWidth="1" min="4" max="4" width="36.14"/>
    <col customWidth="1" min="5" max="5" width="53.14"/>
    <col customWidth="1" min="6" max="6" width="8.43"/>
  </cols>
  <sheetData>
    <row r="1" ht="15.0" customHeight="1">
      <c r="A1" s="13"/>
      <c r="B1" s="13"/>
      <c r="C1" s="14" t="s">
        <v>14</v>
      </c>
      <c r="D1" s="15"/>
      <c r="E1" s="16" t="s">
        <v>15</v>
      </c>
      <c r="F1" s="17" t="s">
        <v>16</v>
      </c>
    </row>
    <row r="2" ht="25.5" customHeight="1">
      <c r="A2" s="396"/>
      <c r="B2" s="20" t="s">
        <v>17</v>
      </c>
      <c r="C2" s="111" t="s">
        <v>18</v>
      </c>
      <c r="D2" s="257" t="s">
        <v>19</v>
      </c>
      <c r="E2" s="116" t="s">
        <v>20</v>
      </c>
      <c r="F2" s="257">
        <v>100000.0</v>
      </c>
    </row>
    <row r="3" ht="63.75" customHeight="1">
      <c r="A3" s="396"/>
      <c r="B3" s="24"/>
      <c r="C3" s="410"/>
      <c r="D3" s="257" t="s">
        <v>22</v>
      </c>
      <c r="E3" s="116" t="s">
        <v>23</v>
      </c>
      <c r="F3" s="257">
        <v>100000.0</v>
      </c>
    </row>
    <row r="4" ht="51.0" customHeight="1">
      <c r="A4" s="396"/>
      <c r="B4" s="24"/>
      <c r="C4" s="410"/>
      <c r="D4" s="257" t="s">
        <v>24</v>
      </c>
      <c r="E4" s="116" t="s">
        <v>25</v>
      </c>
      <c r="F4" s="257">
        <v>100000.0</v>
      </c>
    </row>
    <row r="5" ht="25.5" customHeight="1">
      <c r="A5" s="396"/>
      <c r="B5" s="24"/>
      <c r="C5" s="410"/>
      <c r="D5" s="257" t="s">
        <v>27</v>
      </c>
      <c r="E5" s="116" t="s">
        <v>28</v>
      </c>
      <c r="F5" s="257">
        <v>100000.0</v>
      </c>
    </row>
    <row r="6">
      <c r="A6" s="396"/>
      <c r="B6" s="24"/>
      <c r="C6" s="410"/>
      <c r="D6" s="257" t="s">
        <v>30</v>
      </c>
      <c r="E6" s="116" t="s">
        <v>31</v>
      </c>
      <c r="F6" s="257">
        <v>150000.0</v>
      </c>
    </row>
    <row r="7">
      <c r="A7" s="396"/>
      <c r="B7" s="24"/>
      <c r="C7" s="410"/>
      <c r="D7" s="257" t="s">
        <v>32</v>
      </c>
      <c r="E7" s="116" t="s">
        <v>33</v>
      </c>
      <c r="F7" s="257">
        <v>200000.0</v>
      </c>
    </row>
    <row r="8">
      <c r="A8" s="396"/>
      <c r="B8" s="24"/>
      <c r="C8" s="410"/>
      <c r="D8" s="257" t="s">
        <v>34</v>
      </c>
      <c r="E8" s="116" t="s">
        <v>31</v>
      </c>
      <c r="F8" s="257">
        <v>5000.0</v>
      </c>
    </row>
    <row r="9">
      <c r="A9" s="396"/>
      <c r="B9" s="24"/>
      <c r="C9" s="410"/>
      <c r="D9" s="257" t="s">
        <v>35</v>
      </c>
      <c r="E9" s="116" t="s">
        <v>31</v>
      </c>
      <c r="F9" s="257">
        <v>5000.0</v>
      </c>
    </row>
    <row r="10">
      <c r="A10" s="396"/>
      <c r="B10" s="24"/>
      <c r="C10" s="410"/>
      <c r="D10" s="257" t="s">
        <v>36</v>
      </c>
      <c r="E10" s="116" t="s">
        <v>31</v>
      </c>
      <c r="F10" s="257">
        <v>20000.0</v>
      </c>
    </row>
    <row r="11">
      <c r="A11" s="396"/>
      <c r="B11" s="24"/>
      <c r="C11" s="410"/>
      <c r="D11" s="257" t="s">
        <v>37</v>
      </c>
      <c r="E11" s="116" t="s">
        <v>31</v>
      </c>
      <c r="F11" s="257">
        <v>50000.0</v>
      </c>
    </row>
    <row r="12">
      <c r="A12" s="396"/>
      <c r="B12" s="24"/>
      <c r="C12" s="410"/>
      <c r="D12" s="257" t="s">
        <v>38</v>
      </c>
      <c r="E12" s="116" t="s">
        <v>1008</v>
      </c>
      <c r="F12" s="257">
        <v>100000.0</v>
      </c>
    </row>
    <row r="13">
      <c r="A13" s="396"/>
      <c r="B13" s="24"/>
      <c r="C13" s="410"/>
      <c r="D13" s="257" t="s">
        <v>41</v>
      </c>
      <c r="E13" s="116" t="s">
        <v>42</v>
      </c>
      <c r="F13" s="257">
        <v>20000.0</v>
      </c>
    </row>
    <row r="14">
      <c r="A14" s="396"/>
      <c r="B14" s="24"/>
      <c r="C14" s="410"/>
      <c r="D14" s="257" t="s">
        <v>43</v>
      </c>
      <c r="E14" s="116" t="s">
        <v>44</v>
      </c>
      <c r="F14" s="257">
        <v>50000.0</v>
      </c>
    </row>
    <row r="15">
      <c r="A15" s="396"/>
      <c r="B15" s="24"/>
      <c r="C15" s="410"/>
      <c r="D15" s="257" t="s">
        <v>46</v>
      </c>
      <c r="E15" s="116" t="s">
        <v>47</v>
      </c>
      <c r="F15" s="257">
        <v>100000.0</v>
      </c>
    </row>
    <row r="16">
      <c r="A16" s="396"/>
      <c r="B16" s="24"/>
      <c r="C16" s="410"/>
      <c r="D16" s="257" t="s">
        <v>48</v>
      </c>
      <c r="E16" s="116" t="s">
        <v>49</v>
      </c>
      <c r="F16" s="257">
        <v>100000.0</v>
      </c>
    </row>
    <row r="17">
      <c r="A17" s="396"/>
      <c r="B17" s="24"/>
      <c r="C17" s="410"/>
      <c r="D17" s="257" t="s">
        <v>51</v>
      </c>
      <c r="E17" s="116" t="s">
        <v>52</v>
      </c>
      <c r="F17" s="257">
        <v>200000.0</v>
      </c>
    </row>
    <row r="18">
      <c r="A18" s="396"/>
      <c r="B18" s="24"/>
      <c r="C18" s="410"/>
      <c r="D18" s="257" t="s">
        <v>53</v>
      </c>
      <c r="E18" s="116" t="s">
        <v>54</v>
      </c>
      <c r="F18" s="257">
        <v>100000.0</v>
      </c>
    </row>
    <row r="19">
      <c r="A19" s="396"/>
      <c r="B19" s="24"/>
      <c r="C19" s="410"/>
      <c r="D19" s="257" t="s">
        <v>55</v>
      </c>
      <c r="E19" s="116" t="s">
        <v>56</v>
      </c>
      <c r="F19" s="257">
        <v>200000.0</v>
      </c>
    </row>
    <row r="20" ht="25.5" customHeight="1">
      <c r="A20" s="396"/>
      <c r="B20" s="24"/>
      <c r="C20" s="410"/>
      <c r="D20" s="257" t="s">
        <v>57</v>
      </c>
      <c r="E20" s="116" t="s">
        <v>58</v>
      </c>
      <c r="F20" s="257">
        <v>100000.0</v>
      </c>
    </row>
    <row r="21">
      <c r="A21" s="396"/>
      <c r="B21" s="24"/>
      <c r="C21" s="410"/>
      <c r="D21" s="257" t="s">
        <v>59</v>
      </c>
      <c r="E21" s="116" t="s">
        <v>60</v>
      </c>
      <c r="F21" s="257">
        <v>50000.0</v>
      </c>
    </row>
    <row r="22">
      <c r="A22" s="396"/>
      <c r="B22" s="24"/>
      <c r="C22" s="410"/>
      <c r="D22" s="257" t="s">
        <v>1014</v>
      </c>
      <c r="E22" s="116" t="s">
        <v>62</v>
      </c>
      <c r="F22" s="257">
        <v>100000.0</v>
      </c>
    </row>
    <row r="23" ht="15.0" customHeight="1">
      <c r="A23" s="396"/>
      <c r="B23" s="24"/>
      <c r="C23" s="410"/>
      <c r="D23" s="396"/>
      <c r="E23" s="26" t="s">
        <v>13</v>
      </c>
      <c r="F23" s="28" t="str">
        <f>SUM(F2:F22)</f>
        <v>1950000</v>
      </c>
    </row>
    <row r="24">
      <c r="A24" s="396"/>
      <c r="B24" s="24"/>
      <c r="C24" s="410"/>
      <c r="D24" s="396"/>
      <c r="E24" s="414"/>
      <c r="F24" s="396"/>
    </row>
    <row r="25">
      <c r="A25" s="396"/>
      <c r="B25" s="396"/>
      <c r="C25" s="396"/>
      <c r="D25" s="396"/>
      <c r="E25" s="396"/>
      <c r="F25" s="396"/>
    </row>
    <row r="26" ht="15.0" customHeight="1">
      <c r="A26" s="396"/>
      <c r="B26" s="36" t="s">
        <v>68</v>
      </c>
      <c r="C26" s="37" t="s">
        <v>80</v>
      </c>
      <c r="D26" s="15"/>
      <c r="E26" s="396"/>
      <c r="F26" s="257">
        <v>100000.0</v>
      </c>
    </row>
    <row r="27">
      <c r="A27" s="396"/>
      <c r="B27" s="40"/>
      <c r="C27" s="396"/>
      <c r="D27" s="257" t="s">
        <v>119</v>
      </c>
      <c r="E27" s="396"/>
      <c r="F27" s="396"/>
    </row>
    <row r="28">
      <c r="A28" s="396"/>
      <c r="B28" s="40"/>
      <c r="C28" s="396"/>
      <c r="D28" s="257" t="s">
        <v>120</v>
      </c>
      <c r="E28" s="396"/>
      <c r="F28" s="396"/>
    </row>
    <row r="29">
      <c r="A29" s="396"/>
      <c r="B29" s="40"/>
      <c r="C29" s="396"/>
      <c r="D29" s="396"/>
      <c r="E29" s="396"/>
      <c r="F29" s="396"/>
    </row>
    <row r="30" ht="15.0" customHeight="1">
      <c r="A30" s="396"/>
      <c r="B30" s="40"/>
      <c r="C30" s="37" t="s">
        <v>121</v>
      </c>
      <c r="D30" s="15"/>
      <c r="E30" s="396"/>
      <c r="F30" s="257">
        <v>400000.0</v>
      </c>
    </row>
    <row r="31" ht="15.0" customHeight="1">
      <c r="A31" s="396"/>
      <c r="B31" s="40"/>
      <c r="C31" s="396"/>
      <c r="D31" s="42" t="s">
        <v>122</v>
      </c>
      <c r="E31" s="396"/>
      <c r="F31" s="396"/>
    </row>
    <row r="32">
      <c r="A32" s="396"/>
      <c r="B32" s="40"/>
      <c r="C32" s="396"/>
      <c r="D32" s="257" t="s">
        <v>124</v>
      </c>
      <c r="E32" s="396"/>
      <c r="F32" s="396"/>
    </row>
    <row r="33" ht="15.0" customHeight="1">
      <c r="A33" s="396"/>
      <c r="B33" s="40"/>
      <c r="C33" s="396"/>
      <c r="D33" s="42" t="s">
        <v>1028</v>
      </c>
      <c r="E33" s="396"/>
      <c r="F33" s="396"/>
    </row>
    <row r="34">
      <c r="A34" s="396"/>
      <c r="B34" s="40"/>
      <c r="C34" s="396"/>
      <c r="D34" s="396"/>
      <c r="E34" s="396"/>
      <c r="F34" s="396"/>
    </row>
    <row r="35" ht="17.25" customHeight="1">
      <c r="A35" s="396"/>
      <c r="B35" s="40"/>
      <c r="C35" s="396"/>
      <c r="D35" s="396"/>
      <c r="E35" s="396"/>
      <c r="F35" s="396"/>
    </row>
    <row r="36" ht="17.25" customHeight="1">
      <c r="A36" s="396"/>
      <c r="B36" s="40"/>
      <c r="C36" s="37" t="s">
        <v>139</v>
      </c>
      <c r="D36" s="15"/>
      <c r="E36" s="257" t="s">
        <v>153</v>
      </c>
      <c r="F36" s="417">
        <v>500000.0</v>
      </c>
    </row>
    <row r="37" ht="17.25" customHeight="1">
      <c r="A37" s="396"/>
      <c r="B37" s="40"/>
      <c r="C37" s="73"/>
      <c r="D37" s="73"/>
      <c r="E37" s="396"/>
      <c r="F37" s="418"/>
    </row>
    <row r="38" ht="15.0" customHeight="1">
      <c r="A38" s="396"/>
      <c r="B38" s="40"/>
      <c r="C38" s="37" t="s">
        <v>158</v>
      </c>
      <c r="D38" s="15"/>
      <c r="E38" s="396"/>
      <c r="F38" s="257">
        <v>700000.0</v>
      </c>
    </row>
    <row r="39" ht="15.0" customHeight="1">
      <c r="A39" s="396"/>
      <c r="B39" s="40"/>
      <c r="C39" s="73"/>
      <c r="D39" s="77" t="s">
        <v>159</v>
      </c>
      <c r="E39" s="396"/>
      <c r="F39" s="396"/>
    </row>
    <row r="40" ht="15.0" customHeight="1">
      <c r="A40" s="396"/>
      <c r="B40" s="40"/>
      <c r="C40" s="73"/>
      <c r="D40" s="273" t="s">
        <v>161</v>
      </c>
      <c r="E40" s="257" t="s">
        <v>163</v>
      </c>
      <c r="F40" s="396"/>
    </row>
    <row r="41">
      <c r="A41" s="396"/>
      <c r="B41" s="40"/>
      <c r="C41" s="396"/>
      <c r="D41" s="257" t="s">
        <v>164</v>
      </c>
      <c r="E41" s="257" t="s">
        <v>1044</v>
      </c>
      <c r="F41" s="396"/>
    </row>
    <row r="42">
      <c r="A42" s="396"/>
      <c r="B42" s="40"/>
      <c r="C42" s="396"/>
      <c r="D42" s="257" t="s">
        <v>166</v>
      </c>
      <c r="E42" s="257" t="s">
        <v>167</v>
      </c>
      <c r="F42" s="396"/>
    </row>
    <row r="43">
      <c r="A43" s="396"/>
      <c r="B43" s="40"/>
      <c r="C43" s="396"/>
      <c r="D43" s="257" t="s">
        <v>169</v>
      </c>
      <c r="E43" s="396"/>
      <c r="F43" s="396"/>
    </row>
    <row r="44">
      <c r="A44" s="396"/>
      <c r="B44" s="40"/>
      <c r="C44" s="396"/>
      <c r="D44" s="257" t="s">
        <v>170</v>
      </c>
      <c r="E44" s="257" t="s">
        <v>171</v>
      </c>
      <c r="F44" s="396"/>
    </row>
    <row r="45">
      <c r="A45" s="396"/>
      <c r="B45" s="40"/>
      <c r="C45" s="396"/>
      <c r="D45" s="257" t="s">
        <v>172</v>
      </c>
      <c r="E45" s="257" t="s">
        <v>173</v>
      </c>
      <c r="F45" s="396"/>
    </row>
    <row r="46">
      <c r="A46" s="396"/>
      <c r="B46" s="40"/>
      <c r="C46" s="396"/>
      <c r="D46" s="396"/>
      <c r="E46" s="396"/>
      <c r="F46" s="396"/>
    </row>
    <row r="47" ht="15.0" customHeight="1">
      <c r="A47" s="396"/>
      <c r="B47" s="80"/>
      <c r="C47" s="77" t="s">
        <v>175</v>
      </c>
      <c r="D47" s="73"/>
      <c r="E47" s="396"/>
      <c r="F47" s="257">
        <v>150000.0</v>
      </c>
    </row>
    <row r="48" ht="15.0" customHeight="1">
      <c r="A48" s="396"/>
      <c r="B48" s="90"/>
      <c r="C48" s="396"/>
      <c r="D48" s="396"/>
      <c r="E48" s="91" t="s">
        <v>13</v>
      </c>
      <c r="F48" s="28" t="str">
        <f>SUM(F26:F47)</f>
        <v>1850000</v>
      </c>
    </row>
    <row r="49">
      <c r="A49" s="396"/>
      <c r="B49" s="396"/>
      <c r="C49" s="396"/>
      <c r="D49" s="396"/>
      <c r="E49" s="396"/>
      <c r="F49" s="396"/>
    </row>
    <row r="50">
      <c r="A50" s="396"/>
      <c r="B50" s="396"/>
      <c r="C50" s="396"/>
      <c r="D50" s="396"/>
      <c r="E50" s="396"/>
      <c r="F50" s="396"/>
    </row>
    <row r="51">
      <c r="A51" s="396"/>
      <c r="B51" s="396"/>
      <c r="C51" s="396"/>
      <c r="D51" s="396"/>
      <c r="E51" s="396"/>
      <c r="F51" s="396"/>
    </row>
    <row r="52">
      <c r="A52" s="396"/>
      <c r="B52" s="396"/>
      <c r="C52" s="396"/>
      <c r="D52" s="396"/>
      <c r="E52" s="396"/>
      <c r="F52" s="396"/>
    </row>
    <row r="53">
      <c r="A53" s="396"/>
      <c r="B53" s="92" t="s">
        <v>191</v>
      </c>
      <c r="C53" s="257" t="s">
        <v>192</v>
      </c>
      <c r="D53" s="396"/>
      <c r="E53" s="396"/>
      <c r="F53" s="257">
        <v>75000.0</v>
      </c>
    </row>
    <row r="54">
      <c r="A54" s="396"/>
      <c r="B54" s="93"/>
      <c r="C54" s="257" t="s">
        <v>194</v>
      </c>
      <c r="D54" s="396"/>
      <c r="E54" s="257" t="s">
        <v>196</v>
      </c>
      <c r="F54" s="257" t="s">
        <v>173</v>
      </c>
    </row>
    <row r="55">
      <c r="A55" s="396"/>
      <c r="B55" s="93"/>
      <c r="C55" s="257" t="s">
        <v>1050</v>
      </c>
      <c r="D55" s="396"/>
      <c r="E55" s="396"/>
      <c r="F55" s="257">
        <v>1.5</v>
      </c>
    </row>
    <row r="56">
      <c r="A56" s="396"/>
      <c r="B56" s="396"/>
      <c r="C56" s="396"/>
      <c r="D56" s="396"/>
      <c r="E56" s="396"/>
      <c r="F56" s="396"/>
    </row>
    <row r="57">
      <c r="A57" s="396"/>
      <c r="B57" s="396"/>
      <c r="C57" s="396"/>
      <c r="D57" s="396"/>
      <c r="E57" s="396"/>
      <c r="F57" s="396"/>
    </row>
    <row r="58">
      <c r="A58" s="396"/>
      <c r="B58" s="396"/>
      <c r="C58" s="396"/>
      <c r="D58" s="396"/>
      <c r="E58" s="396"/>
      <c r="F58" s="396"/>
    </row>
    <row r="59">
      <c r="A59" s="396"/>
      <c r="B59" s="396"/>
      <c r="C59" s="396"/>
      <c r="D59" s="396"/>
      <c r="E59" s="396"/>
      <c r="F59" s="396"/>
    </row>
    <row r="60">
      <c r="A60" s="396"/>
      <c r="B60" s="396"/>
      <c r="C60" s="396"/>
      <c r="D60" s="396"/>
      <c r="E60" s="396"/>
      <c r="F60" s="396"/>
    </row>
    <row r="61" ht="15.0" customHeight="1">
      <c r="A61" s="396"/>
      <c r="B61" s="36" t="s">
        <v>7</v>
      </c>
      <c r="C61" s="257" t="s">
        <v>1053</v>
      </c>
      <c r="D61" s="396"/>
      <c r="E61" s="420" t="s">
        <v>1054</v>
      </c>
      <c r="F61" s="257">
        <v>100000.0</v>
      </c>
    </row>
    <row r="62">
      <c r="A62" s="396"/>
      <c r="B62" s="40"/>
      <c r="C62" s="396"/>
      <c r="D62" s="396"/>
      <c r="E62" s="396"/>
      <c r="F62" s="396"/>
    </row>
    <row r="63" ht="25.5" customHeight="1">
      <c r="A63" s="396"/>
      <c r="B63" s="40"/>
      <c r="C63" s="422" t="s">
        <v>1059</v>
      </c>
      <c r="D63" s="15"/>
      <c r="E63" s="423" t="s">
        <v>1064</v>
      </c>
      <c r="F63" s="257">
        <v>100000.0</v>
      </c>
    </row>
    <row r="64" ht="15.0" customHeight="1">
      <c r="A64" s="396"/>
      <c r="B64" s="40"/>
      <c r="C64" s="396"/>
      <c r="D64" s="396"/>
      <c r="E64" s="396"/>
      <c r="F64" s="396"/>
    </row>
    <row r="65">
      <c r="A65" s="396"/>
      <c r="B65" s="40"/>
      <c r="C65" s="422" t="s">
        <v>1066</v>
      </c>
      <c r="D65" s="15"/>
      <c r="E65" s="423" t="s">
        <v>1070</v>
      </c>
      <c r="F65" s="257">
        <v>100000.0</v>
      </c>
    </row>
    <row r="66">
      <c r="A66" s="396"/>
      <c r="B66" s="40"/>
      <c r="C66" s="396"/>
      <c r="D66" s="396"/>
      <c r="E66" s="396"/>
      <c r="F66" s="396"/>
    </row>
    <row r="67">
      <c r="A67" s="396"/>
      <c r="B67" s="80"/>
      <c r="C67" s="424" t="s">
        <v>1073</v>
      </c>
      <c r="D67" s="425"/>
      <c r="E67" s="396"/>
      <c r="F67" s="257">
        <v>100000.0</v>
      </c>
    </row>
    <row r="68" ht="15.0" customHeight="1">
      <c r="A68" s="396"/>
      <c r="B68" s="396"/>
      <c r="C68" s="396"/>
      <c r="D68" s="396"/>
      <c r="E68" s="91" t="s">
        <v>13</v>
      </c>
      <c r="F68" s="28" t="str">
        <f>SUM(F61:F67)</f>
        <v>400000</v>
      </c>
    </row>
    <row r="69">
      <c r="A69" s="396"/>
      <c r="B69" s="396"/>
      <c r="C69" s="396"/>
      <c r="D69" s="396"/>
      <c r="E69" s="396"/>
      <c r="F69" s="396"/>
    </row>
    <row r="70">
      <c r="A70" s="396"/>
      <c r="B70" s="396"/>
      <c r="C70" s="396"/>
      <c r="D70" s="396"/>
      <c r="E70" s="396"/>
      <c r="F70" s="396"/>
    </row>
    <row r="71">
      <c r="A71" s="396"/>
      <c r="B71" s="95" t="s">
        <v>1077</v>
      </c>
      <c r="C71" s="273" t="s">
        <v>1078</v>
      </c>
      <c r="D71" s="397"/>
      <c r="E71" s="396"/>
      <c r="F71" s="257">
        <v>100000.0</v>
      </c>
    </row>
    <row r="72">
      <c r="A72" s="396"/>
      <c r="B72" s="100"/>
      <c r="C72" s="396"/>
      <c r="D72" s="273" t="s">
        <v>1079</v>
      </c>
      <c r="E72" s="396"/>
      <c r="F72" s="257">
        <v>150000.0</v>
      </c>
    </row>
    <row r="73">
      <c r="A73" s="396"/>
      <c r="B73" s="100"/>
      <c r="C73" s="397"/>
      <c r="D73" s="396"/>
      <c r="E73" s="396"/>
      <c r="F73" s="396"/>
    </row>
    <row r="74">
      <c r="A74" s="396"/>
      <c r="B74" s="100"/>
      <c r="C74" s="273" t="s">
        <v>1080</v>
      </c>
      <c r="D74" s="397"/>
      <c r="E74" s="257" t="s">
        <v>1081</v>
      </c>
      <c r="F74" s="396"/>
    </row>
    <row r="75">
      <c r="A75" s="396"/>
      <c r="B75" s="100"/>
      <c r="C75" s="397"/>
      <c r="D75" s="396"/>
      <c r="E75" s="396"/>
      <c r="F75" s="396"/>
    </row>
    <row r="76">
      <c r="A76" s="396"/>
      <c r="B76" s="100"/>
      <c r="C76" s="273" t="s">
        <v>1082</v>
      </c>
      <c r="D76" s="397"/>
      <c r="E76" s="396"/>
      <c r="F76" s="257">
        <v>50000.0</v>
      </c>
    </row>
    <row r="77">
      <c r="A77" s="396"/>
      <c r="B77" s="100"/>
      <c r="C77" s="397"/>
      <c r="D77" s="396"/>
      <c r="E77" s="396"/>
      <c r="F77" s="396"/>
    </row>
    <row r="78">
      <c r="A78" s="396"/>
      <c r="B78" s="100"/>
      <c r="C78" s="273" t="s">
        <v>1084</v>
      </c>
      <c r="D78" s="397"/>
      <c r="E78" s="396"/>
      <c r="F78" s="257">
        <v>50000.0</v>
      </c>
    </row>
    <row r="79">
      <c r="A79" s="396"/>
      <c r="B79" s="100"/>
      <c r="C79" s="397"/>
      <c r="D79" s="396"/>
      <c r="E79" s="396"/>
      <c r="F79" s="396"/>
    </row>
    <row r="80">
      <c r="A80" s="396"/>
      <c r="B80" s="100"/>
      <c r="C80" s="273" t="s">
        <v>1085</v>
      </c>
      <c r="D80" s="397"/>
      <c r="E80" s="396"/>
      <c r="F80" s="257">
        <v>50000.0</v>
      </c>
    </row>
    <row r="81" ht="15.0" customHeight="1">
      <c r="A81" s="12"/>
      <c r="B81" s="12"/>
      <c r="C81" s="12"/>
      <c r="D81" s="12"/>
      <c r="E81" s="428" t="s">
        <v>13</v>
      </c>
      <c r="F81" s="429" t="str">
        <f>SUM(F71:F80)</f>
        <v>400000</v>
      </c>
    </row>
  </sheetData>
  <mergeCells count="7">
    <mergeCell ref="C1:D1"/>
    <mergeCell ref="C26:D26"/>
    <mergeCell ref="C30:D30"/>
    <mergeCell ref="C36:D36"/>
    <mergeCell ref="C38:D38"/>
    <mergeCell ref="C63:D63"/>
    <mergeCell ref="C65:D6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4.43" defaultRowHeight="12.75"/>
  <cols>
    <col customWidth="1" min="1" max="1" width="4.71"/>
    <col customWidth="1" min="2" max="2" width="26.86"/>
    <col customWidth="1" min="3" max="3" width="19.0"/>
    <col customWidth="1" min="4" max="4" width="10.14"/>
    <col customWidth="1" min="5" max="7" width="9.29"/>
    <col customWidth="1" min="8" max="8" width="10.86"/>
    <col customWidth="1" min="9" max="9" width="11.71"/>
    <col customWidth="1" min="10" max="10" width="9.29"/>
    <col customWidth="1" min="11" max="11" width="11.0"/>
    <col customWidth="1" min="12" max="12" width="12.14"/>
    <col customWidth="1" min="13" max="13" width="9.0"/>
    <col customWidth="1" min="14" max="14" width="9.86"/>
    <col customWidth="1" min="15" max="16" width="9.29"/>
  </cols>
  <sheetData>
    <row r="3" ht="18.0" customHeight="1">
      <c r="A3" s="393" t="s">
        <v>934</v>
      </c>
    </row>
    <row r="4">
      <c r="A4" s="1"/>
      <c r="B4" s="1"/>
      <c r="C4" s="1"/>
      <c r="D4" s="1"/>
      <c r="E4" s="1"/>
      <c r="F4" s="1"/>
      <c r="G4" s="1"/>
      <c r="H4" s="1"/>
      <c r="I4" s="1"/>
      <c r="J4" s="1"/>
      <c r="K4" s="1"/>
      <c r="L4" s="1"/>
      <c r="M4" s="1"/>
      <c r="N4" s="1"/>
      <c r="O4" s="1"/>
    </row>
    <row r="5">
      <c r="A5" s="395" t="s">
        <v>935</v>
      </c>
      <c r="B5" s="395" t="s">
        <v>939</v>
      </c>
      <c r="C5" s="395" t="s">
        <v>940</v>
      </c>
      <c r="D5" s="395" t="s">
        <v>941</v>
      </c>
      <c r="E5" s="395" t="s">
        <v>942</v>
      </c>
      <c r="F5" s="395" t="s">
        <v>104</v>
      </c>
      <c r="G5" s="395" t="s">
        <v>943</v>
      </c>
      <c r="H5" s="395" t="s">
        <v>944</v>
      </c>
      <c r="I5" s="395" t="s">
        <v>945</v>
      </c>
      <c r="J5" s="395" t="s">
        <v>946</v>
      </c>
      <c r="K5" s="395" t="s">
        <v>947</v>
      </c>
      <c r="L5" s="395" t="s">
        <v>948</v>
      </c>
      <c r="M5" s="395" t="s">
        <v>949</v>
      </c>
      <c r="N5" s="395" t="s">
        <v>950</v>
      </c>
      <c r="O5" s="395" t="s">
        <v>951</v>
      </c>
      <c r="P5" s="18"/>
    </row>
    <row r="6">
      <c r="A6" s="396"/>
      <c r="B6" s="396"/>
      <c r="C6" s="396"/>
      <c r="D6" s="396"/>
      <c r="E6" s="396"/>
      <c r="F6" s="396"/>
      <c r="G6" s="396"/>
      <c r="H6" s="396"/>
      <c r="I6" s="396"/>
      <c r="J6" s="396"/>
      <c r="K6" s="396"/>
      <c r="L6" s="396"/>
      <c r="M6" s="396"/>
      <c r="N6" s="396"/>
      <c r="O6" s="396"/>
      <c r="P6" s="18"/>
    </row>
    <row r="7">
      <c r="A7" s="213">
        <v>1.0</v>
      </c>
      <c r="B7" s="273" t="s">
        <v>952</v>
      </c>
      <c r="C7" s="397"/>
      <c r="D7" s="398" t="str">
        <f t="shared" ref="D7:L7" si="1">101685*41+600000</f>
        <v>4769085</v>
      </c>
      <c r="E7" s="398" t="str">
        <f t="shared" si="1"/>
        <v>4769085</v>
      </c>
      <c r="F7" s="398" t="str">
        <f t="shared" si="1"/>
        <v>4769085</v>
      </c>
      <c r="G7" s="398" t="str">
        <f t="shared" si="1"/>
        <v>4769085</v>
      </c>
      <c r="H7" s="398" t="str">
        <f t="shared" si="1"/>
        <v>4769085</v>
      </c>
      <c r="I7" s="398" t="str">
        <f t="shared" si="1"/>
        <v>4769085</v>
      </c>
      <c r="J7" s="398" t="str">
        <f t="shared" si="1"/>
        <v>4769085</v>
      </c>
      <c r="K7" s="398" t="str">
        <f t="shared" si="1"/>
        <v>4769085</v>
      </c>
      <c r="L7" s="398" t="str">
        <f t="shared" si="1"/>
        <v>4769085</v>
      </c>
      <c r="M7" s="251"/>
      <c r="N7" s="251"/>
      <c r="O7" s="251"/>
      <c r="P7" s="18"/>
    </row>
    <row r="8">
      <c r="A8" s="251"/>
      <c r="B8" s="397"/>
      <c r="C8" s="397"/>
      <c r="D8" s="251"/>
      <c r="E8" s="251"/>
      <c r="F8" s="251"/>
      <c r="G8" s="251"/>
      <c r="H8" s="251"/>
      <c r="I8" s="251"/>
      <c r="J8" s="251"/>
      <c r="K8" s="251"/>
      <c r="L8" s="251"/>
      <c r="M8" s="251"/>
      <c r="N8" s="251"/>
      <c r="O8" s="251"/>
      <c r="P8" s="18"/>
    </row>
    <row r="9">
      <c r="A9" s="213">
        <v>2.0</v>
      </c>
      <c r="B9" s="273" t="s">
        <v>958</v>
      </c>
      <c r="C9" s="397"/>
      <c r="D9" s="213">
        <v>19444.0</v>
      </c>
      <c r="E9" s="213">
        <v>19444.0</v>
      </c>
      <c r="F9" s="213">
        <v>21991.0</v>
      </c>
      <c r="G9" s="213">
        <v>21991.0</v>
      </c>
      <c r="H9" s="213">
        <v>21991.0</v>
      </c>
      <c r="I9" s="213">
        <v>21991.0</v>
      </c>
      <c r="J9" s="213">
        <v>21991.0</v>
      </c>
      <c r="K9" s="213">
        <v>21991.0</v>
      </c>
      <c r="L9" s="213">
        <v>21996.0</v>
      </c>
      <c r="M9" s="251"/>
      <c r="N9" s="251"/>
      <c r="O9" s="251"/>
      <c r="P9" s="18"/>
    </row>
    <row r="10">
      <c r="A10" s="251"/>
      <c r="B10" s="397"/>
      <c r="C10" s="397"/>
      <c r="D10" s="251"/>
      <c r="E10" s="251"/>
      <c r="F10" s="251"/>
      <c r="G10" s="251"/>
      <c r="H10" s="251"/>
      <c r="I10" s="251"/>
      <c r="J10" s="251"/>
      <c r="K10" s="251"/>
      <c r="L10" s="251"/>
      <c r="M10" s="251"/>
      <c r="N10" s="251"/>
      <c r="O10" s="251"/>
      <c r="P10" s="18"/>
    </row>
    <row r="11">
      <c r="A11" s="213">
        <v>3.0</v>
      </c>
      <c r="B11" s="273" t="s">
        <v>959</v>
      </c>
      <c r="C11" s="397"/>
      <c r="D11" s="213">
        <v>187943.0</v>
      </c>
      <c r="E11" s="213">
        <v>191443.0</v>
      </c>
      <c r="F11" s="213">
        <v>191443.0</v>
      </c>
      <c r="G11" s="213">
        <v>191443.0</v>
      </c>
      <c r="H11" s="213">
        <v>185820.0</v>
      </c>
      <c r="I11" s="213">
        <v>191163.0</v>
      </c>
      <c r="J11" s="213">
        <v>198756.0</v>
      </c>
      <c r="K11" s="213">
        <v>198261.0</v>
      </c>
      <c r="L11" s="213">
        <v>198050.0</v>
      </c>
      <c r="M11" s="251"/>
      <c r="N11" s="251"/>
      <c r="O11" s="251"/>
      <c r="P11" s="18"/>
    </row>
    <row r="12">
      <c r="A12" s="251"/>
      <c r="B12" s="397"/>
      <c r="C12" s="397"/>
      <c r="D12" s="251"/>
      <c r="E12" s="251"/>
      <c r="F12" s="251"/>
      <c r="G12" s="251"/>
      <c r="H12" s="251"/>
      <c r="I12" s="251"/>
      <c r="J12" s="251"/>
      <c r="K12" s="251"/>
      <c r="L12" s="251"/>
      <c r="M12" s="251"/>
      <c r="N12" s="251"/>
      <c r="O12" s="251"/>
      <c r="P12" s="18"/>
    </row>
    <row r="13">
      <c r="A13" s="213">
        <v>4.0</v>
      </c>
      <c r="B13" s="273" t="s">
        <v>960</v>
      </c>
      <c r="C13" s="273" t="s">
        <v>960</v>
      </c>
      <c r="D13" s="213">
        <v>40344.0</v>
      </c>
      <c r="E13" s="213">
        <v>40344.0</v>
      </c>
      <c r="F13" s="213">
        <v>40344.0</v>
      </c>
      <c r="G13" s="213">
        <v>40344.0</v>
      </c>
      <c r="H13" s="213">
        <v>40344.0</v>
      </c>
      <c r="I13" s="213">
        <v>40344.0</v>
      </c>
      <c r="J13" s="213">
        <v>47517.0</v>
      </c>
      <c r="K13" s="213">
        <v>48011.0</v>
      </c>
      <c r="L13" s="213">
        <v>48011.0</v>
      </c>
      <c r="M13" s="251"/>
      <c r="N13" s="251"/>
      <c r="O13" s="251"/>
      <c r="P13" s="18"/>
    </row>
    <row r="14">
      <c r="A14" s="251"/>
      <c r="B14" s="397"/>
      <c r="C14" s="273" t="s">
        <v>962</v>
      </c>
      <c r="D14" s="213">
        <v>4452.0</v>
      </c>
      <c r="E14" s="213">
        <v>6678.0</v>
      </c>
      <c r="F14" s="213">
        <v>6678.0</v>
      </c>
      <c r="G14" s="213">
        <v>6678.0</v>
      </c>
      <c r="H14" s="213">
        <v>6678.0</v>
      </c>
      <c r="I14" s="213">
        <v>6678.0</v>
      </c>
      <c r="J14" s="213">
        <v>7879.0</v>
      </c>
      <c r="K14" s="213">
        <v>7354.0</v>
      </c>
      <c r="L14" s="213">
        <v>7354.0</v>
      </c>
      <c r="M14" s="251"/>
      <c r="N14" s="251"/>
      <c r="O14" s="251"/>
      <c r="P14" s="18"/>
    </row>
    <row r="15">
      <c r="A15" s="251"/>
      <c r="B15" s="397"/>
      <c r="C15" s="273" t="s">
        <v>965</v>
      </c>
      <c r="D15" s="213">
        <v>7277.0</v>
      </c>
      <c r="E15" s="213">
        <v>4826.0</v>
      </c>
      <c r="F15" s="213">
        <v>4922.0</v>
      </c>
      <c r="G15" s="213">
        <v>5317.0</v>
      </c>
      <c r="H15" s="213">
        <v>5422.0</v>
      </c>
      <c r="I15" s="213">
        <v>6016.0</v>
      </c>
      <c r="J15" s="213">
        <v>5902.0</v>
      </c>
      <c r="K15" s="213">
        <v>5125.0</v>
      </c>
      <c r="L15" s="213">
        <v>5507.0</v>
      </c>
      <c r="M15" s="251"/>
      <c r="N15" s="251"/>
      <c r="O15" s="251"/>
      <c r="P15" s="18"/>
    </row>
    <row r="16">
      <c r="A16" s="251"/>
      <c r="B16" s="397"/>
      <c r="C16" s="273" t="s">
        <v>966</v>
      </c>
      <c r="D16" s="213">
        <v>8000.0</v>
      </c>
      <c r="E16" s="213">
        <v>8000.0</v>
      </c>
      <c r="F16" s="213">
        <v>8000.0</v>
      </c>
      <c r="G16" s="213">
        <v>8000.0</v>
      </c>
      <c r="H16" s="213">
        <v>8000.0</v>
      </c>
      <c r="I16" s="213">
        <v>8000.0</v>
      </c>
      <c r="J16" s="213">
        <v>8000.0</v>
      </c>
      <c r="K16" s="213">
        <v>8000.0</v>
      </c>
      <c r="L16" s="213">
        <v>8000.0</v>
      </c>
      <c r="M16" s="251"/>
      <c r="N16" s="251"/>
      <c r="O16" s="251"/>
      <c r="P16" s="18"/>
    </row>
    <row r="17">
      <c r="A17" s="251"/>
      <c r="B17" s="397"/>
      <c r="C17" s="273" t="s">
        <v>968</v>
      </c>
      <c r="D17" s="213">
        <v>4000.0</v>
      </c>
      <c r="E17" s="213">
        <v>4000.0</v>
      </c>
      <c r="F17" s="213">
        <v>4000.0</v>
      </c>
      <c r="G17" s="213">
        <v>4000.0</v>
      </c>
      <c r="H17" s="213">
        <v>4000.0</v>
      </c>
      <c r="I17" s="213">
        <v>4000.0</v>
      </c>
      <c r="J17" s="213">
        <v>4000.0</v>
      </c>
      <c r="K17" s="213">
        <v>4000.0</v>
      </c>
      <c r="L17" s="213">
        <v>4000.0</v>
      </c>
      <c r="M17" s="251"/>
      <c r="N17" s="251"/>
      <c r="O17" s="251"/>
      <c r="P17" s="18"/>
    </row>
    <row r="18">
      <c r="A18" s="251"/>
      <c r="B18" s="397"/>
      <c r="C18" s="397"/>
      <c r="D18" s="251"/>
      <c r="E18" s="251"/>
      <c r="F18" s="251"/>
      <c r="G18" s="251"/>
      <c r="H18" s="251"/>
      <c r="I18" s="251"/>
      <c r="J18" s="251"/>
      <c r="K18" s="251"/>
      <c r="L18" s="251"/>
      <c r="M18" s="251"/>
      <c r="N18" s="251"/>
      <c r="O18" s="251"/>
      <c r="P18" s="18"/>
    </row>
    <row r="19">
      <c r="A19" s="213">
        <v>5.0</v>
      </c>
      <c r="B19" s="273" t="s">
        <v>971</v>
      </c>
      <c r="C19" s="273" t="s">
        <v>972</v>
      </c>
      <c r="D19" s="213">
        <v>67710.0</v>
      </c>
      <c r="E19" s="213">
        <v>69795.0</v>
      </c>
      <c r="F19" s="213">
        <v>69795.0</v>
      </c>
      <c r="G19" s="213">
        <v>69795.0</v>
      </c>
      <c r="H19" s="213">
        <v>69795.0</v>
      </c>
      <c r="I19" s="213">
        <v>69795.0</v>
      </c>
      <c r="J19" s="213">
        <v>68620.0</v>
      </c>
      <c r="K19" s="213">
        <v>67153.0</v>
      </c>
      <c r="L19" s="213">
        <v>69261.0</v>
      </c>
      <c r="M19" s="251"/>
      <c r="N19" s="251"/>
      <c r="O19" s="251"/>
      <c r="P19" s="18"/>
    </row>
    <row r="20">
      <c r="A20" s="251"/>
      <c r="B20" s="397"/>
      <c r="C20" s="273" t="s">
        <v>973</v>
      </c>
      <c r="D20" s="213">
        <v>83.0</v>
      </c>
      <c r="E20" s="213">
        <v>250.0</v>
      </c>
      <c r="F20" s="213">
        <v>250.0</v>
      </c>
      <c r="G20" s="213">
        <v>121.0</v>
      </c>
      <c r="H20" s="213">
        <v>250.0</v>
      </c>
      <c r="I20" s="213">
        <v>125.0</v>
      </c>
      <c r="J20" s="213">
        <v>250.0</v>
      </c>
      <c r="K20" s="213">
        <v>250.0</v>
      </c>
      <c r="L20" s="213">
        <v>0.0</v>
      </c>
      <c r="M20" s="251"/>
      <c r="N20" s="251"/>
      <c r="O20" s="251"/>
      <c r="P20" s="18"/>
    </row>
    <row r="21">
      <c r="A21" s="251"/>
      <c r="B21" s="397"/>
      <c r="C21" s="273" t="s">
        <v>974</v>
      </c>
      <c r="D21" s="213">
        <v>83.0</v>
      </c>
      <c r="E21" s="213">
        <v>250.0</v>
      </c>
      <c r="F21" s="213">
        <v>250.0</v>
      </c>
      <c r="G21" s="213">
        <v>250.0</v>
      </c>
      <c r="H21" s="213">
        <v>250.0</v>
      </c>
      <c r="I21" s="213">
        <v>250.0</v>
      </c>
      <c r="J21" s="213">
        <v>250.0</v>
      </c>
      <c r="K21" s="213">
        <v>250.0</v>
      </c>
      <c r="L21" s="213">
        <v>0.0</v>
      </c>
      <c r="M21" s="251"/>
      <c r="N21" s="251"/>
      <c r="O21" s="251"/>
      <c r="P21" s="18"/>
    </row>
    <row r="22">
      <c r="A22" s="251"/>
      <c r="B22" s="397"/>
      <c r="C22" s="273" t="s">
        <v>975</v>
      </c>
      <c r="D22" s="213">
        <v>6000.0</v>
      </c>
      <c r="E22" s="213">
        <v>6000.0</v>
      </c>
      <c r="F22" s="213">
        <v>6000.0</v>
      </c>
      <c r="G22" s="213">
        <v>6000.0</v>
      </c>
      <c r="H22" s="213">
        <v>6000.0</v>
      </c>
      <c r="I22" s="213">
        <v>6000.0</v>
      </c>
      <c r="J22" s="213">
        <v>6000.0</v>
      </c>
      <c r="K22" s="213">
        <v>6000.0</v>
      </c>
      <c r="L22" s="213">
        <v>6000.0</v>
      </c>
      <c r="M22" s="251"/>
      <c r="N22" s="251"/>
      <c r="O22" s="251"/>
      <c r="P22" s="18"/>
    </row>
    <row r="23">
      <c r="A23" s="251"/>
      <c r="B23" s="397"/>
      <c r="C23" s="397"/>
      <c r="D23" s="251"/>
      <c r="E23" s="251"/>
      <c r="F23" s="251"/>
      <c r="G23" s="251"/>
      <c r="H23" s="251"/>
      <c r="I23" s="251"/>
      <c r="J23" s="251"/>
      <c r="K23" s="251"/>
      <c r="L23" s="251"/>
      <c r="M23" s="251"/>
      <c r="N23" s="251"/>
      <c r="O23" s="251"/>
      <c r="P23" s="18"/>
    </row>
    <row r="24">
      <c r="A24" s="213">
        <v>6.0</v>
      </c>
      <c r="B24" s="273" t="s">
        <v>976</v>
      </c>
      <c r="C24" s="273" t="s">
        <v>977</v>
      </c>
      <c r="D24" s="213">
        <v>1000.0</v>
      </c>
      <c r="E24" s="213">
        <v>1000.0</v>
      </c>
      <c r="F24" s="213">
        <v>1000.0</v>
      </c>
      <c r="G24" s="213">
        <v>1000.0</v>
      </c>
      <c r="H24" s="213">
        <v>1000.0</v>
      </c>
      <c r="I24" s="213">
        <v>1000.0</v>
      </c>
      <c r="J24" s="213">
        <v>1000.0</v>
      </c>
      <c r="K24" s="213">
        <v>1000.0</v>
      </c>
      <c r="L24" s="213">
        <v>1000.0</v>
      </c>
      <c r="M24" s="251"/>
      <c r="N24" s="251"/>
      <c r="O24" s="251"/>
      <c r="P24" s="18"/>
    </row>
    <row r="25">
      <c r="A25" s="251"/>
      <c r="B25" s="397"/>
      <c r="C25" s="273" t="s">
        <v>979</v>
      </c>
      <c r="D25" s="213">
        <v>750.0</v>
      </c>
      <c r="E25" s="213">
        <v>750.0</v>
      </c>
      <c r="F25" s="213">
        <v>750.0</v>
      </c>
      <c r="G25" s="213">
        <v>750.0</v>
      </c>
      <c r="H25" s="213">
        <v>750.0</v>
      </c>
      <c r="I25" s="213">
        <v>750.0</v>
      </c>
      <c r="J25" s="213">
        <v>750.0</v>
      </c>
      <c r="K25" s="213">
        <v>750.0</v>
      </c>
      <c r="L25" s="213">
        <v>750.0</v>
      </c>
      <c r="M25" s="251"/>
      <c r="N25" s="251"/>
      <c r="O25" s="251"/>
      <c r="P25" s="18"/>
    </row>
    <row r="26">
      <c r="A26" s="251"/>
      <c r="B26" s="397"/>
      <c r="C26" s="397"/>
      <c r="D26" s="251"/>
      <c r="E26" s="251"/>
      <c r="F26" s="251"/>
      <c r="G26" s="251"/>
      <c r="H26" s="251"/>
      <c r="I26" s="251"/>
      <c r="J26" s="251"/>
      <c r="K26" s="251"/>
      <c r="L26" s="251"/>
      <c r="M26" s="251"/>
      <c r="N26" s="251"/>
      <c r="O26" s="251"/>
      <c r="P26" s="18"/>
    </row>
    <row r="27">
      <c r="A27" s="213">
        <v>7.0</v>
      </c>
      <c r="B27" s="273" t="s">
        <v>980</v>
      </c>
      <c r="C27" s="397"/>
      <c r="D27" s="213">
        <v>0.0</v>
      </c>
      <c r="E27" s="213">
        <v>0.0</v>
      </c>
      <c r="F27" s="213">
        <v>0.0</v>
      </c>
      <c r="G27" s="213">
        <v>0.0</v>
      </c>
      <c r="H27" s="213">
        <v>0.0</v>
      </c>
      <c r="I27" s="213">
        <v>0.0</v>
      </c>
      <c r="J27" s="213">
        <v>0.0</v>
      </c>
      <c r="K27" s="213">
        <v>0.0</v>
      </c>
      <c r="L27" s="213">
        <v>0.0</v>
      </c>
      <c r="M27" s="251"/>
      <c r="N27" s="251"/>
      <c r="O27" s="251"/>
      <c r="P27" s="18"/>
    </row>
    <row r="28">
      <c r="A28" s="251"/>
      <c r="B28" s="397"/>
      <c r="C28" s="397"/>
      <c r="D28" s="251"/>
      <c r="E28" s="251"/>
      <c r="F28" s="251"/>
      <c r="G28" s="251"/>
      <c r="H28" s="251"/>
      <c r="I28" s="251"/>
      <c r="J28" s="251"/>
      <c r="K28" s="251"/>
      <c r="L28" s="251"/>
      <c r="M28" s="251"/>
      <c r="N28" s="251"/>
      <c r="O28" s="251"/>
      <c r="P28" s="18"/>
    </row>
    <row r="29">
      <c r="A29" s="213">
        <v>8.0</v>
      </c>
      <c r="B29" s="273" t="s">
        <v>983</v>
      </c>
      <c r="C29" s="397"/>
      <c r="D29" s="213">
        <v>44000.0</v>
      </c>
      <c r="E29" s="213">
        <v>44000.0</v>
      </c>
      <c r="F29" s="213">
        <v>44000.0</v>
      </c>
      <c r="G29" s="213">
        <v>44000.0</v>
      </c>
      <c r="H29" s="213">
        <v>44000.0</v>
      </c>
      <c r="I29" s="213">
        <v>44000.0</v>
      </c>
      <c r="J29" s="213">
        <v>44000.0</v>
      </c>
      <c r="K29" s="213">
        <v>44000.0</v>
      </c>
      <c r="L29" s="213">
        <v>44000.0</v>
      </c>
      <c r="M29" s="251"/>
      <c r="N29" s="251"/>
      <c r="O29" s="251"/>
      <c r="P29" s="18"/>
    </row>
    <row r="30">
      <c r="A30" s="251"/>
      <c r="B30" s="397"/>
      <c r="C30" s="403" t="s">
        <v>984</v>
      </c>
      <c r="D30" s="405" t="str">
        <f t="shared" ref="D30:L30" si="2">SUM(D9:D29)</f>
        <v>391086</v>
      </c>
      <c r="E30" s="405" t="str">
        <f t="shared" si="2"/>
        <v>396780</v>
      </c>
      <c r="F30" s="405" t="str">
        <f t="shared" si="2"/>
        <v>399423</v>
      </c>
      <c r="G30" s="405" t="str">
        <f t="shared" si="2"/>
        <v>399689</v>
      </c>
      <c r="H30" s="405" t="str">
        <f t="shared" si="2"/>
        <v>394300</v>
      </c>
      <c r="I30" s="405" t="str">
        <f t="shared" si="2"/>
        <v>400112</v>
      </c>
      <c r="J30" s="405" t="str">
        <f t="shared" si="2"/>
        <v>414915</v>
      </c>
      <c r="K30" s="405" t="str">
        <f t="shared" si="2"/>
        <v>412145</v>
      </c>
      <c r="L30" s="405" t="str">
        <f t="shared" si="2"/>
        <v>413929</v>
      </c>
      <c r="M30" s="251"/>
      <c r="N30" s="251"/>
      <c r="O30" s="251"/>
      <c r="P30" s="18"/>
    </row>
    <row r="31">
      <c r="A31" s="251"/>
      <c r="B31" s="397"/>
      <c r="C31" s="397"/>
      <c r="D31" s="251"/>
      <c r="E31" s="251"/>
      <c r="F31" s="251"/>
      <c r="G31" s="251"/>
      <c r="H31" s="251"/>
      <c r="I31" s="251"/>
      <c r="J31" s="251"/>
      <c r="K31" s="251"/>
      <c r="L31" s="251"/>
      <c r="M31" s="251"/>
      <c r="N31" s="251"/>
      <c r="O31" s="251"/>
      <c r="P31" s="18"/>
    </row>
    <row r="32">
      <c r="A32" s="213">
        <v>9.0</v>
      </c>
      <c r="B32" s="408" t="s">
        <v>1007</v>
      </c>
      <c r="C32" s="397"/>
      <c r="D32" s="405" t="str">
        <f t="shared" ref="D32:L32" si="3">D30*20%</f>
        <v>78217.2</v>
      </c>
      <c r="E32" s="405" t="str">
        <f t="shared" si="3"/>
        <v>79356</v>
      </c>
      <c r="F32" s="405" t="str">
        <f t="shared" si="3"/>
        <v>79884.6</v>
      </c>
      <c r="G32" s="405" t="str">
        <f t="shared" si="3"/>
        <v>79937.8</v>
      </c>
      <c r="H32" s="405" t="str">
        <f t="shared" si="3"/>
        <v>78860</v>
      </c>
      <c r="I32" s="405" t="str">
        <f t="shared" si="3"/>
        <v>80022.4</v>
      </c>
      <c r="J32" s="405" t="str">
        <f t="shared" si="3"/>
        <v>82983</v>
      </c>
      <c r="K32" s="405" t="str">
        <f t="shared" si="3"/>
        <v>82429</v>
      </c>
      <c r="L32" s="405" t="str">
        <f t="shared" si="3"/>
        <v>82785.8</v>
      </c>
      <c r="M32" s="251"/>
      <c r="N32" s="251"/>
      <c r="O32" s="251"/>
      <c r="P32" s="18"/>
    </row>
    <row r="33">
      <c r="A33" s="251"/>
      <c r="B33" s="397"/>
      <c r="C33" s="397"/>
      <c r="D33" s="251"/>
      <c r="E33" s="251"/>
      <c r="F33" s="251"/>
      <c r="G33" s="251"/>
      <c r="H33" s="251"/>
      <c r="I33" s="251"/>
      <c r="J33" s="251"/>
      <c r="K33" s="251"/>
      <c r="L33" s="251"/>
      <c r="M33" s="251"/>
      <c r="N33" s="251"/>
      <c r="O33" s="251"/>
      <c r="P33" s="18"/>
    </row>
    <row r="34">
      <c r="A34" s="213">
        <v>10.0</v>
      </c>
      <c r="B34" s="408" t="s">
        <v>1009</v>
      </c>
      <c r="C34" s="397"/>
      <c r="D34" s="213">
        <v>19608.0</v>
      </c>
      <c r="E34" s="213">
        <v>51406.0</v>
      </c>
      <c r="F34" s="213">
        <v>48996.0</v>
      </c>
      <c r="G34" s="213">
        <v>60532.0</v>
      </c>
      <c r="H34" s="213">
        <v>58878.0</v>
      </c>
      <c r="I34" s="213">
        <v>52937.0</v>
      </c>
      <c r="J34" s="213">
        <v>21448.0</v>
      </c>
      <c r="K34" s="213">
        <v>27947.0</v>
      </c>
      <c r="L34" s="213">
        <v>30000.0</v>
      </c>
      <c r="M34" s="251"/>
      <c r="N34" s="251"/>
      <c r="O34" s="251"/>
      <c r="P34" s="18"/>
    </row>
    <row r="35">
      <c r="A35" s="251"/>
      <c r="B35" s="397"/>
      <c r="C35" s="397"/>
      <c r="D35" s="251"/>
      <c r="E35" s="251"/>
      <c r="F35" s="251"/>
      <c r="G35" s="251"/>
      <c r="H35" s="251"/>
      <c r="I35" s="251"/>
      <c r="J35" s="251"/>
      <c r="K35" s="251"/>
      <c r="L35" s="251"/>
      <c r="M35" s="251"/>
      <c r="N35" s="251"/>
      <c r="O35" s="251"/>
      <c r="P35" s="18"/>
    </row>
    <row r="36">
      <c r="A36" s="213">
        <v>11.0</v>
      </c>
      <c r="B36" s="273" t="s">
        <v>1011</v>
      </c>
      <c r="C36" s="397"/>
      <c r="D36" s="213">
        <v>2723621.0</v>
      </c>
      <c r="E36" s="213">
        <v>1472518.0</v>
      </c>
      <c r="F36" s="213">
        <v>1147121.0</v>
      </c>
      <c r="G36" s="213">
        <v>585316.4</v>
      </c>
      <c r="H36" s="213">
        <v>1155546.4</v>
      </c>
      <c r="I36" s="213">
        <v>474957.0</v>
      </c>
      <c r="J36" s="213">
        <v>2075817.0</v>
      </c>
      <c r="K36" s="213">
        <v>456902.0</v>
      </c>
      <c r="L36" s="213">
        <v>700000.0</v>
      </c>
      <c r="M36" s="251"/>
      <c r="N36" s="251"/>
      <c r="O36" s="251"/>
      <c r="P36" s="18"/>
    </row>
    <row r="37">
      <c r="A37" s="251"/>
      <c r="B37" s="397"/>
      <c r="C37" s="397"/>
      <c r="D37" s="251"/>
      <c r="E37" s="251"/>
      <c r="F37" s="251"/>
      <c r="G37" s="251"/>
      <c r="H37" s="251"/>
      <c r="I37" s="251"/>
      <c r="J37" s="251"/>
      <c r="K37" s="251"/>
      <c r="L37" s="251"/>
      <c r="M37" s="251"/>
      <c r="N37" s="251"/>
      <c r="O37" s="251"/>
      <c r="P37" s="18"/>
    </row>
    <row r="38">
      <c r="A38" s="213">
        <v>12.0</v>
      </c>
      <c r="B38" s="408" t="s">
        <v>1015</v>
      </c>
      <c r="C38" s="397"/>
      <c r="D38" s="398" t="str">
        <f t="shared" ref="D38:K38" si="4">D36*20%</f>
        <v>544724.2</v>
      </c>
      <c r="E38" s="398" t="str">
        <f t="shared" si="4"/>
        <v>294503.6</v>
      </c>
      <c r="F38" s="398" t="str">
        <f t="shared" si="4"/>
        <v>229424.2</v>
      </c>
      <c r="G38" s="398" t="str">
        <f t="shared" si="4"/>
        <v>117063.28</v>
      </c>
      <c r="H38" s="398" t="str">
        <f t="shared" si="4"/>
        <v>231109.28</v>
      </c>
      <c r="I38" s="398" t="str">
        <f t="shared" si="4"/>
        <v>94991.4</v>
      </c>
      <c r="J38" s="398" t="str">
        <f t="shared" si="4"/>
        <v>415163.4</v>
      </c>
      <c r="K38" s="398" t="str">
        <f t="shared" si="4"/>
        <v>91380.4</v>
      </c>
      <c r="L38" s="213">
        <v>0.0</v>
      </c>
      <c r="M38" s="251"/>
      <c r="N38" s="251"/>
      <c r="O38" s="251"/>
      <c r="P38" s="18"/>
    </row>
    <row r="39">
      <c r="A39" s="251"/>
      <c r="B39" s="397"/>
      <c r="C39" s="397"/>
      <c r="D39" s="251"/>
      <c r="E39" s="251"/>
      <c r="F39" s="251"/>
      <c r="G39" s="251"/>
      <c r="H39" s="251"/>
      <c r="I39" s="251"/>
      <c r="J39" s="251"/>
      <c r="K39" s="251"/>
      <c r="L39" s="251"/>
      <c r="M39" s="251"/>
      <c r="N39" s="251"/>
      <c r="O39" s="251"/>
      <c r="P39" s="18"/>
    </row>
    <row r="40">
      <c r="A40" s="213">
        <v>13.0</v>
      </c>
      <c r="B40" s="273" t="s">
        <v>1020</v>
      </c>
      <c r="C40" s="257" t="s">
        <v>1021</v>
      </c>
      <c r="D40" s="213">
        <v>7500.0</v>
      </c>
      <c r="E40" s="213">
        <v>7500.0</v>
      </c>
      <c r="F40" s="213">
        <v>7500.0</v>
      </c>
      <c r="G40" s="213">
        <v>7500.0</v>
      </c>
      <c r="H40" s="213">
        <v>7500.0</v>
      </c>
      <c r="I40" s="213">
        <v>7500.0</v>
      </c>
      <c r="J40" s="213">
        <v>7500.0</v>
      </c>
      <c r="K40" s="213">
        <v>7500.0</v>
      </c>
      <c r="L40" s="213">
        <v>7500.0</v>
      </c>
      <c r="M40" s="251"/>
      <c r="N40" s="251"/>
      <c r="O40" s="251"/>
      <c r="P40" s="18"/>
    </row>
    <row r="41">
      <c r="A41" s="251"/>
      <c r="B41" s="397"/>
      <c r="C41" s="257" t="s">
        <v>1026</v>
      </c>
      <c r="D41" s="213">
        <v>3166.66</v>
      </c>
      <c r="E41" s="213">
        <v>3166.66</v>
      </c>
      <c r="F41" s="213">
        <v>3166.66</v>
      </c>
      <c r="G41" s="213">
        <v>3166.66</v>
      </c>
      <c r="H41" s="213">
        <v>3166.66</v>
      </c>
      <c r="I41" s="213">
        <v>3166.66</v>
      </c>
      <c r="J41" s="213">
        <v>3166.66</v>
      </c>
      <c r="K41" s="213">
        <v>3166.66</v>
      </c>
      <c r="L41" s="213">
        <v>3166.66</v>
      </c>
      <c r="M41" s="251"/>
      <c r="N41" s="251"/>
      <c r="O41" s="251"/>
      <c r="P41" s="18"/>
    </row>
    <row r="42">
      <c r="A42" s="396"/>
      <c r="B42" s="397"/>
      <c r="C42" s="257" t="s">
        <v>1026</v>
      </c>
      <c r="D42" s="213">
        <v>1500.0</v>
      </c>
      <c r="E42" s="213">
        <v>1500.0</v>
      </c>
      <c r="F42" s="213">
        <v>1500.0</v>
      </c>
      <c r="G42" s="213">
        <v>1500.0</v>
      </c>
      <c r="H42" s="213">
        <v>1500.0</v>
      </c>
      <c r="I42" s="213">
        <v>1500.0</v>
      </c>
      <c r="J42" s="213">
        <v>1500.0</v>
      </c>
      <c r="K42" s="213">
        <v>1500.0</v>
      </c>
      <c r="L42" s="213">
        <v>1500.0</v>
      </c>
      <c r="M42" s="251"/>
      <c r="N42" s="251"/>
      <c r="O42" s="251"/>
      <c r="P42" s="18"/>
    </row>
    <row r="43">
      <c r="A43" s="251"/>
      <c r="B43" s="397"/>
      <c r="C43" s="273" t="s">
        <v>537</v>
      </c>
      <c r="D43" s="213">
        <v>13333.33</v>
      </c>
      <c r="E43" s="213">
        <v>13333.33</v>
      </c>
      <c r="F43" s="213">
        <v>13333.33</v>
      </c>
      <c r="G43" s="213">
        <v>13333.33</v>
      </c>
      <c r="H43" s="213">
        <v>13333.33</v>
      </c>
      <c r="I43" s="213">
        <v>13333.33</v>
      </c>
      <c r="J43" s="213">
        <v>13333.33</v>
      </c>
      <c r="K43" s="213">
        <v>13333.33</v>
      </c>
      <c r="L43" s="213">
        <v>13333.33</v>
      </c>
      <c r="M43" s="251"/>
      <c r="N43" s="251"/>
      <c r="O43" s="251"/>
      <c r="P43" s="18"/>
    </row>
    <row r="44">
      <c r="A44" s="251"/>
      <c r="B44" s="397"/>
      <c r="C44" s="273" t="s">
        <v>1035</v>
      </c>
      <c r="D44" s="213">
        <v>8750.0</v>
      </c>
      <c r="E44" s="213">
        <v>8750.0</v>
      </c>
      <c r="F44" s="213">
        <v>8750.0</v>
      </c>
      <c r="G44" s="213">
        <v>8750.0</v>
      </c>
      <c r="H44" s="213">
        <v>8750.0</v>
      </c>
      <c r="I44" s="213">
        <v>8750.0</v>
      </c>
      <c r="J44" s="213">
        <v>8750.0</v>
      </c>
      <c r="K44" s="213">
        <v>8750.0</v>
      </c>
      <c r="L44" s="213">
        <v>8750.0</v>
      </c>
      <c r="M44" s="251"/>
      <c r="N44" s="251"/>
      <c r="O44" s="251"/>
      <c r="P44" s="18"/>
    </row>
    <row r="45">
      <c r="A45" s="251"/>
      <c r="B45" s="397"/>
      <c r="C45" s="273" t="s">
        <v>1039</v>
      </c>
      <c r="D45" s="257">
        <v>0.0</v>
      </c>
      <c r="E45" s="257">
        <v>0.0</v>
      </c>
      <c r="F45" s="257">
        <v>0.0</v>
      </c>
      <c r="G45" s="257">
        <v>0.0</v>
      </c>
      <c r="H45" s="257">
        <v>0.0</v>
      </c>
      <c r="I45" s="257">
        <v>0.0</v>
      </c>
      <c r="J45" s="257">
        <v>0.0</v>
      </c>
      <c r="K45" s="257">
        <v>0.0</v>
      </c>
      <c r="L45" s="257">
        <v>0.0</v>
      </c>
      <c r="M45" s="396"/>
      <c r="N45" s="396"/>
      <c r="O45" s="396"/>
      <c r="P45" s="18"/>
    </row>
    <row r="46">
      <c r="A46" s="251"/>
      <c r="B46" s="396"/>
      <c r="C46" s="273" t="s">
        <v>1041</v>
      </c>
      <c r="D46" s="257">
        <v>4906.66</v>
      </c>
      <c r="E46" s="257">
        <v>4906.66</v>
      </c>
      <c r="F46" s="257">
        <v>4906.66</v>
      </c>
      <c r="G46" s="257">
        <v>4906.66</v>
      </c>
      <c r="H46" s="257">
        <v>4906.66</v>
      </c>
      <c r="I46" s="257">
        <v>4906.66</v>
      </c>
      <c r="J46" s="257">
        <v>4906.66</v>
      </c>
      <c r="K46" s="257">
        <v>4906.66</v>
      </c>
      <c r="L46" s="257">
        <v>4906.66</v>
      </c>
      <c r="M46" s="396"/>
      <c r="N46" s="396"/>
      <c r="O46" s="396"/>
      <c r="P46" s="18"/>
    </row>
    <row r="47">
      <c r="A47" s="251"/>
      <c r="B47" s="396"/>
      <c r="C47" s="403" t="s">
        <v>984</v>
      </c>
      <c r="D47" s="419" t="str">
        <f t="shared" ref="D47:L47" si="5">SUM(D40:D46)</f>
        <v>39156.65</v>
      </c>
      <c r="E47" s="419" t="str">
        <f t="shared" si="5"/>
        <v>39156.65</v>
      </c>
      <c r="F47" s="419" t="str">
        <f t="shared" si="5"/>
        <v>39156.65</v>
      </c>
      <c r="G47" s="419" t="str">
        <f t="shared" si="5"/>
        <v>39156.65</v>
      </c>
      <c r="H47" s="419" t="str">
        <f t="shared" si="5"/>
        <v>39156.65</v>
      </c>
      <c r="I47" s="419" t="str">
        <f t="shared" si="5"/>
        <v>39156.65</v>
      </c>
      <c r="J47" s="419" t="str">
        <f t="shared" si="5"/>
        <v>39156.65</v>
      </c>
      <c r="K47" s="419" t="str">
        <f t="shared" si="5"/>
        <v>39156.65</v>
      </c>
      <c r="L47" s="419" t="str">
        <f t="shared" si="5"/>
        <v>39156.65</v>
      </c>
      <c r="M47" s="396"/>
      <c r="N47" s="396"/>
      <c r="O47" s="396"/>
      <c r="P47" s="18"/>
    </row>
    <row r="48">
      <c r="A48" s="251"/>
      <c r="B48" s="396"/>
      <c r="C48" s="396"/>
      <c r="D48" s="396"/>
      <c r="E48" s="396"/>
      <c r="F48" s="396"/>
      <c r="G48" s="396"/>
      <c r="H48" s="396"/>
      <c r="I48" s="396"/>
      <c r="J48" s="396"/>
      <c r="K48" s="396"/>
      <c r="L48" s="396"/>
      <c r="M48" s="396"/>
      <c r="N48" s="396"/>
      <c r="O48" s="396"/>
      <c r="P48" s="18"/>
    </row>
    <row r="49">
      <c r="A49" s="213">
        <v>14.0</v>
      </c>
      <c r="B49" s="257" t="s">
        <v>325</v>
      </c>
      <c r="C49" s="273" t="s">
        <v>1056</v>
      </c>
      <c r="D49" s="396"/>
      <c r="E49" s="396"/>
      <c r="F49" s="396"/>
      <c r="G49" s="396"/>
      <c r="H49" s="396"/>
      <c r="I49" s="396"/>
      <c r="J49" s="396"/>
      <c r="K49" s="396"/>
      <c r="L49" s="396"/>
      <c r="M49" s="396"/>
      <c r="N49" s="396"/>
      <c r="O49" s="396"/>
      <c r="P49" s="18"/>
    </row>
    <row r="50">
      <c r="A50" s="251"/>
      <c r="B50" s="396"/>
      <c r="C50" s="273" t="s">
        <v>1060</v>
      </c>
      <c r="D50" s="396"/>
      <c r="E50" s="396"/>
      <c r="F50" s="396"/>
      <c r="G50" s="396"/>
      <c r="H50" s="396"/>
      <c r="I50" s="396"/>
      <c r="J50" s="396"/>
      <c r="K50" s="396"/>
      <c r="L50" s="396"/>
      <c r="M50" s="396"/>
      <c r="N50" s="396"/>
      <c r="O50" s="396"/>
      <c r="P50" s="18"/>
    </row>
    <row r="51">
      <c r="A51" s="251"/>
      <c r="B51" s="396"/>
      <c r="C51" s="273" t="s">
        <v>1061</v>
      </c>
      <c r="D51" s="396"/>
      <c r="E51" s="396"/>
      <c r="F51" s="396"/>
      <c r="G51" s="396"/>
      <c r="H51" s="396"/>
      <c r="I51" s="396"/>
      <c r="J51" s="396"/>
      <c r="K51" s="396"/>
      <c r="L51" s="396"/>
      <c r="M51" s="396"/>
      <c r="N51" s="396"/>
      <c r="O51" s="396"/>
      <c r="P51" s="18"/>
    </row>
    <row r="52">
      <c r="A52" s="251"/>
      <c r="B52" s="396"/>
      <c r="C52" s="403" t="s">
        <v>984</v>
      </c>
      <c r="D52" s="257">
        <v>6712.0</v>
      </c>
      <c r="E52" s="257">
        <v>6712.0</v>
      </c>
      <c r="F52" s="257">
        <v>6712.0</v>
      </c>
      <c r="G52" s="257">
        <v>6712.0</v>
      </c>
      <c r="H52" s="257">
        <v>6712.0</v>
      </c>
      <c r="I52" s="257">
        <v>6712.0</v>
      </c>
      <c r="J52" s="257">
        <v>6712.0</v>
      </c>
      <c r="K52" s="257">
        <v>6712.0</v>
      </c>
      <c r="L52" s="257">
        <v>6712.0</v>
      </c>
      <c r="M52" s="396"/>
      <c r="N52" s="396"/>
      <c r="O52" s="396"/>
      <c r="P52" s="18"/>
    </row>
    <row r="53">
      <c r="A53" s="251"/>
      <c r="B53" s="396"/>
      <c r="C53" s="396"/>
      <c r="D53" s="396"/>
      <c r="E53" s="396"/>
      <c r="F53" s="396"/>
      <c r="G53" s="396"/>
      <c r="H53" s="396"/>
      <c r="I53" s="396"/>
      <c r="J53" s="396"/>
      <c r="K53" s="396"/>
      <c r="L53" s="396"/>
      <c r="M53" s="396"/>
      <c r="N53" s="396"/>
      <c r="O53" s="396"/>
      <c r="P53" s="18"/>
    </row>
    <row r="54">
      <c r="A54" s="213">
        <v>15.0</v>
      </c>
      <c r="B54" s="257" t="s">
        <v>401</v>
      </c>
      <c r="C54" s="273" t="s">
        <v>1065</v>
      </c>
      <c r="D54" s="257">
        <v>178372.0</v>
      </c>
      <c r="E54" s="257">
        <v>178372.0</v>
      </c>
      <c r="F54" s="257">
        <v>178372.0</v>
      </c>
      <c r="G54" s="257">
        <v>178372.0</v>
      </c>
      <c r="H54" s="257">
        <v>178372.0</v>
      </c>
      <c r="I54" s="257">
        <v>178372.0</v>
      </c>
      <c r="J54" s="257">
        <v>178372.0</v>
      </c>
      <c r="K54" s="257">
        <v>178372.0</v>
      </c>
      <c r="L54" s="257">
        <v>178372.0</v>
      </c>
      <c r="M54" s="396"/>
      <c r="N54" s="396"/>
      <c r="O54" s="396"/>
      <c r="P54" s="18"/>
    </row>
    <row r="55">
      <c r="A55" s="251"/>
      <c r="B55" s="396"/>
      <c r="C55" s="273" t="s">
        <v>1069</v>
      </c>
      <c r="D55" s="257">
        <v>14167.0</v>
      </c>
      <c r="E55" s="257">
        <v>14167.0</v>
      </c>
      <c r="F55" s="257">
        <v>14167.0</v>
      </c>
      <c r="G55" s="257">
        <v>14167.0</v>
      </c>
      <c r="H55" s="257">
        <v>14167.0</v>
      </c>
      <c r="I55" s="257">
        <v>14167.0</v>
      </c>
      <c r="J55" s="257">
        <v>14167.0</v>
      </c>
      <c r="K55" s="257">
        <v>14167.0</v>
      </c>
      <c r="L55" s="257">
        <v>14167.0</v>
      </c>
      <c r="M55" s="396"/>
      <c r="N55" s="396"/>
      <c r="O55" s="396"/>
      <c r="P55" s="18"/>
    </row>
    <row r="56">
      <c r="A56" s="251"/>
      <c r="B56" s="396"/>
      <c r="C56" s="273" t="s">
        <v>537</v>
      </c>
      <c r="D56" s="257">
        <v>25925.41</v>
      </c>
      <c r="E56" s="257">
        <v>25925.41</v>
      </c>
      <c r="F56" s="257">
        <v>25925.41</v>
      </c>
      <c r="G56" s="257">
        <v>25925.41</v>
      </c>
      <c r="H56" s="257">
        <v>25925.41</v>
      </c>
      <c r="I56" s="257">
        <v>25925.41</v>
      </c>
      <c r="J56" s="257">
        <v>25925.41</v>
      </c>
      <c r="K56" s="257">
        <v>25925.41</v>
      </c>
      <c r="L56" s="257">
        <v>25925.41</v>
      </c>
      <c r="M56" s="396"/>
      <c r="N56" s="396"/>
      <c r="O56" s="396"/>
      <c r="P56" s="18"/>
    </row>
    <row r="57">
      <c r="A57" s="251"/>
      <c r="B57" s="396"/>
      <c r="C57" s="273" t="s">
        <v>1071</v>
      </c>
      <c r="D57" s="257">
        <v>7547.83</v>
      </c>
      <c r="E57" s="257">
        <v>7547.83</v>
      </c>
      <c r="F57" s="257">
        <v>7547.83</v>
      </c>
      <c r="G57" s="257">
        <v>7547.83</v>
      </c>
      <c r="H57" s="257">
        <v>7547.83</v>
      </c>
      <c r="I57" s="257">
        <v>7547.83</v>
      </c>
      <c r="J57" s="257">
        <v>7547.83</v>
      </c>
      <c r="K57" s="257">
        <v>7547.83</v>
      </c>
      <c r="L57" s="257">
        <v>7547.83</v>
      </c>
      <c r="M57" s="396"/>
      <c r="N57" s="396"/>
      <c r="O57" s="396"/>
      <c r="P57" s="18"/>
    </row>
    <row r="58">
      <c r="A58" s="251"/>
      <c r="B58" s="396"/>
      <c r="C58" s="273" t="s">
        <v>1075</v>
      </c>
      <c r="D58" s="257">
        <v>58550.0</v>
      </c>
      <c r="E58" s="257">
        <v>58550.0</v>
      </c>
      <c r="F58" s="257">
        <v>58550.0</v>
      </c>
      <c r="G58" s="257">
        <v>58550.0</v>
      </c>
      <c r="H58" s="257">
        <v>58550.0</v>
      </c>
      <c r="I58" s="257">
        <v>58550.0</v>
      </c>
      <c r="J58" s="257">
        <v>58550.0</v>
      </c>
      <c r="K58" s="257">
        <v>58550.0</v>
      </c>
      <c r="L58" s="257">
        <v>58550.0</v>
      </c>
      <c r="M58" s="396"/>
      <c r="N58" s="396"/>
      <c r="O58" s="396"/>
      <c r="P58" s="18"/>
    </row>
    <row r="59">
      <c r="A59" s="251"/>
      <c r="B59" s="396"/>
      <c r="C59" s="273" t="s">
        <v>1076</v>
      </c>
      <c r="D59" s="257">
        <v>8333.33</v>
      </c>
      <c r="E59" s="257">
        <v>8333.33</v>
      </c>
      <c r="F59" s="257">
        <v>8333.33</v>
      </c>
      <c r="G59" s="257">
        <v>8333.33</v>
      </c>
      <c r="H59" s="257">
        <v>8333.33</v>
      </c>
      <c r="I59" s="257">
        <v>8333.33</v>
      </c>
      <c r="J59" s="257">
        <v>8333.33</v>
      </c>
      <c r="K59" s="257">
        <v>8333.33</v>
      </c>
      <c r="L59" s="257">
        <v>8333.33</v>
      </c>
      <c r="M59" s="396"/>
      <c r="N59" s="396"/>
      <c r="O59" s="396"/>
      <c r="P59" s="18"/>
    </row>
    <row r="60">
      <c r="A60" s="251"/>
      <c r="B60" s="396"/>
      <c r="C60" s="403" t="s">
        <v>984</v>
      </c>
      <c r="D60" s="426" t="str">
        <f t="shared" ref="D60:L60" si="6">SUM(D54:D59)</f>
        <v>292895.57</v>
      </c>
      <c r="E60" s="426" t="str">
        <f t="shared" si="6"/>
        <v>292895.57</v>
      </c>
      <c r="F60" s="426" t="str">
        <f t="shared" si="6"/>
        <v>292895.57</v>
      </c>
      <c r="G60" s="426" t="str">
        <f t="shared" si="6"/>
        <v>292895.57</v>
      </c>
      <c r="H60" s="426" t="str">
        <f t="shared" si="6"/>
        <v>292895.57</v>
      </c>
      <c r="I60" s="426" t="str">
        <f t="shared" si="6"/>
        <v>292895.57</v>
      </c>
      <c r="J60" s="426" t="str">
        <f t="shared" si="6"/>
        <v>292895.57</v>
      </c>
      <c r="K60" s="426" t="str">
        <f t="shared" si="6"/>
        <v>292895.57</v>
      </c>
      <c r="L60" s="426" t="str">
        <f t="shared" si="6"/>
        <v>292895.57</v>
      </c>
      <c r="M60" s="396"/>
      <c r="N60" s="396"/>
      <c r="O60" s="396"/>
      <c r="P60" s="18"/>
    </row>
    <row r="61">
      <c r="A61" s="251"/>
      <c r="B61" s="396"/>
      <c r="C61" s="397"/>
      <c r="D61" s="396"/>
      <c r="E61" s="396"/>
      <c r="F61" s="396"/>
      <c r="G61" s="396"/>
      <c r="H61" s="396"/>
      <c r="I61" s="396"/>
      <c r="J61" s="396"/>
      <c r="K61" s="396"/>
      <c r="L61" s="396"/>
      <c r="M61" s="396"/>
      <c r="N61" s="396"/>
      <c r="O61" s="396"/>
      <c r="P61" s="18"/>
    </row>
    <row r="62">
      <c r="A62" s="213">
        <v>16.0</v>
      </c>
      <c r="B62" s="257" t="s">
        <v>1089</v>
      </c>
      <c r="C62" s="396"/>
      <c r="D62" s="257">
        <v>4935.0</v>
      </c>
      <c r="E62" s="257">
        <v>4935.0</v>
      </c>
      <c r="F62" s="257">
        <v>4935.0</v>
      </c>
      <c r="G62" s="257">
        <v>4935.0</v>
      </c>
      <c r="H62" s="257">
        <v>4935.0</v>
      </c>
      <c r="I62" s="257">
        <v>4935.0</v>
      </c>
      <c r="J62" s="257">
        <v>4935.0</v>
      </c>
      <c r="K62" s="257">
        <v>4935.0</v>
      </c>
      <c r="L62" s="257">
        <v>4935.0</v>
      </c>
      <c r="M62" s="396"/>
      <c r="N62" s="396"/>
      <c r="O62" s="396"/>
      <c r="P62" s="18"/>
    </row>
    <row r="63">
      <c r="A63" s="251"/>
      <c r="B63" s="396"/>
      <c r="C63" s="396"/>
      <c r="D63" s="396"/>
      <c r="E63" s="396"/>
      <c r="F63" s="396"/>
      <c r="G63" s="396"/>
      <c r="H63" s="396"/>
      <c r="I63" s="396"/>
      <c r="J63" s="396"/>
      <c r="K63" s="396"/>
      <c r="L63" s="396"/>
      <c r="M63" s="396"/>
      <c r="N63" s="396"/>
      <c r="O63" s="396"/>
      <c r="P63" s="18"/>
    </row>
    <row r="64">
      <c r="A64" s="213">
        <v>17.0</v>
      </c>
      <c r="B64" s="257" t="s">
        <v>1092</v>
      </c>
      <c r="C64" s="396"/>
      <c r="D64" s="257">
        <v>8949.0</v>
      </c>
      <c r="E64" s="257">
        <v>10987.0</v>
      </c>
      <c r="F64" s="257">
        <v>10018.0</v>
      </c>
      <c r="G64" s="257">
        <v>13141.0</v>
      </c>
      <c r="H64" s="257">
        <v>10775.0</v>
      </c>
      <c r="I64" s="257">
        <v>8672.0</v>
      </c>
      <c r="J64" s="257">
        <v>16216.0</v>
      </c>
      <c r="K64" s="257">
        <v>15530.0</v>
      </c>
      <c r="L64" s="257">
        <v>18000.0</v>
      </c>
      <c r="M64" s="396"/>
      <c r="N64" s="396"/>
      <c r="O64" s="396"/>
      <c r="P64" s="18"/>
    </row>
    <row r="65">
      <c r="A65" s="251"/>
      <c r="B65" s="396"/>
      <c r="C65" s="396"/>
      <c r="D65" s="396"/>
      <c r="E65" s="396"/>
      <c r="F65" s="396"/>
      <c r="G65" s="396"/>
      <c r="H65" s="396"/>
      <c r="I65" s="396"/>
      <c r="J65" s="396"/>
      <c r="K65" s="396"/>
      <c r="L65" s="396"/>
      <c r="M65" s="396"/>
      <c r="N65" s="396"/>
      <c r="O65" s="396"/>
      <c r="P65" s="18"/>
    </row>
    <row r="66">
      <c r="A66" s="251"/>
      <c r="B66" s="396"/>
      <c r="C66" s="396"/>
      <c r="D66" s="396"/>
      <c r="E66" s="396"/>
      <c r="F66" s="396"/>
      <c r="G66" s="396"/>
      <c r="H66" s="396"/>
      <c r="I66" s="396"/>
      <c r="J66" s="396"/>
      <c r="K66" s="396"/>
      <c r="L66" s="396"/>
      <c r="M66" s="396"/>
      <c r="N66" s="396"/>
      <c r="O66" s="396"/>
      <c r="P66" s="18"/>
    </row>
    <row r="67">
      <c r="A67" s="213">
        <v>18.0</v>
      </c>
      <c r="B67" s="257" t="s">
        <v>1095</v>
      </c>
      <c r="C67" s="396"/>
      <c r="D67" s="257">
        <v>109747.0</v>
      </c>
      <c r="E67" s="257">
        <v>0.0</v>
      </c>
      <c r="F67" s="257">
        <v>122193.0</v>
      </c>
      <c r="G67" s="257">
        <v>3680.0</v>
      </c>
      <c r="H67" s="257">
        <v>121965.0</v>
      </c>
      <c r="I67" s="257">
        <v>41164.0</v>
      </c>
      <c r="J67" s="257">
        <v>0.0</v>
      </c>
      <c r="K67" s="257">
        <v>130356.0</v>
      </c>
      <c r="L67" s="257">
        <v>20000.0</v>
      </c>
      <c r="M67" s="396"/>
      <c r="N67" s="396"/>
      <c r="O67" s="396"/>
      <c r="P67" s="18"/>
    </row>
    <row r="68">
      <c r="A68" s="251"/>
      <c r="B68" s="396"/>
      <c r="C68" s="396"/>
      <c r="D68" s="396"/>
      <c r="E68" s="396"/>
      <c r="F68" s="396"/>
      <c r="G68" s="396"/>
      <c r="H68" s="396"/>
      <c r="I68" s="396"/>
      <c r="J68" s="396"/>
      <c r="K68" s="396"/>
      <c r="L68" s="396"/>
      <c r="M68" s="396"/>
      <c r="N68" s="396"/>
      <c r="O68" s="396"/>
      <c r="P68" s="18"/>
    </row>
    <row r="69">
      <c r="A69" s="251"/>
      <c r="B69" s="396"/>
      <c r="C69" s="396"/>
      <c r="D69" s="396"/>
      <c r="E69" s="396"/>
      <c r="F69" s="396"/>
      <c r="G69" s="396"/>
      <c r="H69" s="396"/>
      <c r="I69" s="396"/>
      <c r="J69" s="396"/>
      <c r="K69" s="396"/>
      <c r="L69" s="396"/>
      <c r="M69" s="396"/>
      <c r="N69" s="396"/>
      <c r="O69" s="396"/>
      <c r="P69" s="18"/>
    </row>
    <row r="70">
      <c r="A70" s="213">
        <v>19.0</v>
      </c>
      <c r="B70" s="257" t="s">
        <v>1099</v>
      </c>
      <c r="C70" s="396"/>
      <c r="D70" s="257">
        <v>0.0</v>
      </c>
      <c r="E70" s="257">
        <v>0.0</v>
      </c>
      <c r="F70" s="257">
        <v>0.0</v>
      </c>
      <c r="G70" s="257">
        <v>10000.0</v>
      </c>
      <c r="H70" s="257">
        <v>10000.0</v>
      </c>
      <c r="I70" s="257">
        <v>10000.0</v>
      </c>
      <c r="J70" s="257">
        <v>13575.0</v>
      </c>
      <c r="K70" s="257">
        <v>13575.0</v>
      </c>
      <c r="L70" s="257">
        <v>13575.0</v>
      </c>
      <c r="M70" s="396"/>
      <c r="N70" s="396"/>
      <c r="O70" s="396"/>
      <c r="P70" s="18"/>
    </row>
    <row r="71">
      <c r="A71" s="251"/>
      <c r="B71" s="396"/>
      <c r="C71" s="396"/>
      <c r="D71" s="396"/>
      <c r="E71" s="396"/>
      <c r="F71" s="396"/>
      <c r="G71" s="396"/>
      <c r="H71" s="396"/>
      <c r="I71" s="396"/>
      <c r="J71" s="396"/>
      <c r="K71" s="396"/>
      <c r="L71" s="396"/>
      <c r="M71" s="396"/>
      <c r="N71" s="396"/>
      <c r="O71" s="396"/>
      <c r="P71" s="18"/>
    </row>
    <row r="72">
      <c r="A72" s="251"/>
      <c r="B72" s="396"/>
      <c r="C72" s="396"/>
      <c r="D72" s="396"/>
      <c r="E72" s="396"/>
      <c r="F72" s="396"/>
      <c r="G72" s="396"/>
      <c r="H72" s="396"/>
      <c r="I72" s="396"/>
      <c r="J72" s="396"/>
      <c r="K72" s="396"/>
      <c r="L72" s="396"/>
      <c r="M72" s="396"/>
      <c r="N72" s="396"/>
      <c r="O72" s="396"/>
      <c r="P72" s="18"/>
    </row>
    <row r="73">
      <c r="A73" s="213">
        <v>20.0</v>
      </c>
      <c r="B73" s="257" t="s">
        <v>1100</v>
      </c>
      <c r="C73" s="396"/>
      <c r="D73" s="257">
        <v>0.0</v>
      </c>
      <c r="E73" s="257">
        <v>0.0</v>
      </c>
      <c r="F73" s="257">
        <v>0.0</v>
      </c>
      <c r="G73" s="257">
        <v>50000.0</v>
      </c>
      <c r="H73" s="257">
        <v>0.0</v>
      </c>
      <c r="I73" s="257">
        <v>0.0</v>
      </c>
      <c r="J73" s="257">
        <v>0.0</v>
      </c>
      <c r="K73" s="257">
        <v>0.0</v>
      </c>
      <c r="L73" s="257">
        <v>0.0</v>
      </c>
      <c r="M73" s="396"/>
      <c r="N73" s="396"/>
      <c r="O73" s="396"/>
      <c r="P73" s="18"/>
    </row>
    <row r="74">
      <c r="A74" s="251"/>
      <c r="B74" s="396"/>
      <c r="C74" s="396"/>
      <c r="D74" s="396"/>
      <c r="E74" s="396"/>
      <c r="F74" s="396"/>
      <c r="G74" s="396"/>
      <c r="H74" s="396"/>
      <c r="I74" s="396"/>
      <c r="J74" s="396"/>
      <c r="K74" s="396"/>
      <c r="L74" s="396"/>
      <c r="M74" s="396"/>
      <c r="N74" s="396"/>
      <c r="O74" s="396"/>
      <c r="P74" s="18"/>
    </row>
    <row r="75">
      <c r="A75" s="396"/>
      <c r="B75" s="396"/>
      <c r="C75" s="396"/>
      <c r="D75" s="396"/>
      <c r="E75" s="396"/>
      <c r="F75" s="396"/>
      <c r="G75" s="396"/>
      <c r="H75" s="396"/>
      <c r="I75" s="396"/>
      <c r="J75" s="396"/>
      <c r="K75" s="396"/>
      <c r="L75" s="396"/>
      <c r="M75" s="396"/>
      <c r="N75" s="396"/>
      <c r="O75" s="396"/>
      <c r="P75" s="18"/>
    </row>
    <row r="76">
      <c r="A76" s="396"/>
      <c r="B76" s="431" t="s">
        <v>13</v>
      </c>
      <c r="C76" s="396"/>
      <c r="D76" s="432" t="str">
        <f t="shared" ref="D76:L76" si="7">D73+D70+D67+D64+D62+D60+D52+D47+D38+D36+D32+D30</f>
        <v>4200043.62</v>
      </c>
      <c r="E76" s="432" t="str">
        <f t="shared" si="7"/>
        <v>2597843.82</v>
      </c>
      <c r="F76" s="432" t="str">
        <f t="shared" si="7"/>
        <v>2331763.02</v>
      </c>
      <c r="G76" s="432" t="str">
        <f t="shared" si="7"/>
        <v>1602526.7</v>
      </c>
      <c r="H76" s="432" t="str">
        <f t="shared" si="7"/>
        <v>2346254.9</v>
      </c>
      <c r="I76" s="432" t="str">
        <f t="shared" si="7"/>
        <v>1453618.02</v>
      </c>
      <c r="J76" s="432" t="str">
        <f t="shared" si="7"/>
        <v>3362368.62</v>
      </c>
      <c r="K76" s="432" t="str">
        <f t="shared" si="7"/>
        <v>1546016.62</v>
      </c>
      <c r="L76" s="432" t="str">
        <f t="shared" si="7"/>
        <v>1591989.02</v>
      </c>
      <c r="M76" s="396"/>
      <c r="N76" s="396"/>
      <c r="O76" s="396"/>
      <c r="P76" s="18"/>
    </row>
    <row r="77">
      <c r="A77" s="396"/>
      <c r="B77" s="396"/>
      <c r="C77" s="396"/>
      <c r="D77" s="396"/>
      <c r="E77" s="396"/>
      <c r="F77" s="396"/>
      <c r="G77" s="396"/>
      <c r="H77" s="396"/>
      <c r="I77" s="396"/>
      <c r="J77" s="396"/>
      <c r="K77" s="396"/>
      <c r="L77" s="396"/>
      <c r="M77" s="396"/>
      <c r="N77" s="396"/>
      <c r="O77" s="396"/>
      <c r="P77" s="18"/>
    </row>
    <row r="78">
      <c r="A78" s="12"/>
      <c r="B78" s="12"/>
      <c r="C78" s="12"/>
      <c r="D78" s="12"/>
      <c r="E78" s="12"/>
      <c r="F78" s="12"/>
      <c r="G78" s="12"/>
      <c r="H78" s="12"/>
      <c r="I78" s="12"/>
      <c r="J78" s="12"/>
      <c r="K78" s="12"/>
      <c r="L78" s="12"/>
      <c r="M78" s="12"/>
      <c r="N78" s="12"/>
      <c r="O78" s="12"/>
    </row>
    <row r="80">
      <c r="B80" s="57" t="s">
        <v>1115</v>
      </c>
      <c r="D80" s="62" t="str">
        <f t="shared" ref="D80:L80" si="8">D84*D81</f>
        <v>537837.16</v>
      </c>
      <c r="E80" s="62" t="str">
        <f t="shared" si="8"/>
        <v>1197896.84</v>
      </c>
      <c r="F80" s="62" t="str">
        <f t="shared" si="8"/>
        <v>1284942.96</v>
      </c>
      <c r="G80" s="62" t="str">
        <f t="shared" si="8"/>
        <v>1509913.2</v>
      </c>
      <c r="H80" s="62" t="str">
        <f t="shared" si="8"/>
        <v>1284361.4</v>
      </c>
      <c r="I80" s="62" t="str">
        <f t="shared" si="8"/>
        <v>1430379.2</v>
      </c>
      <c r="J80" s="62" t="str">
        <f t="shared" si="8"/>
        <v>806369.52</v>
      </c>
      <c r="K80" s="62" t="str">
        <f t="shared" si="8"/>
        <v>1392549.54</v>
      </c>
      <c r="L80" s="62" t="str">
        <f t="shared" si="8"/>
        <v>1307825.43</v>
      </c>
      <c r="M80" s="57" t="s">
        <v>1123</v>
      </c>
    </row>
    <row r="81">
      <c r="B81" s="81" t="s">
        <v>464</v>
      </c>
      <c r="C81" s="433"/>
      <c r="D81" s="81">
        <v>4.76</v>
      </c>
      <c r="E81" s="81">
        <v>4.76</v>
      </c>
      <c r="F81" s="81">
        <v>4.76</v>
      </c>
      <c r="G81" s="81">
        <v>4.6</v>
      </c>
      <c r="H81" s="81">
        <v>4.6</v>
      </c>
      <c r="I81" s="81">
        <v>4.6</v>
      </c>
      <c r="J81" s="81">
        <v>5.01</v>
      </c>
      <c r="K81" s="81">
        <v>5.01</v>
      </c>
      <c r="L81" s="81">
        <v>5.01</v>
      </c>
    </row>
    <row r="82">
      <c r="B82" s="81" t="s">
        <v>1127</v>
      </c>
      <c r="C82" s="433"/>
      <c r="D82" s="81">
        <v>28.13</v>
      </c>
      <c r="E82" s="81">
        <v>60.98</v>
      </c>
      <c r="F82" s="81">
        <v>68.94</v>
      </c>
      <c r="G82" s="81">
        <v>85.41</v>
      </c>
      <c r="H82" s="81">
        <v>71.44</v>
      </c>
      <c r="I82" s="81">
        <v>85.17</v>
      </c>
      <c r="J82" s="81">
        <v>46.21</v>
      </c>
      <c r="K82" s="81">
        <v>83.52</v>
      </c>
      <c r="L82" s="81">
        <v>72.63</v>
      </c>
      <c r="M82" s="57">
        <v>66.93</v>
      </c>
    </row>
    <row r="83">
      <c r="B83" s="57" t="s">
        <v>1128</v>
      </c>
      <c r="D83" s="57">
        <v>0.0</v>
      </c>
      <c r="E83" s="57">
        <v>0.0</v>
      </c>
      <c r="F83" s="57">
        <v>0.0</v>
      </c>
      <c r="G83" s="57">
        <v>0.0</v>
      </c>
      <c r="H83" s="57">
        <v>0.0</v>
      </c>
      <c r="I83" s="57">
        <v>0.0</v>
      </c>
      <c r="J83" s="57">
        <v>158600.0</v>
      </c>
      <c r="K83" s="57">
        <v>158600.0</v>
      </c>
      <c r="L83" s="57">
        <v>158600.0</v>
      </c>
    </row>
    <row r="84">
      <c r="B84" s="57" t="s">
        <v>1129</v>
      </c>
      <c r="D84" s="57">
        <v>112991.0</v>
      </c>
      <c r="E84" s="57">
        <v>251659.0</v>
      </c>
      <c r="F84" s="57">
        <v>269946.0</v>
      </c>
      <c r="G84" s="57">
        <v>328242.0</v>
      </c>
      <c r="H84" s="57">
        <v>279209.0</v>
      </c>
      <c r="I84" s="57">
        <v>310952.0</v>
      </c>
      <c r="J84" s="57">
        <v>160952.0</v>
      </c>
      <c r="K84" s="57">
        <v>277954.0</v>
      </c>
      <c r="L84" s="57">
        <v>261043.0</v>
      </c>
    </row>
    <row r="85">
      <c r="B85" s="1"/>
      <c r="C85" s="1"/>
      <c r="D85" s="1"/>
      <c r="E85" s="1"/>
      <c r="F85" s="1"/>
      <c r="G85" s="1"/>
      <c r="H85" s="1"/>
      <c r="I85" s="1"/>
      <c r="J85" s="1"/>
      <c r="K85" s="1"/>
    </row>
    <row r="86">
      <c r="A86" s="2"/>
      <c r="B86" s="273" t="s">
        <v>1011</v>
      </c>
      <c r="C86" s="397"/>
      <c r="D86" s="213">
        <v>2723621.0</v>
      </c>
      <c r="E86" s="213">
        <v>1472518.0</v>
      </c>
      <c r="F86" s="213">
        <v>1147121.0</v>
      </c>
      <c r="G86" s="213">
        <v>585316.4</v>
      </c>
      <c r="H86" s="213">
        <v>1155546.4</v>
      </c>
      <c r="I86" s="213">
        <v>474957.0</v>
      </c>
      <c r="J86" s="213">
        <v>2075817.0</v>
      </c>
      <c r="K86" s="213">
        <v>456902.0</v>
      </c>
      <c r="L86" s="435" t="str">
        <f>L36</f>
        <v>700000</v>
      </c>
    </row>
    <row r="87">
      <c r="B87" s="436" t="s">
        <v>1135</v>
      </c>
      <c r="C87" s="12"/>
      <c r="D87" s="436">
        <v>34.09</v>
      </c>
      <c r="E87" s="436">
        <v>34.09</v>
      </c>
      <c r="F87" s="436">
        <v>35.92</v>
      </c>
      <c r="G87" s="436">
        <v>35.92</v>
      </c>
      <c r="H87" s="436">
        <v>35.92</v>
      </c>
      <c r="I87" s="436">
        <v>35.92</v>
      </c>
      <c r="J87" s="436">
        <v>35.92</v>
      </c>
      <c r="K87" s="436">
        <v>35.92</v>
      </c>
      <c r="L87" s="57">
        <v>35.92</v>
      </c>
    </row>
    <row r="88">
      <c r="B88" s="57" t="s">
        <v>1139</v>
      </c>
      <c r="D88" s="57">
        <v>264610.0</v>
      </c>
      <c r="E88" s="57">
        <v>143740.0</v>
      </c>
      <c r="F88" s="57">
        <v>109400.0</v>
      </c>
      <c r="G88" s="57">
        <v>53440.0</v>
      </c>
      <c r="H88" s="57">
        <v>105000.0</v>
      </c>
      <c r="I88" s="57">
        <v>42050.0</v>
      </c>
      <c r="J88" s="57">
        <v>187940.0</v>
      </c>
      <c r="K88" s="57">
        <v>42370.0</v>
      </c>
      <c r="L88" s="57">
        <v>62675.0</v>
      </c>
    </row>
    <row r="89">
      <c r="B89" s="57" t="s">
        <v>1140</v>
      </c>
      <c r="D89" s="57">
        <v>3.31</v>
      </c>
      <c r="E89" s="57">
        <v>3.33</v>
      </c>
      <c r="F89" s="57">
        <v>3.3</v>
      </c>
      <c r="G89" s="57">
        <v>3.28</v>
      </c>
      <c r="H89" s="57">
        <v>3.26</v>
      </c>
      <c r="I89" s="57">
        <v>3.18</v>
      </c>
      <c r="J89" s="57">
        <v>3.25</v>
      </c>
      <c r="K89" s="57">
        <v>3.33</v>
      </c>
      <c r="L89" s="57">
        <v>3.36</v>
      </c>
    </row>
    <row r="90">
      <c r="B90" s="57" t="s">
        <v>1141</v>
      </c>
      <c r="D90" s="62" t="str">
        <f t="shared" ref="D90:E90" si="9">34.09/D89</f>
        <v>10.29909366</v>
      </c>
      <c r="E90" s="62" t="str">
        <f t="shared" si="9"/>
        <v>10.23723724</v>
      </c>
      <c r="F90" s="62" t="str">
        <f t="shared" ref="F90:L90" si="10">35.92/F89</f>
        <v>10.88484848</v>
      </c>
      <c r="G90" s="62" t="str">
        <f t="shared" si="10"/>
        <v>10.95121951</v>
      </c>
      <c r="H90" s="62" t="str">
        <f t="shared" si="10"/>
        <v>11.01840491</v>
      </c>
      <c r="I90" s="62" t="str">
        <f t="shared" si="10"/>
        <v>11.29559748</v>
      </c>
      <c r="J90" s="62" t="str">
        <f t="shared" si="10"/>
        <v>11.05230769</v>
      </c>
      <c r="K90" s="62" t="str">
        <f t="shared" si="10"/>
        <v>10.78678679</v>
      </c>
      <c r="L90" s="62" t="str">
        <f t="shared" si="10"/>
        <v>10.69047619</v>
      </c>
      <c r="M90" s="62" t="str">
        <f>SUM(D90:L90)</f>
        <v>97.21597195</v>
      </c>
      <c r="N90" s="62" t="str">
        <f>M90/9</f>
        <v>10.80177466</v>
      </c>
    </row>
    <row r="92">
      <c r="B92" s="57" t="s">
        <v>1152</v>
      </c>
      <c r="D92" s="62" t="str">
        <f t="shared" ref="D92:L92" si="11">D84+D88</f>
        <v>377601</v>
      </c>
      <c r="E92" s="62" t="str">
        <f t="shared" si="11"/>
        <v>395399</v>
      </c>
      <c r="F92" s="62" t="str">
        <f t="shared" si="11"/>
        <v>379346</v>
      </c>
      <c r="G92" s="62" t="str">
        <f t="shared" si="11"/>
        <v>381682</v>
      </c>
      <c r="H92" s="62" t="str">
        <f t="shared" si="11"/>
        <v>384209</v>
      </c>
      <c r="I92" s="62" t="str">
        <f t="shared" si="11"/>
        <v>353002</v>
      </c>
      <c r="J92" s="62" t="str">
        <f t="shared" si="11"/>
        <v>348892</v>
      </c>
      <c r="K92" s="62" t="str">
        <f t="shared" si="11"/>
        <v>320324</v>
      </c>
      <c r="L92" s="62" t="str">
        <f t="shared" si="11"/>
        <v>323718</v>
      </c>
      <c r="M92" s="62" t="str">
        <f>SUM(D92:L92)</f>
        <v>3264173</v>
      </c>
      <c r="N92" s="62" t="str">
        <f>M92/9</f>
        <v>362685.8889</v>
      </c>
    </row>
    <row r="95">
      <c r="B95" s="438" t="s">
        <v>1164</v>
      </c>
    </row>
    <row r="96">
      <c r="B96" s="81" t="s">
        <v>1129</v>
      </c>
      <c r="C96" s="433"/>
      <c r="D96" s="81">
        <v>112991.0</v>
      </c>
      <c r="E96" s="81">
        <v>251659.0</v>
      </c>
      <c r="F96" s="81">
        <v>269946.0</v>
      </c>
      <c r="G96" s="81">
        <v>328242.0</v>
      </c>
      <c r="H96" s="81">
        <v>279209.0</v>
      </c>
      <c r="I96" s="81">
        <v>310952.0</v>
      </c>
      <c r="J96" s="81">
        <v>160952.0</v>
      </c>
      <c r="K96" s="81">
        <v>277954.0</v>
      </c>
      <c r="L96" s="81">
        <v>261043.0</v>
      </c>
      <c r="M96" s="62" t="str">
        <f t="shared" ref="M96:M97" si="12">L96</f>
        <v>261043</v>
      </c>
      <c r="N96" s="62" t="str">
        <f t="shared" ref="N96:N97" si="13">K96</f>
        <v>277954</v>
      </c>
      <c r="O96" s="62" t="str">
        <f t="shared" ref="O96:O97" si="14">J96</f>
        <v>160952</v>
      </c>
      <c r="P96" s="62" t="str">
        <f t="shared" ref="P96:P98" si="15">SUM(D96:L96)</f>
        <v>2252948</v>
      </c>
    </row>
    <row r="97">
      <c r="B97" s="81" t="s">
        <v>1139</v>
      </c>
      <c r="C97" s="433"/>
      <c r="D97" s="81">
        <v>264610.0</v>
      </c>
      <c r="E97" s="81">
        <v>143740.0</v>
      </c>
      <c r="F97" s="81">
        <v>109400.0</v>
      </c>
      <c r="G97" s="81">
        <v>53440.0</v>
      </c>
      <c r="H97" s="81">
        <v>105000.0</v>
      </c>
      <c r="I97" s="81">
        <v>42050.0</v>
      </c>
      <c r="J97" s="81">
        <v>187940.0</v>
      </c>
      <c r="K97" s="81">
        <v>42370.0</v>
      </c>
      <c r="L97" s="81">
        <v>62675.0</v>
      </c>
      <c r="M97" s="62" t="str">
        <f t="shared" si="12"/>
        <v>62675</v>
      </c>
      <c r="N97" s="62" t="str">
        <f t="shared" si="13"/>
        <v>42370</v>
      </c>
      <c r="O97" s="62" t="str">
        <f t="shared" si="14"/>
        <v>187940</v>
      </c>
      <c r="P97" s="62" t="str">
        <f t="shared" si="15"/>
        <v>1011225</v>
      </c>
    </row>
    <row r="98">
      <c r="B98" s="81" t="s">
        <v>1152</v>
      </c>
      <c r="C98" s="433"/>
      <c r="D98" s="440" t="str">
        <f t="shared" ref="D98:O98" si="16">SUM(D96:D97)</f>
        <v>377601</v>
      </c>
      <c r="E98" s="440" t="str">
        <f t="shared" si="16"/>
        <v>395399</v>
      </c>
      <c r="F98" s="440" t="str">
        <f t="shared" si="16"/>
        <v>379346</v>
      </c>
      <c r="G98" s="440" t="str">
        <f t="shared" si="16"/>
        <v>381682</v>
      </c>
      <c r="H98" s="440" t="str">
        <f t="shared" si="16"/>
        <v>384209</v>
      </c>
      <c r="I98" s="440" t="str">
        <f t="shared" si="16"/>
        <v>353002</v>
      </c>
      <c r="J98" s="440" t="str">
        <f t="shared" si="16"/>
        <v>348892</v>
      </c>
      <c r="K98" s="440" t="str">
        <f t="shared" si="16"/>
        <v>320324</v>
      </c>
      <c r="L98" s="440" t="str">
        <f t="shared" si="16"/>
        <v>323718</v>
      </c>
      <c r="M98" s="440" t="str">
        <f t="shared" si="16"/>
        <v>323718</v>
      </c>
      <c r="N98" s="440" t="str">
        <f t="shared" si="16"/>
        <v>320324</v>
      </c>
      <c r="O98" s="440" t="str">
        <f t="shared" si="16"/>
        <v>348892</v>
      </c>
      <c r="P98" s="62" t="str">
        <f t="shared" si="15"/>
        <v>3264173</v>
      </c>
    </row>
    <row r="100">
      <c r="B100" s="57" t="s">
        <v>1182</v>
      </c>
      <c r="D100" s="62" t="str">
        <f t="shared" ref="D100:L100" si="17">SUM(D98:D99)</f>
        <v>377601</v>
      </c>
      <c r="E100" s="62" t="str">
        <f t="shared" si="17"/>
        <v>395399</v>
      </c>
      <c r="F100" s="62" t="str">
        <f t="shared" si="17"/>
        <v>379346</v>
      </c>
      <c r="G100" s="62" t="str">
        <f t="shared" si="17"/>
        <v>381682</v>
      </c>
      <c r="H100" s="62" t="str">
        <f t="shared" si="17"/>
        <v>384209</v>
      </c>
      <c r="I100" s="62" t="str">
        <f t="shared" si="17"/>
        <v>353002</v>
      </c>
      <c r="J100" s="62" t="str">
        <f t="shared" si="17"/>
        <v>348892</v>
      </c>
      <c r="K100" s="62" t="str">
        <f t="shared" si="17"/>
        <v>320324</v>
      </c>
      <c r="L100" s="62" t="str">
        <f t="shared" si="17"/>
        <v>323718</v>
      </c>
      <c r="M100" s="62" t="str">
        <f>L100</f>
        <v>323718</v>
      </c>
      <c r="N100" s="62" t="str">
        <f>K100</f>
        <v>320324</v>
      </c>
      <c r="O100" s="62" t="str">
        <f>J100</f>
        <v>348892</v>
      </c>
    </row>
    <row r="101">
      <c r="B101" s="59" t="s">
        <v>1185</v>
      </c>
      <c r="D101" s="62" t="str">
        <f t="shared" ref="D101:O101" si="18">200*24*30</f>
        <v>144000</v>
      </c>
      <c r="E101" s="62" t="str">
        <f t="shared" si="18"/>
        <v>144000</v>
      </c>
      <c r="F101" s="62" t="str">
        <f t="shared" si="18"/>
        <v>144000</v>
      </c>
      <c r="G101" s="62" t="str">
        <f t="shared" si="18"/>
        <v>144000</v>
      </c>
      <c r="H101" s="62" t="str">
        <f t="shared" si="18"/>
        <v>144000</v>
      </c>
      <c r="I101" s="62" t="str">
        <f t="shared" si="18"/>
        <v>144000</v>
      </c>
      <c r="J101" s="62" t="str">
        <f t="shared" si="18"/>
        <v>144000</v>
      </c>
      <c r="K101" s="62" t="str">
        <f t="shared" si="18"/>
        <v>144000</v>
      </c>
      <c r="L101" s="62" t="str">
        <f t="shared" si="18"/>
        <v>144000</v>
      </c>
      <c r="M101" s="62" t="str">
        <f t="shared" si="18"/>
        <v>144000</v>
      </c>
      <c r="N101" s="62" t="str">
        <f t="shared" si="18"/>
        <v>144000</v>
      </c>
      <c r="O101" s="62" t="str">
        <f t="shared" si="18"/>
        <v>144000</v>
      </c>
    </row>
    <row r="102">
      <c r="D102" s="62" t="str">
        <f t="shared" ref="D102:O102" si="19">SUM(D100:D101)</f>
        <v>521601</v>
      </c>
      <c r="E102" s="62" t="str">
        <f t="shared" si="19"/>
        <v>539399</v>
      </c>
      <c r="F102" s="62" t="str">
        <f t="shared" si="19"/>
        <v>523346</v>
      </c>
      <c r="G102" s="62" t="str">
        <f t="shared" si="19"/>
        <v>525682</v>
      </c>
      <c r="H102" s="62" t="str">
        <f t="shared" si="19"/>
        <v>528209</v>
      </c>
      <c r="I102" s="62" t="str">
        <f t="shared" si="19"/>
        <v>497002</v>
      </c>
      <c r="J102" s="62" t="str">
        <f t="shared" si="19"/>
        <v>492892</v>
      </c>
      <c r="K102" s="62" t="str">
        <f t="shared" si="19"/>
        <v>464324</v>
      </c>
      <c r="L102" s="62" t="str">
        <f t="shared" si="19"/>
        <v>467718</v>
      </c>
      <c r="M102" s="62" t="str">
        <f t="shared" si="19"/>
        <v>467718</v>
      </c>
      <c r="N102" s="62" t="str">
        <f t="shared" si="19"/>
        <v>464324</v>
      </c>
      <c r="O102" s="62" t="str">
        <f t="shared" si="19"/>
        <v>492892</v>
      </c>
    </row>
    <row r="103">
      <c r="B103" s="438" t="s">
        <v>1192</v>
      </c>
    </row>
    <row r="104">
      <c r="B104" s="57" t="s">
        <v>1193</v>
      </c>
      <c r="D104" s="62" t="str">
        <f t="shared" ref="D104:O104" si="20">(D96/D98)*D102</f>
        <v>156080.674</v>
      </c>
      <c r="E104" s="62" t="str">
        <f t="shared" si="20"/>
        <v>343310.4609</v>
      </c>
      <c r="F104" s="62" t="str">
        <f t="shared" si="20"/>
        <v>372417.6855</v>
      </c>
      <c r="G104" s="62" t="str">
        <f t="shared" si="20"/>
        <v>452080.2947</v>
      </c>
      <c r="H104" s="62" t="str">
        <f t="shared" si="20"/>
        <v>383855.419</v>
      </c>
      <c r="I104" s="62" t="str">
        <f t="shared" si="20"/>
        <v>437798.5561</v>
      </c>
      <c r="J104" s="62" t="str">
        <f t="shared" si="20"/>
        <v>227382.5516</v>
      </c>
      <c r="K104" s="62" t="str">
        <f t="shared" si="20"/>
        <v>402906.7853</v>
      </c>
      <c r="L104" s="62" t="str">
        <f t="shared" si="20"/>
        <v>377163.1787</v>
      </c>
      <c r="M104" s="62" t="str">
        <f t="shared" si="20"/>
        <v>377163.1787</v>
      </c>
      <c r="N104" s="62" t="str">
        <f t="shared" si="20"/>
        <v>402906.7853</v>
      </c>
      <c r="O104" s="62" t="str">
        <f t="shared" si="20"/>
        <v>227382.5516</v>
      </c>
      <c r="P104" s="62" t="str">
        <f t="shared" ref="P104:P105" si="22">SUM(D104:O104)</f>
        <v>4160448.121</v>
      </c>
    </row>
    <row r="105">
      <c r="B105" s="57" t="s">
        <v>1139</v>
      </c>
      <c r="D105" s="62" t="str">
        <f t="shared" ref="D105:O105" si="21">(D97/D98)*D102</f>
        <v>365520.326</v>
      </c>
      <c r="E105" s="62" t="str">
        <f t="shared" si="21"/>
        <v>196088.5391</v>
      </c>
      <c r="F105" s="62" t="str">
        <f t="shared" si="21"/>
        <v>150928.3145</v>
      </c>
      <c r="G105" s="62" t="str">
        <f t="shared" si="21"/>
        <v>73601.70529</v>
      </c>
      <c r="H105" s="62" t="str">
        <f t="shared" si="21"/>
        <v>144353.581</v>
      </c>
      <c r="I105" s="62" t="str">
        <f t="shared" si="21"/>
        <v>59203.44389</v>
      </c>
      <c r="J105" s="62" t="str">
        <f t="shared" si="21"/>
        <v>265509.4484</v>
      </c>
      <c r="K105" s="62" t="str">
        <f t="shared" si="21"/>
        <v>61417.2147</v>
      </c>
      <c r="L105" s="62" t="str">
        <f t="shared" si="21"/>
        <v>90554.82133</v>
      </c>
      <c r="M105" s="62" t="str">
        <f t="shared" si="21"/>
        <v>90554.82133</v>
      </c>
      <c r="N105" s="62" t="str">
        <f t="shared" si="21"/>
        <v>61417.2147</v>
      </c>
      <c r="O105" s="62" t="str">
        <f t="shared" si="21"/>
        <v>265509.4484</v>
      </c>
      <c r="P105" s="62" t="str">
        <f t="shared" si="22"/>
        <v>1824658.879</v>
      </c>
    </row>
    <row r="106">
      <c r="D106" s="62" t="str">
        <f t="shared" ref="D106:P106" si="23">SUM(D104:D105)</f>
        <v>521601</v>
      </c>
      <c r="E106" s="62" t="str">
        <f t="shared" si="23"/>
        <v>539399</v>
      </c>
      <c r="F106" s="62" t="str">
        <f t="shared" si="23"/>
        <v>523346</v>
      </c>
      <c r="G106" s="62" t="str">
        <f t="shared" si="23"/>
        <v>525682</v>
      </c>
      <c r="H106" s="62" t="str">
        <f t="shared" si="23"/>
        <v>528209</v>
      </c>
      <c r="I106" s="62" t="str">
        <f t="shared" si="23"/>
        <v>497002</v>
      </c>
      <c r="J106" s="62" t="str">
        <f t="shared" si="23"/>
        <v>492892</v>
      </c>
      <c r="K106" s="62" t="str">
        <f t="shared" si="23"/>
        <v>464324</v>
      </c>
      <c r="L106" s="62" t="str">
        <f t="shared" si="23"/>
        <v>467718</v>
      </c>
      <c r="M106" s="62" t="str">
        <f t="shared" si="23"/>
        <v>467718</v>
      </c>
      <c r="N106" s="62" t="str">
        <f t="shared" si="23"/>
        <v>464324</v>
      </c>
      <c r="O106" s="62" t="str">
        <f t="shared" si="23"/>
        <v>492892</v>
      </c>
      <c r="P106" s="62" t="str">
        <f t="shared" si="23"/>
        <v>5985107</v>
      </c>
    </row>
    <row r="108">
      <c r="B108" s="57" t="s">
        <v>1193</v>
      </c>
      <c r="D108" s="62" t="str">
        <f t="shared" ref="D108:O108" si="24">D110*0.65</f>
        <v>339040.65</v>
      </c>
      <c r="E108" s="62" t="str">
        <f t="shared" si="24"/>
        <v>350609.35</v>
      </c>
      <c r="F108" s="62" t="str">
        <f t="shared" si="24"/>
        <v>340174.9</v>
      </c>
      <c r="G108" s="62" t="str">
        <f t="shared" si="24"/>
        <v>341693.3</v>
      </c>
      <c r="H108" s="62" t="str">
        <f t="shared" si="24"/>
        <v>343335.85</v>
      </c>
      <c r="I108" s="62" t="str">
        <f t="shared" si="24"/>
        <v>323051.3</v>
      </c>
      <c r="J108" s="62" t="str">
        <f t="shared" si="24"/>
        <v>320379.8</v>
      </c>
      <c r="K108" s="62" t="str">
        <f t="shared" si="24"/>
        <v>301810.6</v>
      </c>
      <c r="L108" s="62" t="str">
        <f t="shared" si="24"/>
        <v>304016.7</v>
      </c>
      <c r="M108" s="62" t="str">
        <f t="shared" si="24"/>
        <v>304016.7</v>
      </c>
      <c r="N108" s="62" t="str">
        <f t="shared" si="24"/>
        <v>301810.6</v>
      </c>
      <c r="O108" s="62" t="str">
        <f t="shared" si="24"/>
        <v>320379.8</v>
      </c>
    </row>
    <row r="109">
      <c r="B109" s="57" t="s">
        <v>1139</v>
      </c>
      <c r="D109" s="62" t="str">
        <f t="shared" ref="D109:O109" si="25">D110*0.35</f>
        <v>182560.35</v>
      </c>
      <c r="E109" s="62" t="str">
        <f t="shared" si="25"/>
        <v>188789.65</v>
      </c>
      <c r="F109" s="62" t="str">
        <f t="shared" si="25"/>
        <v>183171.1</v>
      </c>
      <c r="G109" s="62" t="str">
        <f t="shared" si="25"/>
        <v>183988.7</v>
      </c>
      <c r="H109" s="62" t="str">
        <f t="shared" si="25"/>
        <v>184873.15</v>
      </c>
      <c r="I109" s="62" t="str">
        <f t="shared" si="25"/>
        <v>173950.7</v>
      </c>
      <c r="J109" s="62" t="str">
        <f t="shared" si="25"/>
        <v>172512.2</v>
      </c>
      <c r="K109" s="62" t="str">
        <f t="shared" si="25"/>
        <v>162513.4</v>
      </c>
      <c r="L109" s="62" t="str">
        <f t="shared" si="25"/>
        <v>163701.3</v>
      </c>
      <c r="M109" s="62" t="str">
        <f t="shared" si="25"/>
        <v>163701.3</v>
      </c>
      <c r="N109" s="62" t="str">
        <f t="shared" si="25"/>
        <v>162513.4</v>
      </c>
      <c r="O109" s="62" t="str">
        <f t="shared" si="25"/>
        <v>172512.2</v>
      </c>
    </row>
    <row r="110">
      <c r="B110" s="57" t="s">
        <v>1203</v>
      </c>
      <c r="D110" s="62" t="str">
        <f t="shared" ref="D110:O110" si="26">D102</f>
        <v>521601</v>
      </c>
      <c r="E110" s="62" t="str">
        <f t="shared" si="26"/>
        <v>539399</v>
      </c>
      <c r="F110" s="62" t="str">
        <f t="shared" si="26"/>
        <v>523346</v>
      </c>
      <c r="G110" s="62" t="str">
        <f t="shared" si="26"/>
        <v>525682</v>
      </c>
      <c r="H110" s="62" t="str">
        <f t="shared" si="26"/>
        <v>528209</v>
      </c>
      <c r="I110" s="62" t="str">
        <f t="shared" si="26"/>
        <v>497002</v>
      </c>
      <c r="J110" s="62" t="str">
        <f t="shared" si="26"/>
        <v>492892</v>
      </c>
      <c r="K110" s="62" t="str">
        <f t="shared" si="26"/>
        <v>464324</v>
      </c>
      <c r="L110" s="62" t="str">
        <f t="shared" si="26"/>
        <v>467718</v>
      </c>
      <c r="M110" s="62" t="str">
        <f t="shared" si="26"/>
        <v>467718</v>
      </c>
      <c r="N110" s="62" t="str">
        <f t="shared" si="26"/>
        <v>464324</v>
      </c>
      <c r="O110" s="62" t="str">
        <f t="shared" si="26"/>
        <v>492892</v>
      </c>
    </row>
  </sheetData>
  <mergeCells count="1">
    <mergeCell ref="A3:O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9.29"/>
    <col customWidth="1" min="2" max="2" width="22.0"/>
    <col customWidth="1" min="3" max="3" width="11.57"/>
    <col customWidth="1" min="4" max="4" width="10.86"/>
    <col customWidth="1" min="5" max="7" width="9.29"/>
  </cols>
  <sheetData>
    <row r="2">
      <c r="B2" s="57" t="s">
        <v>1205</v>
      </c>
    </row>
    <row r="3">
      <c r="C3" s="493" t="s">
        <v>1206</v>
      </c>
      <c r="D3" s="493" t="s">
        <v>1207</v>
      </c>
      <c r="E3" s="493" t="s">
        <v>1208</v>
      </c>
      <c r="F3" s="493" t="s">
        <v>1209</v>
      </c>
      <c r="G3" s="493" t="s">
        <v>1210</v>
      </c>
    </row>
    <row r="4">
      <c r="B4" s="57" t="s">
        <v>1211</v>
      </c>
      <c r="C4" s="81" t="s">
        <v>1212</v>
      </c>
      <c r="D4" s="413">
        <v>1.0</v>
      </c>
      <c r="E4" s="413">
        <v>34993.0</v>
      </c>
      <c r="F4" s="495" t="str">
        <f t="shared" ref="F4:F10" si="1">E4*D4</f>
        <v>34993</v>
      </c>
      <c r="G4" s="62" t="str">
        <f t="shared" ref="G4:G10" si="2">F4*0.1+F4</f>
        <v>38492.3</v>
      </c>
    </row>
    <row r="5">
      <c r="C5" s="81" t="s">
        <v>1213</v>
      </c>
      <c r="D5" s="413">
        <v>3.0</v>
      </c>
      <c r="E5" s="413">
        <v>22050.0</v>
      </c>
      <c r="F5" s="495" t="str">
        <f t="shared" si="1"/>
        <v>66150</v>
      </c>
      <c r="G5" s="62" t="str">
        <f t="shared" si="2"/>
        <v>72765</v>
      </c>
    </row>
    <row r="6">
      <c r="C6" s="81" t="s">
        <v>1216</v>
      </c>
      <c r="D6" s="413">
        <v>3.0</v>
      </c>
      <c r="E6" s="413">
        <v>10185.0</v>
      </c>
      <c r="F6" s="495" t="str">
        <f t="shared" si="1"/>
        <v>30555</v>
      </c>
      <c r="G6" s="62" t="str">
        <f t="shared" si="2"/>
        <v>33610.5</v>
      </c>
    </row>
    <row r="7">
      <c r="C7" s="81" t="s">
        <v>1217</v>
      </c>
      <c r="D7" s="413">
        <v>3.0</v>
      </c>
      <c r="E7" s="413">
        <v>10185.0</v>
      </c>
      <c r="F7" s="495" t="str">
        <f t="shared" si="1"/>
        <v>30555</v>
      </c>
      <c r="G7" s="62" t="str">
        <f t="shared" si="2"/>
        <v>33610.5</v>
      </c>
    </row>
    <row r="8">
      <c r="C8" s="81" t="s">
        <v>1218</v>
      </c>
      <c r="D8" s="413">
        <v>1.0</v>
      </c>
      <c r="E8" s="413">
        <v>10185.0</v>
      </c>
      <c r="F8" s="495" t="str">
        <f t="shared" si="1"/>
        <v>10185</v>
      </c>
      <c r="G8" s="62" t="str">
        <f t="shared" si="2"/>
        <v>11203.5</v>
      </c>
    </row>
    <row r="9">
      <c r="C9" s="57" t="s">
        <v>1221</v>
      </c>
      <c r="D9" s="413">
        <v>0.0</v>
      </c>
      <c r="E9" s="413">
        <v>9058.0</v>
      </c>
      <c r="F9" s="495" t="str">
        <f t="shared" si="1"/>
        <v>0</v>
      </c>
      <c r="G9" s="62" t="str">
        <f t="shared" si="2"/>
        <v>0</v>
      </c>
    </row>
    <row r="10">
      <c r="C10" s="57" t="s">
        <v>1222</v>
      </c>
      <c r="D10" s="413">
        <v>1.0</v>
      </c>
      <c r="E10" s="413">
        <v>7311.0</v>
      </c>
      <c r="F10" s="495" t="str">
        <f t="shared" si="1"/>
        <v>7311</v>
      </c>
      <c r="G10" s="62" t="str">
        <f t="shared" si="2"/>
        <v>8042.1</v>
      </c>
    </row>
    <row r="11">
      <c r="D11" s="495" t="str">
        <f>SUM(D4:D10)</f>
        <v>12</v>
      </c>
      <c r="F11" s="495" t="str">
        <f t="shared" ref="F11:G11" si="3">SUM(F4:F10)</f>
        <v>179749</v>
      </c>
      <c r="G11" s="62" t="str">
        <f t="shared" si="3"/>
        <v>197723.9</v>
      </c>
    </row>
    <row r="13">
      <c r="B13" s="57" t="s">
        <v>971</v>
      </c>
      <c r="C13" s="57" t="s">
        <v>1226</v>
      </c>
      <c r="D13" s="495" t="str">
        <f>3*0.5</f>
        <v>1.5</v>
      </c>
      <c r="E13" s="413">
        <v>7385.0</v>
      </c>
      <c r="F13" s="495" t="str">
        <f t="shared" ref="F13:F15" si="4">E13*D13</f>
        <v>11077.5</v>
      </c>
      <c r="G13" s="62" t="str">
        <f t="shared" ref="G13:G15" si="5">F13*0.1+F13</f>
        <v>12185.25</v>
      </c>
    </row>
    <row r="14">
      <c r="C14" s="57" t="s">
        <v>1231</v>
      </c>
      <c r="D14" s="413">
        <v>3.0</v>
      </c>
      <c r="E14" s="413">
        <v>6619.0</v>
      </c>
      <c r="F14" s="495" t="str">
        <f t="shared" si="4"/>
        <v>19857</v>
      </c>
      <c r="G14" s="62" t="str">
        <f t="shared" si="5"/>
        <v>21842.7</v>
      </c>
    </row>
    <row r="15">
      <c r="C15" s="57" t="s">
        <v>1233</v>
      </c>
      <c r="D15" s="413">
        <v>1.0</v>
      </c>
      <c r="E15" s="413">
        <v>11235.0</v>
      </c>
      <c r="F15" s="495" t="str">
        <f t="shared" si="4"/>
        <v>11235</v>
      </c>
      <c r="G15" s="62" t="str">
        <f t="shared" si="5"/>
        <v>12358.5</v>
      </c>
    </row>
    <row r="16">
      <c r="D16" s="495" t="str">
        <f>SUM(D13:D15)</f>
        <v>5.5</v>
      </c>
      <c r="F16" s="495" t="str">
        <f>SUM(F13:F15)</f>
        <v>42169.5</v>
      </c>
      <c r="G16" s="62" t="str">
        <f>G13+G14+G15</f>
        <v>46386.45</v>
      </c>
    </row>
    <row r="18">
      <c r="B18" s="57" t="s">
        <v>1235</v>
      </c>
      <c r="C18" s="57" t="s">
        <v>1226</v>
      </c>
      <c r="D18" s="413">
        <v>0.0</v>
      </c>
      <c r="E18" s="413">
        <v>9756.0</v>
      </c>
      <c r="F18" s="495" t="str">
        <f t="shared" ref="F18:F20" si="6">E18*D18</f>
        <v>0</v>
      </c>
      <c r="G18" s="62" t="str">
        <f t="shared" ref="G18:G20" si="7">F18*0.1+F18</f>
        <v>0</v>
      </c>
    </row>
    <row r="19">
      <c r="C19" s="57" t="s">
        <v>1236</v>
      </c>
      <c r="D19" s="413">
        <v>5.0</v>
      </c>
      <c r="E19" s="413">
        <v>7651.0</v>
      </c>
      <c r="F19" s="495" t="str">
        <f t="shared" si="6"/>
        <v>38255</v>
      </c>
      <c r="G19" s="62" t="str">
        <f t="shared" si="7"/>
        <v>42080.5</v>
      </c>
    </row>
    <row r="20">
      <c r="C20" s="57" t="s">
        <v>1237</v>
      </c>
      <c r="D20" s="413">
        <v>0.0</v>
      </c>
      <c r="E20" s="413">
        <v>7879.0</v>
      </c>
      <c r="F20" s="495" t="str">
        <f t="shared" si="6"/>
        <v>0</v>
      </c>
      <c r="G20" s="62" t="str">
        <f t="shared" si="7"/>
        <v>0</v>
      </c>
    </row>
    <row r="21">
      <c r="D21" s="495" t="str">
        <f>SUM(D18:D20)</f>
        <v>5</v>
      </c>
      <c r="F21" s="495" t="str">
        <f t="shared" ref="F21:G21" si="8">SUM(F18:F20)</f>
        <v>38255</v>
      </c>
      <c r="G21" s="495" t="str">
        <f t="shared" si="8"/>
        <v>42080.5</v>
      </c>
    </row>
    <row r="23">
      <c r="B23" s="57" t="s">
        <v>1238</v>
      </c>
      <c r="E23" s="413">
        <v>8000.0</v>
      </c>
      <c r="F23" s="413">
        <v>8000.0</v>
      </c>
      <c r="G23" s="413">
        <v>8000.0</v>
      </c>
    </row>
    <row r="24">
      <c r="B24" s="57" t="s">
        <v>1239</v>
      </c>
      <c r="E24" s="413">
        <v>8000.0</v>
      </c>
      <c r="F24" s="413">
        <v>8000.0</v>
      </c>
      <c r="G24" s="413">
        <v>8000.0</v>
      </c>
    </row>
    <row r="25">
      <c r="B25" s="57" t="s">
        <v>968</v>
      </c>
      <c r="E25" s="413">
        <v>4000.0</v>
      </c>
      <c r="F25" s="413">
        <v>4000.0</v>
      </c>
      <c r="G25" s="413">
        <v>4000.0</v>
      </c>
    </row>
    <row r="26">
      <c r="B26" s="57" t="s">
        <v>1240</v>
      </c>
      <c r="D26" s="413">
        <v>6.0</v>
      </c>
      <c r="E26" s="413">
        <v>6000.0</v>
      </c>
      <c r="F26" s="413">
        <v>6000.0</v>
      </c>
      <c r="G26" s="413">
        <v>6000.0</v>
      </c>
    </row>
    <row r="27">
      <c r="B27" s="57" t="s">
        <v>1241</v>
      </c>
      <c r="F27" s="413">
        <v>2500.0</v>
      </c>
      <c r="G27" s="413">
        <v>2500.0</v>
      </c>
    </row>
    <row r="28">
      <c r="B28" s="57" t="s">
        <v>1242</v>
      </c>
      <c r="E28" s="413">
        <v>44000.0</v>
      </c>
      <c r="F28" s="413">
        <v>44000.0</v>
      </c>
      <c r="G28" s="495" t="str">
        <f>F28*0.1+F28</f>
        <v>48400</v>
      </c>
    </row>
    <row r="29">
      <c r="E29" s="62" t="str">
        <f t="shared" ref="E29:F29" si="9">SUM(E23:E28)</f>
        <v>70000</v>
      </c>
      <c r="F29" s="62" t="str">
        <f t="shared" si="9"/>
        <v>72500</v>
      </c>
      <c r="G29" s="495" t="str">
        <f>F29*1.1</f>
        <v>79750</v>
      </c>
    </row>
    <row r="31">
      <c r="B31" s="57" t="s">
        <v>1243</v>
      </c>
      <c r="F31" s="62" t="str">
        <f t="shared" ref="F31:G31" si="10">F11+F16+F21+F29</f>
        <v>332673.5</v>
      </c>
      <c r="G31" s="504" t="str">
        <f t="shared" si="10"/>
        <v>365940.85</v>
      </c>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6.0"/>
    <col customWidth="1" min="2" max="2" width="40.14"/>
    <col customWidth="1" min="3" max="3" width="32.14"/>
    <col customWidth="1" min="4" max="4" width="8.71"/>
    <col customWidth="1" min="5" max="5" width="14.71"/>
    <col customWidth="1" min="6" max="6" width="15.14"/>
    <col customWidth="1" min="7" max="7" width="26.57"/>
    <col customWidth="1" min="8" max="8" width="22.29"/>
  </cols>
  <sheetData>
    <row r="1" ht="13.5" customHeight="1">
      <c r="A1" s="1"/>
      <c r="B1" s="1"/>
      <c r="C1" s="1"/>
    </row>
    <row r="2" ht="15.75" customHeight="1">
      <c r="A2" s="379" t="s">
        <v>909</v>
      </c>
      <c r="B2" s="66"/>
      <c r="C2" s="15"/>
      <c r="D2" s="18"/>
    </row>
    <row r="3" ht="25.5" customHeight="1">
      <c r="A3" s="380" t="s">
        <v>910</v>
      </c>
      <c r="B3" s="381" t="s">
        <v>911</v>
      </c>
      <c r="C3" s="381" t="s">
        <v>912</v>
      </c>
      <c r="D3" s="18"/>
    </row>
    <row r="4" ht="38.25" customHeight="1">
      <c r="A4" s="382">
        <v>1.0</v>
      </c>
      <c r="B4" s="218" t="s">
        <v>913</v>
      </c>
      <c r="C4" s="218" t="s">
        <v>914</v>
      </c>
      <c r="D4" s="18"/>
    </row>
    <row r="5" ht="25.5" customHeight="1">
      <c r="A5" s="382">
        <v>2.0</v>
      </c>
      <c r="B5" s="218" t="s">
        <v>915</v>
      </c>
      <c r="C5" s="218" t="s">
        <v>916</v>
      </c>
      <c r="D5" s="18"/>
    </row>
    <row r="6" ht="25.5" customHeight="1">
      <c r="A6" s="382">
        <v>3.0</v>
      </c>
      <c r="B6" s="218" t="s">
        <v>917</v>
      </c>
      <c r="C6" s="218" t="s">
        <v>918</v>
      </c>
      <c r="D6" s="18"/>
    </row>
    <row r="7" ht="25.5" customHeight="1">
      <c r="A7" s="382">
        <v>4.0</v>
      </c>
      <c r="B7" s="218" t="s">
        <v>919</v>
      </c>
      <c r="C7" s="218" t="s">
        <v>920</v>
      </c>
      <c r="D7" s="18"/>
    </row>
    <row r="8" ht="25.5" customHeight="1">
      <c r="A8" s="382">
        <v>5.0</v>
      </c>
      <c r="B8" s="218" t="s">
        <v>921</v>
      </c>
      <c r="C8" s="218" t="s">
        <v>922</v>
      </c>
      <c r="D8" s="18"/>
    </row>
    <row r="9" ht="39.0" customHeight="1">
      <c r="A9" s="382">
        <v>6.0</v>
      </c>
      <c r="B9" s="218" t="s">
        <v>923</v>
      </c>
      <c r="C9" s="218" t="s">
        <v>924</v>
      </c>
      <c r="D9" s="18"/>
    </row>
    <row r="10">
      <c r="A10" s="12"/>
      <c r="B10" s="12"/>
      <c r="C10" s="12"/>
    </row>
    <row r="11" ht="15.75" customHeight="1">
      <c r="A11" s="207" t="s">
        <v>925</v>
      </c>
    </row>
    <row r="12" ht="15.75" customHeight="1">
      <c r="A12" s="208"/>
      <c r="B12" s="208"/>
      <c r="C12" s="208"/>
      <c r="D12" s="208"/>
      <c r="E12" s="1"/>
      <c r="F12" s="1"/>
      <c r="G12" s="1"/>
    </row>
    <row r="13">
      <c r="A13" s="383" t="s">
        <v>926</v>
      </c>
      <c r="B13" s="383" t="s">
        <v>390</v>
      </c>
      <c r="C13" s="383" t="s">
        <v>389</v>
      </c>
      <c r="D13" s="383" t="s">
        <v>927</v>
      </c>
      <c r="E13" s="383" t="s">
        <v>928</v>
      </c>
      <c r="F13" s="383" t="s">
        <v>929</v>
      </c>
      <c r="G13" s="383" t="s">
        <v>397</v>
      </c>
      <c r="H13" s="18"/>
    </row>
    <row r="14">
      <c r="A14" s="384" t="s">
        <v>930</v>
      </c>
      <c r="B14" s="385" t="s">
        <v>931</v>
      </c>
      <c r="C14" s="386"/>
      <c r="D14" s="387"/>
      <c r="E14" s="387"/>
      <c r="F14" s="388" t="str">
        <f>SUM(F15:F48)</f>
        <v>#REF!</v>
      </c>
      <c r="G14" s="389"/>
      <c r="H14" s="18"/>
    </row>
    <row r="15" ht="38.25" customHeight="1">
      <c r="A15" s="215">
        <v>1.0</v>
      </c>
      <c r="B15" s="390" t="s">
        <v>932</v>
      </c>
      <c r="C15" s="390" t="s">
        <v>933</v>
      </c>
      <c r="D15" s="391">
        <v>1.0</v>
      </c>
      <c r="E15" s="392">
        <v>170000.0</v>
      </c>
      <c r="F15" s="394" t="str">
        <f t="shared" ref="F15:F48" si="1">D15*E15</f>
        <v>170000</v>
      </c>
      <c r="G15" s="214" t="s">
        <v>936</v>
      </c>
      <c r="H15" s="18"/>
    </row>
    <row r="16">
      <c r="A16" s="215" t="s">
        <v>937</v>
      </c>
      <c r="B16" s="399" t="s">
        <v>938</v>
      </c>
      <c r="C16" s="400"/>
      <c r="D16" s="391">
        <v>1.0</v>
      </c>
      <c r="E16" s="392">
        <v>42300.0</v>
      </c>
      <c r="F16" s="394" t="str">
        <f t="shared" si="1"/>
        <v>42300</v>
      </c>
      <c r="G16" s="214" t="s">
        <v>953</v>
      </c>
      <c r="H16" s="18"/>
    </row>
    <row r="17">
      <c r="A17" s="215">
        <v>2.0</v>
      </c>
      <c r="B17" s="390" t="s">
        <v>954</v>
      </c>
      <c r="C17" s="390" t="s">
        <v>955</v>
      </c>
      <c r="D17" s="391">
        <v>20.0</v>
      </c>
      <c r="E17" s="391">
        <v>1000.0</v>
      </c>
      <c r="F17" s="394" t="str">
        <f t="shared" si="1"/>
        <v>20000</v>
      </c>
      <c r="G17" s="218" t="s">
        <v>956</v>
      </c>
      <c r="H17" s="18"/>
    </row>
    <row r="18">
      <c r="A18" s="215">
        <v>3.0</v>
      </c>
      <c r="B18" s="401" t="s">
        <v>957</v>
      </c>
      <c r="C18" s="390" t="s">
        <v>470</v>
      </c>
      <c r="D18" s="391">
        <v>2.0</v>
      </c>
      <c r="E18" s="392">
        <v>2185.0</v>
      </c>
      <c r="F18" s="394" t="str">
        <f t="shared" si="1"/>
        <v>4370</v>
      </c>
      <c r="G18" s="218" t="s">
        <v>956</v>
      </c>
      <c r="H18" s="18"/>
    </row>
    <row r="19" ht="25.5" customHeight="1">
      <c r="A19" s="215">
        <v>4.0</v>
      </c>
      <c r="B19" s="401" t="s">
        <v>961</v>
      </c>
      <c r="C19" s="390" t="s">
        <v>470</v>
      </c>
      <c r="D19" s="391">
        <v>5.0</v>
      </c>
      <c r="E19" s="391">
        <v>3000.0</v>
      </c>
      <c r="F19" s="394" t="str">
        <f t="shared" si="1"/>
        <v>15000</v>
      </c>
      <c r="G19" s="218" t="s">
        <v>956</v>
      </c>
      <c r="H19" s="18"/>
    </row>
    <row r="20">
      <c r="A20" s="215">
        <v>5.0</v>
      </c>
      <c r="B20" s="401" t="s">
        <v>963</v>
      </c>
      <c r="C20" s="400"/>
      <c r="D20" s="391">
        <v>2.0</v>
      </c>
      <c r="E20" s="391">
        <v>500.0</v>
      </c>
      <c r="F20" s="394" t="str">
        <f t="shared" si="1"/>
        <v>1000</v>
      </c>
      <c r="G20" s="218" t="s">
        <v>956</v>
      </c>
      <c r="H20" s="18"/>
    </row>
    <row r="21">
      <c r="A21" s="215">
        <v>6.0</v>
      </c>
      <c r="B21" s="401" t="s">
        <v>964</v>
      </c>
      <c r="C21" s="400"/>
      <c r="D21" s="391">
        <v>2.0</v>
      </c>
      <c r="E21" s="391">
        <v>500.0</v>
      </c>
      <c r="F21" s="394" t="str">
        <f t="shared" si="1"/>
        <v>1000</v>
      </c>
      <c r="G21" s="218" t="s">
        <v>956</v>
      </c>
      <c r="H21" s="18"/>
    </row>
    <row r="22">
      <c r="A22" s="215">
        <v>7.0</v>
      </c>
      <c r="B22" s="401" t="s">
        <v>967</v>
      </c>
      <c r="C22" s="390" t="s">
        <v>470</v>
      </c>
      <c r="D22" s="391">
        <v>21.0</v>
      </c>
      <c r="E22" s="391">
        <v>3000.0</v>
      </c>
      <c r="F22" s="394" t="str">
        <f t="shared" si="1"/>
        <v>63000</v>
      </c>
      <c r="G22" s="218" t="s">
        <v>956</v>
      </c>
      <c r="H22" s="18"/>
    </row>
    <row r="23">
      <c r="A23" s="215">
        <v>8.0</v>
      </c>
      <c r="B23" s="390" t="s">
        <v>969</v>
      </c>
      <c r="C23" s="390" t="s">
        <v>970</v>
      </c>
      <c r="D23" s="391">
        <v>3.0</v>
      </c>
      <c r="E23" s="402" t="str">
        <f>0.28*1000</f>
        <v>280</v>
      </c>
      <c r="F23" s="394" t="str">
        <f t="shared" si="1"/>
        <v>840</v>
      </c>
      <c r="G23" s="218" t="s">
        <v>956</v>
      </c>
      <c r="H23" s="18"/>
    </row>
    <row r="24">
      <c r="A24" s="215">
        <v>9.0</v>
      </c>
      <c r="B24" s="390" t="s">
        <v>978</v>
      </c>
      <c r="C24" s="390" t="s">
        <v>970</v>
      </c>
      <c r="D24" s="391">
        <v>4.0</v>
      </c>
      <c r="E24" s="402" t="str">
        <f>0.11*1000</f>
        <v>110</v>
      </c>
      <c r="F24" s="394" t="str">
        <f t="shared" si="1"/>
        <v>440</v>
      </c>
      <c r="G24" s="218" t="s">
        <v>956</v>
      </c>
      <c r="H24" s="18"/>
    </row>
    <row r="25" ht="25.5" customHeight="1">
      <c r="A25" s="215">
        <v>10.0</v>
      </c>
      <c r="B25" s="214" t="s">
        <v>981</v>
      </c>
      <c r="C25" s="214" t="s">
        <v>982</v>
      </c>
      <c r="D25" s="215">
        <v>1.0</v>
      </c>
      <c r="E25" s="215">
        <v>500.0</v>
      </c>
      <c r="F25" s="394" t="str">
        <f t="shared" si="1"/>
        <v>500</v>
      </c>
      <c r="G25" s="218" t="s">
        <v>956</v>
      </c>
      <c r="H25" s="18"/>
    </row>
    <row r="26">
      <c r="A26" s="215">
        <v>11.0</v>
      </c>
      <c r="B26" s="214" t="s">
        <v>985</v>
      </c>
      <c r="C26" s="252"/>
      <c r="D26" s="215">
        <v>100.0</v>
      </c>
      <c r="E26" s="392">
        <v>1.65</v>
      </c>
      <c r="F26" s="394" t="str">
        <f t="shared" si="1"/>
        <v>165</v>
      </c>
      <c r="G26" s="218" t="s">
        <v>956</v>
      </c>
      <c r="H26" s="18"/>
    </row>
    <row r="27">
      <c r="A27" s="215">
        <v>12.0</v>
      </c>
      <c r="B27" s="214" t="s">
        <v>986</v>
      </c>
      <c r="C27" s="252"/>
      <c r="D27" s="215">
        <v>500.0</v>
      </c>
      <c r="E27" s="392">
        <v>0.185</v>
      </c>
      <c r="F27" s="394" t="str">
        <f t="shared" si="1"/>
        <v>92.5</v>
      </c>
      <c r="G27" s="218" t="s">
        <v>956</v>
      </c>
      <c r="H27" s="18"/>
    </row>
    <row r="28">
      <c r="A28" s="215">
        <v>13.0</v>
      </c>
      <c r="B28" s="214" t="s">
        <v>989</v>
      </c>
      <c r="C28" s="214" t="s">
        <v>990</v>
      </c>
      <c r="D28" s="215">
        <v>50.0</v>
      </c>
      <c r="E28" s="402" t="str">
        <f>'C:\Documents and Settings\b0041596\My Documents\DTH\AOP 10-11\[DTH Capex Budgeting-Final 6.xls]HE Capex'!G18</f>
        <v>#REF!</v>
      </c>
      <c r="F28" s="394" t="str">
        <f t="shared" si="1"/>
        <v>#REF!</v>
      </c>
      <c r="G28" s="218" t="s">
        <v>956</v>
      </c>
      <c r="H28" s="18"/>
    </row>
    <row r="29">
      <c r="A29" s="215">
        <v>14.0</v>
      </c>
      <c r="B29" s="214" t="s">
        <v>994</v>
      </c>
      <c r="C29" s="214" t="s">
        <v>995</v>
      </c>
      <c r="D29" s="215">
        <v>100.0</v>
      </c>
      <c r="E29" s="402" t="str">
        <f>'C:\Documents and Settings\b0041596\My Documents\DTH\AOP 10-11\[DTH Capex Budgeting-Final 6.xls]HE Capex'!G24</f>
        <v>#REF!</v>
      </c>
      <c r="F29" s="394" t="str">
        <f t="shared" si="1"/>
        <v>#REF!</v>
      </c>
      <c r="G29" s="218" t="s">
        <v>1000</v>
      </c>
      <c r="H29" s="18"/>
    </row>
    <row r="30">
      <c r="A30" s="215">
        <v>15.0</v>
      </c>
      <c r="B30" s="214" t="s">
        <v>1001</v>
      </c>
      <c r="C30" s="214" t="s">
        <v>1002</v>
      </c>
      <c r="D30" s="215">
        <v>12.0</v>
      </c>
      <c r="E30" s="392">
        <v>2096.0</v>
      </c>
      <c r="F30" s="394" t="str">
        <f t="shared" si="1"/>
        <v>25152</v>
      </c>
      <c r="G30" s="214" t="s">
        <v>1003</v>
      </c>
      <c r="H30" s="18"/>
    </row>
    <row r="31" ht="25.5" customHeight="1">
      <c r="A31" s="215">
        <v>16.0</v>
      </c>
      <c r="B31" s="214" t="s">
        <v>1004</v>
      </c>
      <c r="C31" s="252"/>
      <c r="D31" s="215">
        <v>0.0</v>
      </c>
      <c r="E31" s="253"/>
      <c r="F31" s="394" t="str">
        <f t="shared" si="1"/>
        <v>0</v>
      </c>
      <c r="G31" s="252"/>
      <c r="H31" s="18"/>
    </row>
    <row r="32">
      <c r="A32" s="215">
        <v>17.0</v>
      </c>
      <c r="B32" s="214" t="s">
        <v>1005</v>
      </c>
      <c r="C32" s="214" t="s">
        <v>1006</v>
      </c>
      <c r="D32" s="215">
        <v>20.0</v>
      </c>
      <c r="E32" s="409" t="str">
        <f>90781/49/1.05/1.1266</f>
        <v>1566</v>
      </c>
      <c r="F32" s="415" t="str">
        <f t="shared" si="1"/>
        <v>31323</v>
      </c>
      <c r="G32" s="214" t="s">
        <v>1017</v>
      </c>
      <c r="H32" s="18"/>
    </row>
    <row r="33" ht="25.5" customHeight="1">
      <c r="A33" s="215">
        <v>18.0</v>
      </c>
      <c r="B33" s="214" t="s">
        <v>1018</v>
      </c>
      <c r="C33" s="214" t="s">
        <v>1019</v>
      </c>
      <c r="D33" s="215">
        <v>60.0</v>
      </c>
      <c r="E33" s="392">
        <v>132.0</v>
      </c>
      <c r="F33" s="394" t="str">
        <f t="shared" si="1"/>
        <v>7920</v>
      </c>
      <c r="G33" s="218" t="s">
        <v>1022</v>
      </c>
      <c r="H33" s="18"/>
    </row>
    <row r="34" ht="25.5" customHeight="1">
      <c r="A34" s="215">
        <v>19.0</v>
      </c>
      <c r="B34" s="214" t="s">
        <v>1023</v>
      </c>
      <c r="C34" s="214" t="s">
        <v>1019</v>
      </c>
      <c r="D34" s="215">
        <v>10.0</v>
      </c>
      <c r="E34" s="392">
        <v>58.0</v>
      </c>
      <c r="F34" s="394" t="str">
        <f t="shared" si="1"/>
        <v>580</v>
      </c>
      <c r="G34" s="218" t="s">
        <v>1022</v>
      </c>
      <c r="H34" s="18"/>
    </row>
    <row r="35" ht="25.5" customHeight="1">
      <c r="A35" s="215">
        <v>20.0</v>
      </c>
      <c r="B35" s="214" t="s">
        <v>1029</v>
      </c>
      <c r="C35" s="214" t="s">
        <v>1019</v>
      </c>
      <c r="D35" s="215">
        <v>5.0</v>
      </c>
      <c r="E35" s="392">
        <v>58.0</v>
      </c>
      <c r="F35" s="394" t="str">
        <f t="shared" si="1"/>
        <v>290</v>
      </c>
      <c r="G35" s="218" t="s">
        <v>1022</v>
      </c>
      <c r="H35" s="18"/>
    </row>
    <row r="36" ht="25.5" customHeight="1">
      <c r="A36" s="215">
        <v>21.0</v>
      </c>
      <c r="B36" s="214" t="s">
        <v>1032</v>
      </c>
      <c r="C36" s="214" t="s">
        <v>1033</v>
      </c>
      <c r="D36" s="215">
        <v>50.0</v>
      </c>
      <c r="E36" s="392">
        <v>2415.6</v>
      </c>
      <c r="F36" s="394" t="str">
        <f t="shared" si="1"/>
        <v>120780</v>
      </c>
      <c r="G36" s="214" t="s">
        <v>1037</v>
      </c>
      <c r="H36" s="18"/>
    </row>
    <row r="37">
      <c r="A37" s="215">
        <v>22.0</v>
      </c>
      <c r="B37" s="214" t="s">
        <v>1038</v>
      </c>
      <c r="C37" s="214" t="s">
        <v>1040</v>
      </c>
      <c r="D37" s="215">
        <v>0.0</v>
      </c>
      <c r="E37" s="253"/>
      <c r="F37" s="394" t="str">
        <f t="shared" si="1"/>
        <v>0</v>
      </c>
      <c r="G37" s="252"/>
      <c r="H37" s="18"/>
    </row>
    <row r="38">
      <c r="A38" s="215">
        <v>23.0</v>
      </c>
      <c r="B38" s="214" t="s">
        <v>1042</v>
      </c>
      <c r="C38" s="214" t="s">
        <v>1043</v>
      </c>
      <c r="D38" s="215">
        <v>1.0</v>
      </c>
      <c r="E38" s="402" t="str">
        <f>(6054+2725+22715+9033+9033+2368)*2</f>
        <v>103856</v>
      </c>
      <c r="F38" s="394" t="str">
        <f t="shared" si="1"/>
        <v>103856</v>
      </c>
      <c r="G38" s="218" t="s">
        <v>1045</v>
      </c>
      <c r="H38" s="18"/>
    </row>
    <row r="39">
      <c r="A39" s="215">
        <v>24.0</v>
      </c>
      <c r="B39" s="214" t="s">
        <v>1046</v>
      </c>
      <c r="C39" s="214" t="s">
        <v>1047</v>
      </c>
      <c r="D39" s="215">
        <v>100.0</v>
      </c>
      <c r="E39" s="409" t="str">
        <f>38000/49/1.05/1.1266</f>
        <v>656</v>
      </c>
      <c r="F39" s="415" t="str">
        <f t="shared" si="1"/>
        <v>65558</v>
      </c>
      <c r="G39" s="218" t="s">
        <v>1048</v>
      </c>
      <c r="H39" s="18"/>
    </row>
    <row r="40">
      <c r="A40" s="215">
        <v>25.0</v>
      </c>
      <c r="B40" s="214" t="s">
        <v>1049</v>
      </c>
      <c r="C40" s="214" t="s">
        <v>1047</v>
      </c>
      <c r="D40" s="215">
        <v>10.0</v>
      </c>
      <c r="E40" s="409" t="str">
        <f>E39/2</f>
        <v>328</v>
      </c>
      <c r="F40" s="415" t="str">
        <f t="shared" si="1"/>
        <v>3278</v>
      </c>
      <c r="G40" s="218" t="s">
        <v>1048</v>
      </c>
      <c r="H40" s="18"/>
    </row>
    <row r="41">
      <c r="A41" s="215">
        <v>25.0</v>
      </c>
      <c r="B41" s="214" t="s">
        <v>1051</v>
      </c>
      <c r="C41" s="214" t="s">
        <v>1047</v>
      </c>
      <c r="D41" s="215">
        <v>2000.0</v>
      </c>
      <c r="E41" s="409" t="str">
        <f>230/49/1.05/1.1266</f>
        <v>4</v>
      </c>
      <c r="F41" s="415" t="str">
        <f t="shared" si="1"/>
        <v>7936</v>
      </c>
      <c r="G41" s="218" t="s">
        <v>1055</v>
      </c>
      <c r="H41" s="18"/>
    </row>
    <row r="42">
      <c r="A42" s="215">
        <v>26.0</v>
      </c>
      <c r="B42" s="214" t="s">
        <v>1057</v>
      </c>
      <c r="C42" s="214" t="s">
        <v>1058</v>
      </c>
      <c r="D42" s="215">
        <v>30.0</v>
      </c>
      <c r="E42" s="409" t="str">
        <f>(9200/305*1000)/49/1.05/1.1266</f>
        <v>520</v>
      </c>
      <c r="F42" s="415" t="str">
        <f t="shared" si="1"/>
        <v>15612</v>
      </c>
      <c r="G42" s="218" t="s">
        <v>1055</v>
      </c>
      <c r="H42" s="18"/>
    </row>
    <row r="43">
      <c r="A43" s="215">
        <v>27.0</v>
      </c>
      <c r="B43" s="214" t="s">
        <v>1062</v>
      </c>
      <c r="C43" s="214" t="s">
        <v>1063</v>
      </c>
      <c r="D43" s="215">
        <v>2.0</v>
      </c>
      <c r="E43" s="409" t="str">
        <f>(23500/305*1000)/49/1.05/1.1266</f>
        <v>1329</v>
      </c>
      <c r="F43" s="415" t="str">
        <f t="shared" si="1"/>
        <v>2659</v>
      </c>
      <c r="G43" s="218" t="s">
        <v>1055</v>
      </c>
      <c r="H43" s="18"/>
    </row>
    <row r="44">
      <c r="A44" s="215">
        <v>28.0</v>
      </c>
      <c r="B44" s="214" t="s">
        <v>1067</v>
      </c>
      <c r="C44" s="214" t="s">
        <v>1068</v>
      </c>
      <c r="D44" s="215">
        <v>2.0</v>
      </c>
      <c r="E44" s="402" t="str">
        <f>2379+322+354</f>
        <v>3055</v>
      </c>
      <c r="F44" s="394" t="str">
        <f t="shared" si="1"/>
        <v>6110</v>
      </c>
      <c r="G44" s="218" t="s">
        <v>1072</v>
      </c>
      <c r="H44" s="18"/>
    </row>
    <row r="45">
      <c r="A45" s="215">
        <v>29.0</v>
      </c>
      <c r="B45" s="427" t="s">
        <v>1074</v>
      </c>
      <c r="C45" s="214" t="s">
        <v>1083</v>
      </c>
      <c r="D45" s="215">
        <v>40.0</v>
      </c>
      <c r="E45" s="402" t="str">
        <f>'C:\Documents and Settings\b0041596\My Documents\DTH\AOP 10-11\[DTH Capex Budgeting-Final 6.xls]HE Capex'!G34</f>
        <v>#REF!</v>
      </c>
      <c r="F45" s="394" t="str">
        <f t="shared" si="1"/>
        <v>#REF!</v>
      </c>
      <c r="G45" s="218" t="s">
        <v>1086</v>
      </c>
      <c r="H45" s="18"/>
    </row>
    <row r="46">
      <c r="A46" s="215">
        <v>30.0</v>
      </c>
      <c r="B46" s="427" t="s">
        <v>1087</v>
      </c>
      <c r="C46" s="214" t="s">
        <v>1088</v>
      </c>
      <c r="D46" s="215">
        <v>25.0</v>
      </c>
      <c r="E46" s="392">
        <v>800.0</v>
      </c>
      <c r="F46" s="394" t="str">
        <f t="shared" si="1"/>
        <v>20000</v>
      </c>
      <c r="G46" s="218" t="s">
        <v>1090</v>
      </c>
      <c r="H46" s="18"/>
    </row>
    <row r="47">
      <c r="A47" s="215">
        <v>31.0</v>
      </c>
      <c r="B47" s="427" t="s">
        <v>1091</v>
      </c>
      <c r="C47" s="252"/>
      <c r="D47" s="215">
        <v>80.0</v>
      </c>
      <c r="E47" s="215">
        <v>750.0</v>
      </c>
      <c r="F47" s="394" t="str">
        <f t="shared" si="1"/>
        <v>60000</v>
      </c>
      <c r="G47" s="218" t="s">
        <v>1093</v>
      </c>
      <c r="H47" s="18"/>
    </row>
    <row r="48">
      <c r="A48" s="215">
        <v>32.0</v>
      </c>
      <c r="B48" s="214" t="s">
        <v>1094</v>
      </c>
      <c r="C48" s="427" t="s">
        <v>1047</v>
      </c>
      <c r="D48" s="215">
        <v>100.0</v>
      </c>
      <c r="E48" s="215">
        <v>80.0</v>
      </c>
      <c r="F48" s="394" t="str">
        <f t="shared" si="1"/>
        <v>8000</v>
      </c>
      <c r="G48" s="218" t="s">
        <v>1096</v>
      </c>
      <c r="H48" s="18"/>
    </row>
    <row r="49">
      <c r="A49" s="384" t="s">
        <v>1097</v>
      </c>
      <c r="B49" s="385" t="s">
        <v>1098</v>
      </c>
      <c r="C49" s="386"/>
      <c r="D49" s="387"/>
      <c r="E49" s="387"/>
      <c r="F49" s="430" t="str">
        <f>SUM(F50:F64)</f>
        <v>#REF!</v>
      </c>
      <c r="G49" s="250"/>
      <c r="H49" s="18"/>
    </row>
    <row r="50" ht="38.25" customHeight="1">
      <c r="A50" s="215">
        <v>1.0</v>
      </c>
      <c r="B50" s="214" t="s">
        <v>1101</v>
      </c>
      <c r="C50" s="252"/>
      <c r="D50" s="215">
        <v>160.0</v>
      </c>
      <c r="E50" s="402" t="str">
        <f>'C:\Documents and Settings\b0041596\My Documents\DTH\AOP 10-11\[DTH Capex Budgeting-Final 6.xls]HE Capex'!G37</f>
        <v>#REF!</v>
      </c>
      <c r="F50" s="394" t="str">
        <f t="shared" ref="F50:F64" si="2">D50*E50</f>
        <v>#REF!</v>
      </c>
      <c r="G50" s="218" t="s">
        <v>1102</v>
      </c>
      <c r="H50" s="18"/>
    </row>
    <row r="51">
      <c r="A51" s="215">
        <v>2.0</v>
      </c>
      <c r="B51" s="214" t="s">
        <v>1103</v>
      </c>
      <c r="C51" s="214" t="s">
        <v>1104</v>
      </c>
      <c r="D51" s="215">
        <v>4.0</v>
      </c>
      <c r="E51" s="402" t="str">
        <f t="shared" ref="E51:E52" si="3">'C:\Documents and Settings\b0041596\My Documents\DTH\AOP 10-11\[DTH Capex Budgeting-Final 6.xls]HE Capex'!G45</f>
        <v>#REF!</v>
      </c>
      <c r="F51" s="394" t="str">
        <f t="shared" si="2"/>
        <v>#REF!</v>
      </c>
      <c r="G51" s="218" t="s">
        <v>1105</v>
      </c>
      <c r="H51" s="18"/>
    </row>
    <row r="52">
      <c r="A52" s="215">
        <v>3.0</v>
      </c>
      <c r="B52" s="214" t="s">
        <v>1106</v>
      </c>
      <c r="C52" s="214" t="s">
        <v>1107</v>
      </c>
      <c r="D52" s="215">
        <v>2.0</v>
      </c>
      <c r="E52" s="402" t="str">
        <f t="shared" si="3"/>
        <v>#REF!</v>
      </c>
      <c r="F52" s="394" t="str">
        <f t="shared" si="2"/>
        <v>#REF!</v>
      </c>
      <c r="G52" s="218" t="s">
        <v>1108</v>
      </c>
      <c r="H52" s="18"/>
    </row>
    <row r="53" ht="25.5" customHeight="1">
      <c r="A53" s="215">
        <v>4.0</v>
      </c>
      <c r="B53" s="214" t="s">
        <v>1109</v>
      </c>
      <c r="C53" s="214" t="s">
        <v>1110</v>
      </c>
      <c r="D53" s="215">
        <v>8.0</v>
      </c>
      <c r="E53" s="402" t="str">
        <f>'C:\Documents and Settings\b0041596\My Documents\DTH\AOP 10-11\[DTH Capex Budgeting-Final 6.xls]HE Capex'!G35</f>
        <v>#REF!</v>
      </c>
      <c r="F53" s="394" t="str">
        <f t="shared" si="2"/>
        <v>#REF!</v>
      </c>
      <c r="G53" s="218" t="s">
        <v>1111</v>
      </c>
      <c r="H53" s="18"/>
    </row>
    <row r="54" ht="25.5" customHeight="1">
      <c r="A54" s="215">
        <v>5.0</v>
      </c>
      <c r="B54" s="214" t="s">
        <v>1109</v>
      </c>
      <c r="C54" s="214" t="s">
        <v>1083</v>
      </c>
      <c r="D54" s="215">
        <v>25.0</v>
      </c>
      <c r="E54" s="402" t="str">
        <f>'C:\Documents and Settings\b0041596\My Documents\DTH\AOP 10-11\[DTH Capex Budgeting-Final 6.xls]HE Capex'!G34</f>
        <v>#REF!</v>
      </c>
      <c r="F54" s="394" t="str">
        <f t="shared" si="2"/>
        <v>#REF!</v>
      </c>
      <c r="G54" s="218" t="s">
        <v>1111</v>
      </c>
      <c r="H54" s="18"/>
    </row>
    <row r="55" ht="25.5" customHeight="1">
      <c r="A55" s="215">
        <v>6.0</v>
      </c>
      <c r="B55" s="214" t="s">
        <v>1109</v>
      </c>
      <c r="C55" s="214" t="s">
        <v>1112</v>
      </c>
      <c r="D55" s="215">
        <v>4.0</v>
      </c>
      <c r="E55" s="402" t="str">
        <f>'C:\Documents and Settings\b0041596\My Documents\DTH\AOP 10-11\[DTH Capex Budgeting-Final 6.xls]HE Capex'!G36</f>
        <v>#REF!</v>
      </c>
      <c r="F55" s="394" t="str">
        <f t="shared" si="2"/>
        <v>#REF!</v>
      </c>
      <c r="G55" s="218" t="s">
        <v>1111</v>
      </c>
      <c r="H55" s="18"/>
    </row>
    <row r="56">
      <c r="A56" s="215">
        <v>7.0</v>
      </c>
      <c r="B56" s="214" t="s">
        <v>1113</v>
      </c>
      <c r="C56" s="252"/>
      <c r="D56" s="215">
        <v>6.0</v>
      </c>
      <c r="E56" s="402" t="str">
        <f t="shared" ref="E56:E57" si="4">'C:\Documents and Settings\b0041596\My Documents\DTH\AOP 10-11\[DTH Capex Budgeting-Final 6.xls]HE Capex'!G47</f>
        <v>#REF!</v>
      </c>
      <c r="F56" s="394" t="str">
        <f t="shared" si="2"/>
        <v>#REF!</v>
      </c>
      <c r="G56" s="214" t="s">
        <v>1114</v>
      </c>
      <c r="H56" s="18"/>
    </row>
    <row r="57">
      <c r="A57" s="215">
        <v>8.0</v>
      </c>
      <c r="B57" s="214" t="s">
        <v>1116</v>
      </c>
      <c r="C57" s="252"/>
      <c r="D57" s="215">
        <v>0.0</v>
      </c>
      <c r="E57" s="402" t="str">
        <f t="shared" si="4"/>
        <v>#REF!</v>
      </c>
      <c r="F57" s="394" t="str">
        <f t="shared" si="2"/>
        <v>#REF!</v>
      </c>
      <c r="G57" s="252"/>
      <c r="H57" s="18"/>
    </row>
    <row r="58" ht="25.5" customHeight="1">
      <c r="A58" s="215">
        <v>9.0</v>
      </c>
      <c r="B58" s="214" t="s">
        <v>1117</v>
      </c>
      <c r="C58" s="252"/>
      <c r="D58" s="215">
        <v>2.0</v>
      </c>
      <c r="E58" s="402" t="str">
        <f>'C:\Documents and Settings\b0041596\My Documents\DTH\AOP 10-11\[DTH Capex Budgeting-Final 6.xls]HE Capex'!G50</f>
        <v>#REF!</v>
      </c>
      <c r="F58" s="394" t="str">
        <f t="shared" si="2"/>
        <v>#REF!</v>
      </c>
      <c r="G58" s="218" t="s">
        <v>1118</v>
      </c>
      <c r="H58" s="18"/>
    </row>
    <row r="59" ht="25.5" customHeight="1">
      <c r="A59" s="215">
        <v>10.0</v>
      </c>
      <c r="B59" s="214" t="s">
        <v>1119</v>
      </c>
      <c r="C59" s="214" t="s">
        <v>1120</v>
      </c>
      <c r="D59" s="215">
        <v>20.0</v>
      </c>
      <c r="E59" s="409" t="str">
        <f>140808/23</f>
        <v>6122</v>
      </c>
      <c r="F59" s="394" t="str">
        <f t="shared" si="2"/>
        <v>122441.7391</v>
      </c>
      <c r="G59" s="218" t="s">
        <v>1121</v>
      </c>
      <c r="H59" s="18"/>
    </row>
    <row r="60">
      <c r="A60" s="215">
        <v>11.0</v>
      </c>
      <c r="B60" s="214" t="s">
        <v>1122</v>
      </c>
      <c r="C60" s="252"/>
      <c r="D60" s="215">
        <v>10.0</v>
      </c>
      <c r="E60" s="215">
        <v>1000.0</v>
      </c>
      <c r="F60" s="394" t="str">
        <f t="shared" si="2"/>
        <v>10000</v>
      </c>
      <c r="G60" s="218" t="s">
        <v>1124</v>
      </c>
      <c r="H60" s="18"/>
    </row>
    <row r="61">
      <c r="A61" s="215">
        <v>12.0</v>
      </c>
      <c r="B61" s="214" t="s">
        <v>1125</v>
      </c>
      <c r="C61" s="214" t="s">
        <v>1126</v>
      </c>
      <c r="D61" s="215">
        <v>4.0</v>
      </c>
      <c r="E61" s="434">
        <v>12630.0</v>
      </c>
      <c r="F61" s="394" t="str">
        <f t="shared" si="2"/>
        <v>50520</v>
      </c>
      <c r="G61" s="214" t="s">
        <v>1130</v>
      </c>
      <c r="H61" s="18"/>
    </row>
    <row r="62">
      <c r="A62" s="215">
        <v>13.0</v>
      </c>
      <c r="B62" s="214" t="s">
        <v>1131</v>
      </c>
      <c r="C62" s="214" t="s">
        <v>1132</v>
      </c>
      <c r="D62" s="215">
        <v>0.0</v>
      </c>
      <c r="E62" s="215">
        <v>0.0</v>
      </c>
      <c r="F62" s="394" t="str">
        <f t="shared" si="2"/>
        <v>0</v>
      </c>
      <c r="G62" s="250"/>
      <c r="H62" s="18"/>
    </row>
    <row r="63">
      <c r="A63" s="215">
        <v>14.0</v>
      </c>
      <c r="B63" s="214" t="s">
        <v>1133</v>
      </c>
      <c r="C63" s="214" t="s">
        <v>1134</v>
      </c>
      <c r="D63" s="215">
        <v>4.0</v>
      </c>
      <c r="E63" s="409" t="str">
        <f>(2779+1180+180*30*0.65+260*3*0.65)/3</f>
        <v>2659</v>
      </c>
      <c r="F63" s="415" t="str">
        <f t="shared" si="2"/>
        <v>10635</v>
      </c>
      <c r="G63" s="218" t="s">
        <v>1136</v>
      </c>
      <c r="H63" s="18"/>
    </row>
    <row r="64">
      <c r="A64" s="215">
        <v>15.0</v>
      </c>
      <c r="B64" s="214" t="s">
        <v>1137</v>
      </c>
      <c r="C64" s="214" t="s">
        <v>1138</v>
      </c>
      <c r="D64" s="215">
        <v>4.0</v>
      </c>
      <c r="E64" s="409" t="str">
        <f>(1386+1050+420+350*15)</f>
        <v>8106</v>
      </c>
      <c r="F64" s="394" t="str">
        <f t="shared" si="2"/>
        <v>32424</v>
      </c>
      <c r="G64" s="218" t="s">
        <v>1142</v>
      </c>
      <c r="H64" s="18"/>
    </row>
    <row r="65">
      <c r="A65" s="384" t="s">
        <v>1143</v>
      </c>
      <c r="B65" s="385" t="s">
        <v>1144</v>
      </c>
      <c r="C65" s="386"/>
      <c r="D65" s="387"/>
      <c r="E65" s="387"/>
      <c r="F65" s="437" t="str">
        <f>SUM(F66:F78)</f>
        <v>103553.1343</v>
      </c>
      <c r="G65" s="250"/>
      <c r="H65" s="18"/>
    </row>
    <row r="66" ht="25.5" customHeight="1">
      <c r="A66" s="215">
        <v>1.0</v>
      </c>
      <c r="B66" s="214" t="s">
        <v>1145</v>
      </c>
      <c r="C66" s="214" t="s">
        <v>1146</v>
      </c>
      <c r="D66" s="215">
        <v>8.0</v>
      </c>
      <c r="E66" s="434">
        <v>5890.0</v>
      </c>
      <c r="F66" s="394" t="str">
        <f t="shared" ref="F66:F78" si="5">D66*E66</f>
        <v>47120</v>
      </c>
      <c r="G66" s="218" t="s">
        <v>1124</v>
      </c>
      <c r="H66" s="18"/>
    </row>
    <row r="67">
      <c r="A67" s="215">
        <v>2.0</v>
      </c>
      <c r="B67" s="214" t="s">
        <v>1147</v>
      </c>
      <c r="C67" s="252"/>
      <c r="D67" s="215">
        <v>0.0</v>
      </c>
      <c r="E67" s="215">
        <v>0.0</v>
      </c>
      <c r="F67" s="394" t="str">
        <f t="shared" si="5"/>
        <v>0</v>
      </c>
      <c r="G67" s="250"/>
      <c r="H67" s="18"/>
    </row>
    <row r="68">
      <c r="A68" s="215">
        <v>3.0</v>
      </c>
      <c r="B68" s="214" t="s">
        <v>1148</v>
      </c>
      <c r="C68" s="214" t="s">
        <v>1149</v>
      </c>
      <c r="D68" s="215">
        <v>1.0</v>
      </c>
      <c r="E68" s="215">
        <v>15000.0</v>
      </c>
      <c r="F68" s="394" t="str">
        <f t="shared" si="5"/>
        <v>15000</v>
      </c>
      <c r="G68" s="218" t="s">
        <v>1150</v>
      </c>
      <c r="H68" s="18"/>
    </row>
    <row r="69">
      <c r="A69" s="215">
        <v>4.0</v>
      </c>
      <c r="B69" s="214" t="s">
        <v>1148</v>
      </c>
      <c r="C69" s="214" t="s">
        <v>1151</v>
      </c>
      <c r="D69" s="215">
        <v>0.0</v>
      </c>
      <c r="E69" s="409" t="str">
        <f>130000/49/1.05/1.1266</f>
        <v>2243</v>
      </c>
      <c r="F69" s="394" t="str">
        <f t="shared" si="5"/>
        <v>0</v>
      </c>
      <c r="G69" s="218" t="s">
        <v>1150</v>
      </c>
      <c r="H69" s="18"/>
    </row>
    <row r="70">
      <c r="A70" s="215">
        <v>5.0</v>
      </c>
      <c r="B70" s="214" t="s">
        <v>1153</v>
      </c>
      <c r="C70" s="214" t="s">
        <v>1154</v>
      </c>
      <c r="D70" s="215">
        <v>1.0</v>
      </c>
      <c r="E70" s="215">
        <v>10000.0</v>
      </c>
      <c r="F70" s="394" t="str">
        <f t="shared" si="5"/>
        <v>10000</v>
      </c>
      <c r="G70" s="218" t="s">
        <v>1150</v>
      </c>
      <c r="H70" s="18"/>
    </row>
    <row r="71">
      <c r="A71" s="215">
        <v>6.0</v>
      </c>
      <c r="B71" s="214" t="s">
        <v>1155</v>
      </c>
      <c r="C71" s="214" t="s">
        <v>1047</v>
      </c>
      <c r="D71" s="215">
        <v>10.0</v>
      </c>
      <c r="E71" s="215">
        <v>1000.0</v>
      </c>
      <c r="F71" s="394" t="str">
        <f t="shared" si="5"/>
        <v>10000</v>
      </c>
      <c r="G71" s="250"/>
      <c r="H71" s="18"/>
    </row>
    <row r="72" ht="25.5" customHeight="1">
      <c r="A72" s="215">
        <v>7.0</v>
      </c>
      <c r="B72" s="427" t="s">
        <v>1156</v>
      </c>
      <c r="C72" s="214" t="s">
        <v>1149</v>
      </c>
      <c r="D72" s="215">
        <v>1.0</v>
      </c>
      <c r="E72" s="215">
        <v>2500.0</v>
      </c>
      <c r="F72" s="394" t="str">
        <f t="shared" si="5"/>
        <v>2500</v>
      </c>
      <c r="G72" s="218" t="s">
        <v>1157</v>
      </c>
      <c r="H72" s="18"/>
    </row>
    <row r="73" ht="25.5" customHeight="1">
      <c r="A73" s="215">
        <v>8.0</v>
      </c>
      <c r="B73" s="427" t="s">
        <v>1158</v>
      </c>
      <c r="C73" s="214" t="s">
        <v>658</v>
      </c>
      <c r="D73" s="215">
        <v>4.0</v>
      </c>
      <c r="E73" s="409" t="str">
        <f>128000/49/1.05/1.1266</f>
        <v>2208</v>
      </c>
      <c r="F73" s="394" t="str">
        <f t="shared" si="5"/>
        <v>8833.134329</v>
      </c>
      <c r="G73" s="218" t="s">
        <v>1157</v>
      </c>
      <c r="H73" s="18"/>
    </row>
    <row r="74" ht="25.5" customHeight="1">
      <c r="A74" s="215">
        <v>9.0</v>
      </c>
      <c r="B74" s="427" t="s">
        <v>1159</v>
      </c>
      <c r="C74" s="214" t="s">
        <v>1107</v>
      </c>
      <c r="D74" s="215">
        <v>2.0</v>
      </c>
      <c r="E74" s="215">
        <v>1000.0</v>
      </c>
      <c r="F74" s="394" t="str">
        <f t="shared" si="5"/>
        <v>2000</v>
      </c>
      <c r="G74" s="218" t="s">
        <v>1157</v>
      </c>
      <c r="H74" s="18"/>
    </row>
    <row r="75" ht="25.5" customHeight="1">
      <c r="A75" s="215">
        <v>10.0</v>
      </c>
      <c r="B75" s="427" t="s">
        <v>1160</v>
      </c>
      <c r="C75" s="214" t="s">
        <v>1161</v>
      </c>
      <c r="D75" s="215">
        <v>4.0</v>
      </c>
      <c r="E75" s="215">
        <v>1000.0</v>
      </c>
      <c r="F75" s="394" t="str">
        <f t="shared" si="5"/>
        <v>4000</v>
      </c>
      <c r="G75" s="218" t="s">
        <v>1157</v>
      </c>
      <c r="H75" s="18"/>
    </row>
    <row r="76" ht="25.5" customHeight="1">
      <c r="A76" s="215">
        <v>11.0</v>
      </c>
      <c r="B76" s="214" t="s">
        <v>1087</v>
      </c>
      <c r="C76" s="214" t="s">
        <v>1088</v>
      </c>
      <c r="D76" s="215">
        <v>2.0</v>
      </c>
      <c r="E76" s="402" t="str">
        <f>E46</f>
        <v>800</v>
      </c>
      <c r="F76" s="394" t="str">
        <f t="shared" si="5"/>
        <v>1600</v>
      </c>
      <c r="G76" s="218" t="s">
        <v>1157</v>
      </c>
      <c r="H76" s="18"/>
    </row>
    <row r="77" ht="25.5" customHeight="1">
      <c r="A77" s="215">
        <v>12.0</v>
      </c>
      <c r="B77" s="214" t="s">
        <v>1162</v>
      </c>
      <c r="C77" s="214" t="s">
        <v>1163</v>
      </c>
      <c r="D77" s="215">
        <v>1.0</v>
      </c>
      <c r="E77" s="215">
        <v>500.0</v>
      </c>
      <c r="F77" s="394" t="str">
        <f t="shared" si="5"/>
        <v>500</v>
      </c>
      <c r="G77" s="218" t="s">
        <v>1157</v>
      </c>
      <c r="H77" s="18"/>
    </row>
    <row r="78" ht="25.5" customHeight="1">
      <c r="A78" s="215">
        <v>13.0</v>
      </c>
      <c r="B78" s="214" t="s">
        <v>890</v>
      </c>
      <c r="C78" s="252"/>
      <c r="D78" s="215">
        <v>1.0</v>
      </c>
      <c r="E78" s="215">
        <v>2000.0</v>
      </c>
      <c r="F78" s="394" t="str">
        <f t="shared" si="5"/>
        <v>2000</v>
      </c>
      <c r="G78" s="218" t="s">
        <v>1157</v>
      </c>
      <c r="H78" s="18"/>
    </row>
    <row r="79" ht="25.5" customHeight="1">
      <c r="A79" s="384" t="s">
        <v>1165</v>
      </c>
      <c r="B79" s="385" t="s">
        <v>1166</v>
      </c>
      <c r="C79" s="386"/>
      <c r="D79" s="387"/>
      <c r="E79" s="387"/>
      <c r="F79" s="437" t="str">
        <f>SUM(F80:F84)</f>
        <v>40546</v>
      </c>
      <c r="G79" s="218" t="s">
        <v>1167</v>
      </c>
      <c r="H79" s="18"/>
    </row>
    <row r="80">
      <c r="A80" s="215">
        <v>1.0</v>
      </c>
      <c r="B80" s="427" t="s">
        <v>1168</v>
      </c>
      <c r="C80" s="252"/>
      <c r="D80" s="215">
        <v>1.0</v>
      </c>
      <c r="E80" s="434">
        <v>40546.0</v>
      </c>
      <c r="F80" s="439" t="str">
        <f t="shared" ref="F80:F84" si="6">D80*E80</f>
        <v>40546</v>
      </c>
      <c r="G80" s="250"/>
      <c r="H80" s="18"/>
    </row>
    <row r="81">
      <c r="A81" s="215">
        <v>2.0</v>
      </c>
      <c r="B81" s="427" t="s">
        <v>1169</v>
      </c>
      <c r="C81" s="252"/>
      <c r="D81" s="215">
        <v>1.0</v>
      </c>
      <c r="E81" s="215">
        <v>0.0</v>
      </c>
      <c r="F81" s="439" t="str">
        <f t="shared" si="6"/>
        <v>0</v>
      </c>
      <c r="G81" s="250"/>
      <c r="H81" s="18"/>
    </row>
    <row r="82" ht="25.5" customHeight="1">
      <c r="A82" s="215">
        <v>3.0</v>
      </c>
      <c r="B82" s="427" t="s">
        <v>1170</v>
      </c>
      <c r="C82" s="252"/>
      <c r="D82" s="215">
        <v>1.0</v>
      </c>
      <c r="E82" s="215">
        <v>0.0</v>
      </c>
      <c r="F82" s="439" t="str">
        <f t="shared" si="6"/>
        <v>0</v>
      </c>
      <c r="G82" s="250"/>
      <c r="H82" s="18"/>
    </row>
    <row r="83">
      <c r="A83" s="253"/>
      <c r="B83" s="427" t="s">
        <v>1171</v>
      </c>
      <c r="C83" s="252"/>
      <c r="D83" s="253"/>
      <c r="E83" s="253"/>
      <c r="F83" s="439" t="str">
        <f t="shared" si="6"/>
        <v>0</v>
      </c>
      <c r="G83" s="250"/>
      <c r="H83" s="18"/>
    </row>
    <row r="84">
      <c r="A84" s="253"/>
      <c r="B84" s="427" t="s">
        <v>1172</v>
      </c>
      <c r="C84" s="252"/>
      <c r="D84" s="253"/>
      <c r="E84" s="253"/>
      <c r="F84" s="439" t="str">
        <f t="shared" si="6"/>
        <v>0</v>
      </c>
      <c r="G84" s="250"/>
      <c r="H84" s="18"/>
    </row>
    <row r="85" ht="25.5" customHeight="1">
      <c r="A85" s="384" t="s">
        <v>1173</v>
      </c>
      <c r="B85" s="385" t="s">
        <v>1174</v>
      </c>
      <c r="C85" s="386"/>
      <c r="D85" s="387"/>
      <c r="E85" s="387"/>
      <c r="F85" s="437" t="str">
        <f>SUM(F86:F88)</f>
        <v>1200000</v>
      </c>
      <c r="G85" s="218" t="s">
        <v>1175</v>
      </c>
      <c r="H85" s="18"/>
    </row>
    <row r="86">
      <c r="A86" s="215">
        <v>1.0</v>
      </c>
      <c r="B86" s="214" t="s">
        <v>1176</v>
      </c>
      <c r="C86" s="252"/>
      <c r="D86" s="215">
        <v>1.0</v>
      </c>
      <c r="E86" s="409" t="str">
        <f>400000</f>
        <v>400000</v>
      </c>
      <c r="F86" s="439" t="str">
        <f t="shared" ref="F86:F89" si="7">D86*E86</f>
        <v>400000</v>
      </c>
      <c r="G86" s="250"/>
      <c r="H86" s="18"/>
    </row>
    <row r="87">
      <c r="A87" s="215">
        <v>2.0</v>
      </c>
      <c r="B87" s="214" t="s">
        <v>1177</v>
      </c>
      <c r="C87" s="252"/>
      <c r="D87" s="215">
        <v>1.0</v>
      </c>
      <c r="E87" s="215">
        <v>0.0</v>
      </c>
      <c r="F87" s="439" t="str">
        <f t="shared" si="7"/>
        <v>0</v>
      </c>
      <c r="G87" s="250"/>
      <c r="H87" s="18"/>
    </row>
    <row r="88">
      <c r="A88" s="215">
        <v>3.0</v>
      </c>
      <c r="B88" s="214" t="s">
        <v>1178</v>
      </c>
      <c r="C88" s="214" t="s">
        <v>1179</v>
      </c>
      <c r="D88" s="215">
        <v>1.0</v>
      </c>
      <c r="E88" s="409" t="str">
        <f>800000</f>
        <v>800000</v>
      </c>
      <c r="F88" s="439" t="str">
        <f t="shared" si="7"/>
        <v>800000</v>
      </c>
      <c r="G88" s="250"/>
      <c r="H88" s="18"/>
    </row>
    <row r="89" ht="38.25" customHeight="1">
      <c r="A89" s="384" t="s">
        <v>1180</v>
      </c>
      <c r="B89" s="385" t="s">
        <v>1181</v>
      </c>
      <c r="C89" s="441" t="s">
        <v>791</v>
      </c>
      <c r="D89" s="442">
        <v>1.0</v>
      </c>
      <c r="E89" s="434">
        <v>1100000.0</v>
      </c>
      <c r="F89" s="437" t="str">
        <f t="shared" si="7"/>
        <v>1100000</v>
      </c>
      <c r="G89" s="218" t="s">
        <v>1183</v>
      </c>
      <c r="H89" s="18"/>
    </row>
    <row r="90">
      <c r="A90" s="253"/>
      <c r="B90" s="443"/>
      <c r="C90" s="444"/>
      <c r="D90" s="445"/>
      <c r="E90" s="446"/>
      <c r="F90" s="447"/>
      <c r="G90" s="250"/>
      <c r="H90" s="18"/>
    </row>
    <row r="91" ht="25.5" customHeight="1">
      <c r="A91" s="387"/>
      <c r="B91" s="448" t="s">
        <v>1184</v>
      </c>
      <c r="C91" s="449"/>
      <c r="D91" s="450"/>
      <c r="E91" s="409" t="str">
        <f>(F49+F79)*49*15%</f>
        <v>#REF!</v>
      </c>
      <c r="F91" s="451" t="str">
        <f>E91</f>
        <v>#REF!</v>
      </c>
      <c r="G91" s="218" t="s">
        <v>1186</v>
      </c>
      <c r="H91" s="18"/>
    </row>
    <row r="92" ht="15.75" customHeight="1">
      <c r="A92" s="452" t="s">
        <v>1187</v>
      </c>
      <c r="B92" s="66"/>
      <c r="C92" s="66"/>
      <c r="D92" s="66"/>
      <c r="E92" s="66"/>
      <c r="F92" s="66"/>
      <c r="G92" s="453"/>
    </row>
    <row r="93">
      <c r="A93" s="12"/>
      <c r="B93" s="12"/>
      <c r="C93" s="12"/>
      <c r="D93" s="12"/>
      <c r="E93" s="66"/>
      <c r="F93" s="66"/>
      <c r="H93" s="1"/>
    </row>
    <row r="94" ht="25.5" customHeight="1">
      <c r="B94" s="202" t="s">
        <v>1188</v>
      </c>
      <c r="C94" s="220" t="s">
        <v>1189</v>
      </c>
      <c r="D94" s="454">
        <v>1.0</v>
      </c>
      <c r="E94" s="455" t="str">
        <f>5570150/5</f>
        <v>1,114,030</v>
      </c>
      <c r="F94" s="456" t="str">
        <f t="shared" ref="F94:F95" si="8">E94*D94</f>
        <v>1,114,030</v>
      </c>
      <c r="G94" s="457"/>
      <c r="H94" s="218" t="s">
        <v>1190</v>
      </c>
    </row>
    <row r="95">
      <c r="B95" s="202" t="s">
        <v>1191</v>
      </c>
      <c r="D95" s="454">
        <v>0.0</v>
      </c>
      <c r="E95" s="458">
        <v>50000.0</v>
      </c>
      <c r="F95" s="456" t="str">
        <f t="shared" si="8"/>
        <v>0</v>
      </c>
      <c r="G95" s="457"/>
      <c r="H95" s="250"/>
    </row>
    <row r="96">
      <c r="E96" s="12"/>
      <c r="F96" s="66"/>
      <c r="H96" s="12"/>
    </row>
    <row r="97">
      <c r="A97" s="459"/>
      <c r="B97" s="460"/>
      <c r="C97" s="461" t="s">
        <v>13</v>
      </c>
      <c r="D97" s="459"/>
      <c r="E97" s="462"/>
      <c r="F97" s="463" t="str">
        <f>SUM(F94:F96)</f>
        <v>1,114,030</v>
      </c>
      <c r="G97" s="49"/>
    </row>
    <row r="98">
      <c r="A98" s="464"/>
      <c r="B98" s="465"/>
      <c r="C98" s="465"/>
      <c r="D98" s="464"/>
      <c r="E98" s="466"/>
      <c r="F98" s="467"/>
      <c r="G98" s="250"/>
      <c r="H98" s="18"/>
    </row>
    <row r="99" ht="13.5" customHeight="1">
      <c r="A99" s="468" t="s">
        <v>1194</v>
      </c>
      <c r="B99" s="469" t="s">
        <v>329</v>
      </c>
      <c r="C99" s="465"/>
      <c r="D99" s="464"/>
      <c r="E99" s="466"/>
      <c r="F99" s="467"/>
      <c r="G99" s="250"/>
      <c r="H99" s="18"/>
    </row>
    <row r="100" ht="13.5" customHeight="1">
      <c r="A100" s="257">
        <v>1.0</v>
      </c>
      <c r="B100" s="257" t="s">
        <v>1195</v>
      </c>
      <c r="C100" s="465"/>
      <c r="D100" s="382">
        <v>1.0</v>
      </c>
      <c r="E100" s="257">
        <v>362063.0</v>
      </c>
      <c r="F100" s="467" t="str">
        <f t="shared" ref="F100:F105" si="9">E100*D100</f>
        <v>362,063</v>
      </c>
      <c r="G100" s="470" t="s">
        <v>1196</v>
      </c>
      <c r="H100" s="18"/>
    </row>
    <row r="101">
      <c r="A101" s="257">
        <v>2.0</v>
      </c>
      <c r="B101" s="257" t="s">
        <v>1197</v>
      </c>
      <c r="C101" s="465"/>
      <c r="D101" s="382">
        <v>1.0</v>
      </c>
      <c r="E101" s="257">
        <v>48264.0</v>
      </c>
      <c r="F101" s="467" t="str">
        <f t="shared" si="9"/>
        <v>48,264</v>
      </c>
      <c r="G101" s="471"/>
      <c r="H101" s="18"/>
    </row>
    <row r="102">
      <c r="A102" s="257">
        <v>3.0</v>
      </c>
      <c r="B102" s="257" t="s">
        <v>1198</v>
      </c>
      <c r="C102" s="465"/>
      <c r="D102" s="382">
        <v>1.0</v>
      </c>
      <c r="E102" s="257">
        <v>66244.0</v>
      </c>
      <c r="F102" s="467" t="str">
        <f t="shared" si="9"/>
        <v>66,244</v>
      </c>
      <c r="G102" s="471"/>
      <c r="H102" s="18"/>
    </row>
    <row r="103">
      <c r="A103" s="257">
        <v>4.0</v>
      </c>
      <c r="B103" s="257" t="s">
        <v>1199</v>
      </c>
      <c r="C103" s="465"/>
      <c r="D103" s="382">
        <v>1.0</v>
      </c>
      <c r="E103" s="257">
        <v>626978.0</v>
      </c>
      <c r="F103" s="467" t="str">
        <f t="shared" si="9"/>
        <v>626,978</v>
      </c>
      <c r="G103" s="471"/>
      <c r="H103" s="18"/>
    </row>
    <row r="104">
      <c r="A104" s="257">
        <v>5.0</v>
      </c>
      <c r="B104" s="257" t="s">
        <v>1200</v>
      </c>
      <c r="C104" s="465"/>
      <c r="D104" s="382">
        <v>1.0</v>
      </c>
      <c r="E104" s="419" t="str">
        <f>175720+22140</f>
        <v>197860</v>
      </c>
      <c r="F104" s="467" t="str">
        <f t="shared" si="9"/>
        <v>197,860</v>
      </c>
      <c r="G104" s="471"/>
      <c r="H104" s="18"/>
    </row>
    <row r="105" ht="13.5" customHeight="1">
      <c r="A105" s="257">
        <v>6.0</v>
      </c>
      <c r="B105" s="257" t="s">
        <v>1201</v>
      </c>
      <c r="C105" s="465"/>
      <c r="D105" s="382">
        <v>1.0</v>
      </c>
      <c r="E105" s="419" t="str">
        <f>124705+17000</f>
        <v>141705</v>
      </c>
      <c r="F105" s="467" t="str">
        <f t="shared" si="9"/>
        <v>141,705</v>
      </c>
      <c r="G105" s="472"/>
      <c r="H105" s="18"/>
    </row>
    <row r="106" ht="14.25" customHeight="1">
      <c r="A106" s="396"/>
      <c r="B106" s="473" t="s">
        <v>13</v>
      </c>
      <c r="C106" s="465"/>
      <c r="D106" s="464"/>
      <c r="E106" s="466"/>
      <c r="F106" s="467" t="str">
        <f>SUM(F100:F105)</f>
        <v>1,443,114</v>
      </c>
      <c r="G106" s="250"/>
      <c r="H106" s="18"/>
    </row>
    <row r="107" ht="13.5" customHeight="1">
      <c r="A107" s="464"/>
      <c r="B107" s="465"/>
      <c r="C107" s="465"/>
      <c r="D107" s="464"/>
      <c r="E107" s="466"/>
      <c r="F107" s="467"/>
      <c r="G107" s="250"/>
      <c r="H107" s="18"/>
    </row>
    <row r="108">
      <c r="A108" s="464"/>
      <c r="B108" s="465"/>
      <c r="C108" s="465"/>
      <c r="D108" s="464"/>
      <c r="E108" s="466"/>
      <c r="F108" s="467"/>
      <c r="G108" s="250"/>
      <c r="H108" s="18"/>
    </row>
    <row r="109">
      <c r="A109" s="464"/>
      <c r="B109" s="465"/>
      <c r="C109" s="465"/>
      <c r="D109" s="464"/>
      <c r="E109" s="466"/>
      <c r="F109" s="467"/>
      <c r="G109" s="250"/>
      <c r="H109" s="18"/>
    </row>
    <row r="110">
      <c r="A110" s="464"/>
      <c r="B110" s="465"/>
      <c r="C110" s="465"/>
      <c r="D110" s="464"/>
      <c r="E110" s="466"/>
      <c r="F110" s="467"/>
      <c r="G110" s="250"/>
      <c r="H110" s="18"/>
    </row>
    <row r="111">
      <c r="A111" s="253"/>
      <c r="B111" s="443"/>
      <c r="C111" s="444"/>
      <c r="D111" s="445"/>
      <c r="E111" s="446"/>
      <c r="F111" s="474"/>
      <c r="G111" s="250"/>
      <c r="H111" s="18"/>
    </row>
    <row r="112">
      <c r="A112" s="475"/>
      <c r="B112" s="476" t="s">
        <v>1202</v>
      </c>
      <c r="C112" s="66"/>
      <c r="D112" s="66"/>
      <c r="E112" s="66"/>
      <c r="F112" s="477" t="str">
        <f>F89+F85+F79+F65+F49+F14</f>
        <v>#REF!</v>
      </c>
      <c r="G112" s="250"/>
      <c r="H112" s="18"/>
    </row>
    <row r="113">
      <c r="A113" s="475"/>
      <c r="B113" s="478" t="s">
        <v>379</v>
      </c>
      <c r="C113" s="479" t="s">
        <v>380</v>
      </c>
      <c r="D113" s="480">
        <v>47.0</v>
      </c>
      <c r="E113" s="481"/>
      <c r="F113" s="482"/>
      <c r="G113" s="250"/>
      <c r="H113" s="18"/>
    </row>
    <row r="114">
      <c r="A114" s="475"/>
      <c r="B114" s="483" t="s">
        <v>381</v>
      </c>
      <c r="D114" s="203">
        <v>0.05</v>
      </c>
      <c r="E114" s="481"/>
      <c r="F114" s="482"/>
      <c r="G114" s="250"/>
      <c r="H114" s="18"/>
    </row>
    <row r="115">
      <c r="A115" s="475"/>
      <c r="B115" s="483" t="s">
        <v>383</v>
      </c>
      <c r="D115" s="204">
        <v>0.2152</v>
      </c>
      <c r="E115" s="481"/>
      <c r="F115" s="482"/>
      <c r="G115" s="250"/>
      <c r="H115" s="18"/>
    </row>
    <row r="116">
      <c r="A116" s="475"/>
      <c r="B116" s="483" t="s">
        <v>385</v>
      </c>
      <c r="D116" s="204">
        <v>0.0886</v>
      </c>
      <c r="E116" s="481"/>
      <c r="F116" s="482"/>
      <c r="G116" s="250"/>
      <c r="H116" s="18"/>
    </row>
    <row r="117">
      <c r="A117" s="475"/>
      <c r="B117" s="484" t="s">
        <v>386</v>
      </c>
      <c r="C117" s="1"/>
      <c r="D117" s="485">
        <v>0.1266</v>
      </c>
      <c r="E117" s="481"/>
      <c r="F117" s="482"/>
      <c r="G117" s="250"/>
      <c r="H117" s="18"/>
    </row>
    <row r="118">
      <c r="A118" s="486"/>
      <c r="B118" s="487" t="s">
        <v>1204</v>
      </c>
      <c r="C118" s="66"/>
      <c r="D118" s="66"/>
      <c r="E118" s="66"/>
      <c r="F118" s="488" t="str">
        <f>F112*$D$113*(1+1*$D$114)*(1+1*$D$117)+F91</f>
        <v>#REF!</v>
      </c>
      <c r="G118" s="250"/>
      <c r="H118" s="18"/>
    </row>
    <row r="119">
      <c r="A119" s="12"/>
      <c r="B119" s="12"/>
      <c r="C119" s="12"/>
      <c r="D119" s="12"/>
      <c r="E119" s="66"/>
      <c r="F119" s="12"/>
      <c r="G119" s="66"/>
    </row>
    <row r="120">
      <c r="A120" s="489"/>
      <c r="B120" s="490" t="s">
        <v>355</v>
      </c>
      <c r="C120" s="491"/>
      <c r="D120" s="492">
        <v>11.0</v>
      </c>
      <c r="E120" s="409" t="str">
        <f>1890+1050+420+14*2496</f>
        <v>38304</v>
      </c>
      <c r="F120" s="494" t="str">
        <f>E120*D120</f>
        <v>421344</v>
      </c>
      <c r="G120" s="488" t="str">
        <f>F120*$D$113*(1+1*$D$114)*(1+1*$D$117)</f>
        <v>23,425,762</v>
      </c>
      <c r="H120" s="18"/>
    </row>
    <row r="121">
      <c r="E121" s="12"/>
      <c r="G121" s="496" t="str">
        <f>F121*48*1.3</f>
        <v>0</v>
      </c>
    </row>
    <row r="122">
      <c r="B122" s="220" t="s">
        <v>1214</v>
      </c>
      <c r="C122" s="220" t="s">
        <v>1215</v>
      </c>
      <c r="F122" s="497" t="str">
        <f>F89</f>
        <v>$1,100,000</v>
      </c>
      <c r="G122" s="488" t="str">
        <f t="shared" ref="G122:G126" si="10">F122*$D$113*(1+1*$D$114)*(1+1*$D$117)</f>
        <v>61,157,481</v>
      </c>
      <c r="H122" s="18"/>
    </row>
    <row r="123" ht="25.5" customHeight="1">
      <c r="B123" s="220" t="s">
        <v>1174</v>
      </c>
      <c r="C123" s="220" t="s">
        <v>1219</v>
      </c>
      <c r="F123" s="497" t="str">
        <f>F85</f>
        <v>$1,200,000</v>
      </c>
      <c r="G123" s="488" t="str">
        <f t="shared" si="10"/>
        <v>66,717,252</v>
      </c>
      <c r="H123" s="18"/>
    </row>
    <row r="124">
      <c r="B124" s="220" t="s">
        <v>1220</v>
      </c>
      <c r="F124" s="498" t="str">
        <f>F65+'C:\Documents and Settings\b0041596\My Documents\DTH\AOP 10-11\[DTH Capex Budgeting-Final 6.xls]NOC'!G9</f>
        <v>#REF!</v>
      </c>
      <c r="G124" s="488" t="str">
        <f t="shared" si="10"/>
        <v>#REF!</v>
      </c>
      <c r="H124" s="18"/>
    </row>
    <row r="125">
      <c r="B125" s="220" t="s">
        <v>1223</v>
      </c>
      <c r="C125" s="220" t="s">
        <v>1224</v>
      </c>
      <c r="F125" s="499" t="str">
        <f>F49+F79</f>
        <v>#REF!</v>
      </c>
      <c r="G125" s="488" t="str">
        <f t="shared" si="10"/>
        <v>#REF!</v>
      </c>
      <c r="H125" s="18"/>
    </row>
    <row r="126">
      <c r="B126" s="220" t="s">
        <v>1225</v>
      </c>
      <c r="C126" s="220" t="s">
        <v>1224</v>
      </c>
      <c r="F126" s="499" t="str">
        <f>F14</f>
        <v>#REF!</v>
      </c>
      <c r="G126" s="488" t="str">
        <f t="shared" si="10"/>
        <v>#REF!</v>
      </c>
      <c r="H126" s="18"/>
    </row>
    <row r="127" ht="25.5" customHeight="1">
      <c r="B127" s="220" t="s">
        <v>357</v>
      </c>
      <c r="C127" s="220" t="s">
        <v>1227</v>
      </c>
      <c r="G127" s="500" t="str">
        <f>F91</f>
        <v>#REF!</v>
      </c>
    </row>
    <row r="128" ht="28.5" customHeight="1">
      <c r="B128" s="220" t="s">
        <v>1228</v>
      </c>
      <c r="C128" s="220" t="s">
        <v>1229</v>
      </c>
      <c r="G128" s="222" t="str">
        <f>F97</f>
        <v>1,114,030</v>
      </c>
    </row>
    <row r="129" ht="28.5" customHeight="1">
      <c r="B129" s="501" t="s">
        <v>1230</v>
      </c>
      <c r="C129" s="501" t="s">
        <v>1232</v>
      </c>
      <c r="D129" s="1"/>
      <c r="E129" s="1"/>
      <c r="F129" s="1"/>
      <c r="G129" s="502" t="str">
        <f>F106</f>
        <v>1,443,114</v>
      </c>
    </row>
    <row r="130" ht="13.5" customHeight="1">
      <c r="A130" s="2"/>
      <c r="B130" s="503" t="s">
        <v>1234</v>
      </c>
      <c r="C130" s="66"/>
      <c r="D130" s="66"/>
      <c r="E130" s="66"/>
      <c r="F130" s="66"/>
      <c r="G130" s="66"/>
      <c r="H130" s="18"/>
    </row>
  </sheetData>
  <mergeCells count="6">
    <mergeCell ref="A2:C2"/>
    <mergeCell ref="A11:G11"/>
    <mergeCell ref="A92:F92"/>
    <mergeCell ref="B112:E112"/>
    <mergeCell ref="B118:E118"/>
    <mergeCell ref="B130:G13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2.75"/>
  <cols>
    <col customWidth="1" min="1" max="1" width="9.29"/>
    <col customWidth="1" min="2" max="2" width="24.29"/>
    <col customWidth="1" min="3" max="6" width="9.29"/>
    <col customWidth="1" min="7" max="7" width="11.71"/>
    <col customWidth="1" min="8" max="10" width="9.29"/>
    <col customWidth="1" min="11" max="11" width="13.57"/>
  </cols>
  <sheetData>
    <row r="2">
      <c r="A2" s="51" t="s">
        <v>135</v>
      </c>
    </row>
    <row r="3" ht="15.0" customHeight="1">
      <c r="D3" s="52">
        <v>40522.0</v>
      </c>
    </row>
    <row r="4" ht="30.75" customHeight="1">
      <c r="D4" s="53" t="s">
        <v>136</v>
      </c>
      <c r="F4" s="54" t="s">
        <v>137</v>
      </c>
      <c r="G4" s="54" t="s">
        <v>138</v>
      </c>
      <c r="J4" s="56" t="s">
        <v>137</v>
      </c>
    </row>
    <row r="5">
      <c r="C5" s="57" t="s">
        <v>140</v>
      </c>
    </row>
    <row r="6">
      <c r="A6" s="58">
        <v>1.0</v>
      </c>
      <c r="B6" s="59" t="s">
        <v>141</v>
      </c>
      <c r="D6" s="57">
        <v>7.0</v>
      </c>
      <c r="E6" s="57">
        <v>11.0</v>
      </c>
      <c r="F6" s="62" t="str">
        <f>E6-D6</f>
        <v>4</v>
      </c>
      <c r="I6" s="57">
        <v>12.0</v>
      </c>
      <c r="J6" s="62" t="str">
        <f>I6-D6</f>
        <v>5</v>
      </c>
    </row>
    <row r="7">
      <c r="B7" s="57" t="s">
        <v>145</v>
      </c>
      <c r="C7" s="57" t="s">
        <v>146</v>
      </c>
      <c r="G7" s="57">
        <v>55.7</v>
      </c>
    </row>
    <row r="8">
      <c r="B8" s="57" t="s">
        <v>147</v>
      </c>
      <c r="C8" s="57" t="s">
        <v>146</v>
      </c>
      <c r="G8" s="62" t="str">
        <f>G7*4%</f>
        <v>2.228</v>
      </c>
    </row>
    <row r="9">
      <c r="B9" s="57" t="s">
        <v>149</v>
      </c>
      <c r="C9" s="57" t="s">
        <v>146</v>
      </c>
      <c r="G9" s="57">
        <v>2.5</v>
      </c>
    </row>
    <row r="10">
      <c r="B10" s="57" t="s">
        <v>150</v>
      </c>
      <c r="C10" s="57" t="s">
        <v>146</v>
      </c>
      <c r="G10" s="57">
        <v>2.0</v>
      </c>
    </row>
    <row r="11">
      <c r="B11" s="57" t="s">
        <v>151</v>
      </c>
      <c r="C11" s="57" t="s">
        <v>146</v>
      </c>
      <c r="G11" s="62" t="str">
        <f>G7-SUM(G8:G10)</f>
        <v>48.972</v>
      </c>
    </row>
    <row r="12">
      <c r="B12" s="57" t="s">
        <v>152</v>
      </c>
      <c r="C12" s="57" t="s">
        <v>146</v>
      </c>
      <c r="G12" s="62" t="str">
        <f>G11*F6</f>
        <v>195.888</v>
      </c>
      <c r="K12" s="62" t="str">
        <f>G11*J6</f>
        <v>244.86</v>
      </c>
    </row>
    <row r="13">
      <c r="A13" s="70" t="str">
        <f>A6+1</f>
        <v>2.00</v>
      </c>
      <c r="B13" s="59" t="s">
        <v>154</v>
      </c>
    </row>
    <row r="14">
      <c r="A14" s="71" t="str">
        <f t="shared" ref="A14:A17" si="1">A13+0.01</f>
        <v>2.01</v>
      </c>
      <c r="B14" s="57" t="s">
        <v>155</v>
      </c>
      <c r="C14" s="57" t="s">
        <v>156</v>
      </c>
      <c r="D14" s="57">
        <v>197.0</v>
      </c>
      <c r="E14" s="57">
        <v>255.0</v>
      </c>
      <c r="F14" s="62" t="str">
        <f t="shared" ref="F14:F18" si="2">E14-D14</f>
        <v>58</v>
      </c>
      <c r="G14" s="62" t="str">
        <f>F14*1.7</f>
        <v>98.6</v>
      </c>
      <c r="I14" s="57">
        <v>272.0</v>
      </c>
      <c r="J14" s="62" t="str">
        <f t="shared" ref="J14:J18" si="3">I14-D14</f>
        <v>75</v>
      </c>
      <c r="K14" s="62" t="str">
        <f>J14*1.7</f>
        <v>127.5</v>
      </c>
    </row>
    <row r="15">
      <c r="A15" s="71" t="str">
        <f t="shared" si="1"/>
        <v>2.02</v>
      </c>
      <c r="B15" s="57" t="s">
        <v>157</v>
      </c>
      <c r="C15" s="57" t="s">
        <v>156</v>
      </c>
      <c r="D15" s="57">
        <v>1.0</v>
      </c>
      <c r="E15" s="57">
        <v>11.0</v>
      </c>
      <c r="F15" s="62" t="str">
        <f t="shared" si="2"/>
        <v>10</v>
      </c>
      <c r="G15" s="62" t="str">
        <f>F15*6.85</f>
        <v>68.5</v>
      </c>
      <c r="I15" s="57">
        <v>11.0</v>
      </c>
      <c r="J15" s="62" t="str">
        <f t="shared" si="3"/>
        <v>10</v>
      </c>
      <c r="K15" s="62" t="str">
        <f>J15*6.85</f>
        <v>68.5</v>
      </c>
    </row>
    <row r="16">
      <c r="A16" s="71" t="str">
        <f t="shared" si="1"/>
        <v>2.03</v>
      </c>
      <c r="B16" s="81" t="s">
        <v>160</v>
      </c>
      <c r="C16" s="57" t="s">
        <v>156</v>
      </c>
      <c r="D16" s="57">
        <v>0.0</v>
      </c>
      <c r="E16" s="57">
        <v>16.0</v>
      </c>
      <c r="F16" s="62" t="str">
        <f t="shared" si="2"/>
        <v>16</v>
      </c>
      <c r="G16" s="62" t="str">
        <f>F16*0.196</f>
        <v>3.136</v>
      </c>
      <c r="I16" s="57">
        <v>16.0</v>
      </c>
      <c r="J16" s="62" t="str">
        <f t="shared" si="3"/>
        <v>16</v>
      </c>
      <c r="K16" s="62" t="str">
        <f>J16*0.196</f>
        <v>3.136</v>
      </c>
    </row>
    <row r="17">
      <c r="A17" s="71" t="str">
        <f t="shared" si="1"/>
        <v>2.04</v>
      </c>
      <c r="B17" s="57" t="s">
        <v>177</v>
      </c>
      <c r="C17" s="57" t="s">
        <v>156</v>
      </c>
      <c r="D17" s="57">
        <v>4.0</v>
      </c>
      <c r="E17" s="57">
        <v>6.0</v>
      </c>
      <c r="F17" s="62" t="str">
        <f t="shared" si="2"/>
        <v>2</v>
      </c>
      <c r="G17" s="62" t="str">
        <f>F17*1.6</f>
        <v>3.2</v>
      </c>
      <c r="I17" s="57">
        <v>6.0</v>
      </c>
      <c r="J17" s="62" t="str">
        <f t="shared" si="3"/>
        <v>2</v>
      </c>
      <c r="K17" s="62" t="str">
        <f>J17*1.6</f>
        <v>3.2</v>
      </c>
    </row>
    <row r="18">
      <c r="B18" s="81" t="s">
        <v>178</v>
      </c>
      <c r="C18" s="57" t="s">
        <v>156</v>
      </c>
      <c r="D18" s="57">
        <v>0.0</v>
      </c>
      <c r="E18" s="57">
        <v>1.0</v>
      </c>
      <c r="F18" s="62" t="str">
        <f t="shared" si="2"/>
        <v>1</v>
      </c>
      <c r="G18" s="62" t="str">
        <f>F18*6.85</f>
        <v>6.85</v>
      </c>
      <c r="I18" s="57">
        <v>1.0</v>
      </c>
      <c r="J18" s="62" t="str">
        <f t="shared" si="3"/>
        <v>1</v>
      </c>
      <c r="K18" s="62" t="str">
        <f>J18*6.85</f>
        <v>6.85</v>
      </c>
    </row>
    <row r="20">
      <c r="A20" s="70" t="str">
        <f>A13+1</f>
        <v>3.00</v>
      </c>
      <c r="B20" s="59" t="s">
        <v>183</v>
      </c>
    </row>
    <row r="21">
      <c r="A21" s="71" t="str">
        <f t="shared" ref="A21:A23" si="4">A20+0.01</f>
        <v>3.01</v>
      </c>
      <c r="B21" s="57" t="s">
        <v>184</v>
      </c>
      <c r="C21" s="57" t="s">
        <v>156</v>
      </c>
      <c r="D21" s="57">
        <v>0.0</v>
      </c>
      <c r="E21" s="57">
        <v>4.0</v>
      </c>
      <c r="F21" s="62" t="str">
        <f t="shared" ref="F21:F23" si="5">E21-D21</f>
        <v>4</v>
      </c>
      <c r="G21" s="62" t="str">
        <f>F21*3</f>
        <v>12</v>
      </c>
      <c r="I21" s="57">
        <v>5.0</v>
      </c>
      <c r="J21" s="62" t="str">
        <f t="shared" ref="J21:J23" si="6">I21-D21</f>
        <v>5</v>
      </c>
    </row>
    <row r="22">
      <c r="A22" s="71" t="str">
        <f t="shared" si="4"/>
        <v>3.02</v>
      </c>
      <c r="B22" s="57" t="s">
        <v>186</v>
      </c>
      <c r="C22" s="57" t="s">
        <v>156</v>
      </c>
      <c r="D22" s="57">
        <v>1.0</v>
      </c>
      <c r="E22" s="57">
        <v>5.0</v>
      </c>
      <c r="F22" s="62" t="str">
        <f t="shared" si="5"/>
        <v>4</v>
      </c>
      <c r="I22" s="57">
        <v>8.0</v>
      </c>
      <c r="J22" s="62" t="str">
        <f t="shared" si="6"/>
        <v>7</v>
      </c>
    </row>
    <row r="23">
      <c r="A23" s="71" t="str">
        <f t="shared" si="4"/>
        <v>3.03</v>
      </c>
      <c r="B23" s="57" t="s">
        <v>187</v>
      </c>
      <c r="C23" s="57" t="s">
        <v>156</v>
      </c>
      <c r="D23" s="57">
        <v>0.0</v>
      </c>
      <c r="E23" s="57">
        <v>6.0</v>
      </c>
      <c r="F23" s="62" t="str">
        <f t="shared" si="5"/>
        <v>6</v>
      </c>
      <c r="I23" s="57">
        <v>7.0</v>
      </c>
      <c r="J23" s="62" t="str">
        <f t="shared" si="6"/>
        <v>7</v>
      </c>
    </row>
    <row r="25">
      <c r="A25" s="70" t="str">
        <f>A20+1</f>
        <v>4.00</v>
      </c>
      <c r="B25" s="59" t="s">
        <v>188</v>
      </c>
    </row>
    <row r="26">
      <c r="A26" s="71" t="str">
        <f t="shared" ref="A26:A30" si="7">A25+0.01</f>
        <v>4.01</v>
      </c>
      <c r="B26" s="57" t="s">
        <v>189</v>
      </c>
      <c r="C26" s="57" t="s">
        <v>156</v>
      </c>
      <c r="D26" s="57">
        <v>2.0</v>
      </c>
      <c r="E26" s="57">
        <v>4.0</v>
      </c>
      <c r="F26" s="62" t="str">
        <f t="shared" ref="F26:F29" si="8">E26-D26</f>
        <v>2</v>
      </c>
      <c r="G26" s="62" t="str">
        <f t="shared" ref="G26:G27" si="9">F26*0.5</f>
        <v>1</v>
      </c>
      <c r="I26" s="57">
        <v>4.0</v>
      </c>
      <c r="J26" s="62" t="str">
        <f t="shared" ref="J26:J29" si="10">I26-D26</f>
        <v>2</v>
      </c>
    </row>
    <row r="27">
      <c r="A27" s="71" t="str">
        <f t="shared" si="7"/>
        <v>4.02</v>
      </c>
      <c r="B27" s="57" t="s">
        <v>190</v>
      </c>
      <c r="C27" s="57" t="s">
        <v>156</v>
      </c>
      <c r="D27" s="57">
        <v>3.0</v>
      </c>
      <c r="E27" s="57">
        <v>4.0</v>
      </c>
      <c r="F27" s="62" t="str">
        <f t="shared" si="8"/>
        <v>1</v>
      </c>
      <c r="G27" s="62" t="str">
        <f t="shared" si="9"/>
        <v>0.5</v>
      </c>
      <c r="I27" s="57">
        <v>3.0</v>
      </c>
      <c r="J27" s="62" t="str">
        <f t="shared" si="10"/>
        <v>0</v>
      </c>
    </row>
    <row r="28">
      <c r="A28" s="71" t="str">
        <f t="shared" si="7"/>
        <v>4.03</v>
      </c>
      <c r="B28" s="57" t="s">
        <v>193</v>
      </c>
      <c r="C28" s="57" t="s">
        <v>156</v>
      </c>
      <c r="D28" s="57">
        <v>0.0</v>
      </c>
      <c r="E28" s="57">
        <v>0.0</v>
      </c>
      <c r="F28" s="62" t="str">
        <f t="shared" si="8"/>
        <v>0</v>
      </c>
      <c r="I28" s="57">
        <v>0.0</v>
      </c>
      <c r="J28" s="62" t="str">
        <f t="shared" si="10"/>
        <v>0</v>
      </c>
    </row>
    <row r="29">
      <c r="A29" s="71" t="str">
        <f t="shared" si="7"/>
        <v>4.04</v>
      </c>
      <c r="B29" s="57" t="s">
        <v>195</v>
      </c>
      <c r="C29" s="57" t="s">
        <v>156</v>
      </c>
      <c r="D29" s="57">
        <v>11.0</v>
      </c>
      <c r="E29" s="57">
        <v>14.0</v>
      </c>
      <c r="F29" s="62" t="str">
        <f t="shared" si="8"/>
        <v>3</v>
      </c>
      <c r="G29" s="62" t="str">
        <f>F29*0.3</f>
        <v>0.9</v>
      </c>
      <c r="I29" s="57">
        <v>14.0</v>
      </c>
      <c r="J29" s="62" t="str">
        <f t="shared" si="10"/>
        <v>3</v>
      </c>
    </row>
    <row r="30">
      <c r="A30" s="71" t="str">
        <f t="shared" si="7"/>
        <v>4.05</v>
      </c>
      <c r="B30" s="57" t="s">
        <v>198</v>
      </c>
      <c r="C30" s="57" t="s">
        <v>199</v>
      </c>
    </row>
    <row r="32">
      <c r="A32" s="70" t="str">
        <f>A25+1</f>
        <v>5.00</v>
      </c>
      <c r="B32" s="59" t="s">
        <v>202</v>
      </c>
      <c r="C32" s="57" t="s">
        <v>146</v>
      </c>
      <c r="D32" s="57">
        <v>5.0</v>
      </c>
      <c r="E32" s="57">
        <v>6.0</v>
      </c>
      <c r="F32" s="62" t="str">
        <f>E32-D32</f>
        <v>1</v>
      </c>
      <c r="I32" s="57">
        <v>9.6</v>
      </c>
    </row>
  </sheetData>
  <mergeCells count="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7.14"/>
    <col customWidth="1" min="2" max="2" width="39.29"/>
    <col customWidth="1" min="3" max="3" width="27.86"/>
    <col customWidth="1" min="4" max="4" width="9.71"/>
    <col customWidth="1" min="5" max="5" width="13.57"/>
    <col customWidth="1" min="6" max="6" width="16.14"/>
    <col customWidth="1" min="7" max="7" width="59.43"/>
  </cols>
  <sheetData>
    <row r="1" ht="15.75" customHeight="1">
      <c r="A1" s="44" t="s">
        <v>126</v>
      </c>
      <c r="B1" s="66"/>
      <c r="C1" s="66"/>
      <c r="D1" s="66"/>
      <c r="E1" s="66"/>
      <c r="F1" s="66"/>
      <c r="G1" s="15"/>
    </row>
    <row r="2" ht="15.75" customHeight="1">
      <c r="A2" s="79" t="s">
        <v>168</v>
      </c>
      <c r="B2" s="98" t="s">
        <v>174</v>
      </c>
      <c r="C2" s="98" t="s">
        <v>206</v>
      </c>
      <c r="D2" s="101" t="s">
        <v>207</v>
      </c>
      <c r="E2" s="101" t="s">
        <v>209</v>
      </c>
      <c r="F2" s="101" t="s">
        <v>210</v>
      </c>
      <c r="G2" s="102" t="s">
        <v>211</v>
      </c>
    </row>
    <row r="3" ht="15.75" customHeight="1">
      <c r="A3" s="104" t="s">
        <v>212</v>
      </c>
      <c r="B3" s="66"/>
      <c r="C3" s="66"/>
      <c r="D3" s="66"/>
      <c r="E3" s="66"/>
      <c r="F3" s="66"/>
      <c r="G3" s="15"/>
    </row>
    <row r="4" ht="15.0" customHeight="1">
      <c r="A4" s="106" t="s">
        <v>214</v>
      </c>
      <c r="B4" s="107" t="s">
        <v>215</v>
      </c>
      <c r="C4" s="108"/>
      <c r="D4" s="108"/>
      <c r="E4" s="108"/>
      <c r="F4" s="108"/>
      <c r="G4" s="108"/>
    </row>
    <row r="5" ht="63.75" customHeight="1">
      <c r="A5" s="109">
        <v>1.0</v>
      </c>
      <c r="B5" s="110" t="s">
        <v>216</v>
      </c>
      <c r="C5" s="111" t="s">
        <v>217</v>
      </c>
      <c r="D5" s="109">
        <v>1.0</v>
      </c>
      <c r="E5" s="112">
        <v>1400000.0</v>
      </c>
      <c r="F5" s="113" t="str">
        <f t="shared" ref="F5:F8" si="1">D5*E5</f>
        <v>1,400,000</v>
      </c>
      <c r="G5" s="110" t="s">
        <v>218</v>
      </c>
    </row>
    <row r="6" ht="15.0" customHeight="1">
      <c r="A6" s="114" t="str">
        <f t="shared" ref="A6:A8" si="2">A5+1</f>
        <v>2</v>
      </c>
      <c r="B6" s="115" t="s">
        <v>219</v>
      </c>
      <c r="C6" s="109" t="s">
        <v>220</v>
      </c>
      <c r="D6" s="109">
        <v>3.0</v>
      </c>
      <c r="E6" s="112">
        <v>0.0</v>
      </c>
      <c r="F6" s="113" t="str">
        <f t="shared" si="1"/>
        <v>0</v>
      </c>
      <c r="G6" s="116" t="s">
        <v>221</v>
      </c>
    </row>
    <row r="7" ht="25.5" customHeight="1">
      <c r="A7" s="114" t="str">
        <f t="shared" si="2"/>
        <v>3</v>
      </c>
      <c r="B7" s="115" t="s">
        <v>222</v>
      </c>
      <c r="C7" s="109" t="s">
        <v>223</v>
      </c>
      <c r="D7" s="109">
        <v>1.0</v>
      </c>
      <c r="E7" s="112">
        <v>1000000.0</v>
      </c>
      <c r="F7" s="113" t="str">
        <f t="shared" si="1"/>
        <v>1,000,000</v>
      </c>
      <c r="G7" s="110" t="s">
        <v>224</v>
      </c>
    </row>
    <row r="8" ht="25.5" customHeight="1">
      <c r="A8" s="114" t="str">
        <f t="shared" si="2"/>
        <v>4</v>
      </c>
      <c r="B8" s="117" t="s">
        <v>225</v>
      </c>
      <c r="C8" s="109" t="s">
        <v>226</v>
      </c>
      <c r="D8" s="109">
        <v>22.0</v>
      </c>
      <c r="E8" s="112">
        <v>0.0</v>
      </c>
      <c r="F8" s="113" t="str">
        <f t="shared" si="1"/>
        <v>0</v>
      </c>
      <c r="G8" s="110" t="s">
        <v>227</v>
      </c>
    </row>
    <row r="9" ht="15.0" customHeight="1">
      <c r="A9" s="118" t="s">
        <v>228</v>
      </c>
      <c r="B9" s="119" t="s">
        <v>229</v>
      </c>
      <c r="C9" s="120"/>
      <c r="D9" s="120"/>
      <c r="E9" s="113"/>
      <c r="F9" s="113"/>
      <c r="G9" s="121"/>
    </row>
    <row r="10" ht="25.5" customHeight="1">
      <c r="A10" s="109">
        <v>1.0</v>
      </c>
      <c r="B10" s="117" t="s">
        <v>230</v>
      </c>
      <c r="C10" s="109" t="s">
        <v>231</v>
      </c>
      <c r="D10" s="109">
        <v>10.0</v>
      </c>
      <c r="E10" s="112">
        <v>5000.0</v>
      </c>
      <c r="F10" s="113" t="str">
        <f t="shared" ref="F10:F11" si="3">D10*E10</f>
        <v>50,000</v>
      </c>
      <c r="G10" s="110" t="s">
        <v>232</v>
      </c>
    </row>
    <row r="11" ht="38.25" customHeight="1">
      <c r="A11" s="114" t="str">
        <f t="shared" ref="A11:A18" si="4">A10+1</f>
        <v>2</v>
      </c>
      <c r="B11" s="115" t="s">
        <v>233</v>
      </c>
      <c r="C11" s="109" t="s">
        <v>234</v>
      </c>
      <c r="D11" s="109">
        <v>1.0</v>
      </c>
      <c r="E11" s="112">
        <v>143935.0</v>
      </c>
      <c r="F11" s="113" t="str">
        <f t="shared" si="3"/>
        <v>143,935</v>
      </c>
      <c r="G11" s="110" t="s">
        <v>235</v>
      </c>
    </row>
    <row r="12" ht="25.5" customHeight="1">
      <c r="A12" s="114" t="str">
        <f t="shared" si="4"/>
        <v>3</v>
      </c>
      <c r="B12" s="110" t="s">
        <v>236</v>
      </c>
      <c r="C12" s="109" t="s">
        <v>237</v>
      </c>
      <c r="D12" s="109">
        <v>1.0</v>
      </c>
      <c r="E12" s="112">
        <v>300000.0</v>
      </c>
      <c r="F12" s="112">
        <v>300000.0</v>
      </c>
      <c r="G12" s="110" t="s">
        <v>238</v>
      </c>
    </row>
    <row r="13" ht="25.5" customHeight="1">
      <c r="A13" s="114" t="str">
        <f t="shared" si="4"/>
        <v>4</v>
      </c>
      <c r="B13" s="110" t="s">
        <v>239</v>
      </c>
      <c r="C13" s="109" t="s">
        <v>240</v>
      </c>
      <c r="D13" s="109">
        <v>2.0</v>
      </c>
      <c r="E13" s="112">
        <v>35000.0</v>
      </c>
      <c r="F13" s="112">
        <v>70000.0</v>
      </c>
      <c r="G13" s="110" t="s">
        <v>241</v>
      </c>
    </row>
    <row r="14" ht="25.5" customHeight="1">
      <c r="A14" s="114" t="str">
        <f t="shared" si="4"/>
        <v>5</v>
      </c>
      <c r="B14" s="115" t="s">
        <v>242</v>
      </c>
      <c r="C14" s="109" t="s">
        <v>243</v>
      </c>
      <c r="D14" s="109">
        <v>1.0</v>
      </c>
      <c r="E14" s="112">
        <v>150941.0</v>
      </c>
      <c r="F14" s="112">
        <v>150941.0</v>
      </c>
      <c r="G14" s="110" t="s">
        <v>244</v>
      </c>
    </row>
    <row r="15" ht="25.5" customHeight="1">
      <c r="A15" s="114" t="str">
        <f t="shared" si="4"/>
        <v>6</v>
      </c>
      <c r="B15" s="110" t="s">
        <v>245</v>
      </c>
      <c r="C15" s="109" t="s">
        <v>246</v>
      </c>
      <c r="D15" s="109">
        <v>2.0</v>
      </c>
      <c r="E15" s="112">
        <v>275000.0</v>
      </c>
      <c r="F15" s="113" t="str">
        <f t="shared" ref="F15:F18" si="5">D15*E15</f>
        <v>550,000</v>
      </c>
      <c r="G15" s="110" t="s">
        <v>247</v>
      </c>
    </row>
    <row r="16" ht="15.0" customHeight="1">
      <c r="A16" s="114" t="str">
        <f t="shared" si="4"/>
        <v>7</v>
      </c>
      <c r="B16" s="110" t="s">
        <v>248</v>
      </c>
      <c r="C16" s="109" t="s">
        <v>249</v>
      </c>
      <c r="D16" s="109">
        <v>2.0</v>
      </c>
      <c r="E16" s="112">
        <v>75000.0</v>
      </c>
      <c r="F16" s="113" t="str">
        <f t="shared" si="5"/>
        <v>150,000</v>
      </c>
      <c r="G16" s="110" t="s">
        <v>250</v>
      </c>
    </row>
    <row r="17" ht="15.0" customHeight="1">
      <c r="A17" s="114" t="str">
        <f t="shared" si="4"/>
        <v>8</v>
      </c>
      <c r="B17" s="115" t="s">
        <v>251</v>
      </c>
      <c r="C17" s="109" t="s">
        <v>249</v>
      </c>
      <c r="D17" s="109">
        <v>1.0</v>
      </c>
      <c r="E17" s="112">
        <v>175000.0</v>
      </c>
      <c r="F17" s="113" t="str">
        <f t="shared" si="5"/>
        <v>175,000</v>
      </c>
      <c r="G17" s="110" t="s">
        <v>252</v>
      </c>
    </row>
    <row r="18" ht="39.0" customHeight="1">
      <c r="A18" s="114" t="str">
        <f t="shared" si="4"/>
        <v>9</v>
      </c>
      <c r="B18" s="110" t="s">
        <v>253</v>
      </c>
      <c r="C18" s="109" t="s">
        <v>254</v>
      </c>
      <c r="D18" s="109">
        <v>10.0</v>
      </c>
      <c r="E18" s="112">
        <v>50000.0</v>
      </c>
      <c r="F18" s="113" t="str">
        <f t="shared" si="5"/>
        <v>500,000</v>
      </c>
      <c r="G18" s="110" t="s">
        <v>255</v>
      </c>
    </row>
    <row r="19" ht="15.0" customHeight="1">
      <c r="A19" s="12"/>
      <c r="B19" s="12"/>
      <c r="C19" s="12"/>
      <c r="D19" s="12"/>
      <c r="E19" s="122" t="s">
        <v>13</v>
      </c>
      <c r="F19" s="123" t="str">
        <f>SUM(F5:F18)</f>
        <v>4,489,876</v>
      </c>
      <c r="G19" s="12"/>
    </row>
    <row r="20" ht="15.0" customHeight="1">
      <c r="F20" s="124" t="str">
        <f>F19/45</f>
        <v>99,775</v>
      </c>
    </row>
  </sheetData>
  <mergeCells count="2">
    <mergeCell ref="A1:G1"/>
    <mergeCell ref="A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2.75"/>
  <cols>
    <col customWidth="1" min="1" max="1" width="9.29"/>
    <col customWidth="1" min="2" max="2" width="24.29"/>
    <col customWidth="1" min="3" max="5" width="9.29"/>
    <col customWidth="1" min="6" max="6" width="13.57"/>
    <col customWidth="1" min="7" max="9" width="14.86"/>
    <col customWidth="1" min="10" max="24" width="9.29"/>
  </cols>
  <sheetData>
    <row r="2">
      <c r="A2" s="51" t="s">
        <v>135</v>
      </c>
    </row>
    <row r="3" ht="15.0" customHeight="1">
      <c r="D3" s="60">
        <v>40522.0</v>
      </c>
      <c r="E3" s="60">
        <v>40631.0</v>
      </c>
      <c r="F3" s="61" t="s">
        <v>142</v>
      </c>
      <c r="G3" s="61" t="s">
        <v>143</v>
      </c>
      <c r="H3" s="61" t="s">
        <v>144</v>
      </c>
      <c r="J3" s="60">
        <v>40663.0</v>
      </c>
      <c r="K3" s="60">
        <v>40664.0</v>
      </c>
      <c r="L3" s="60">
        <v>40695.0</v>
      </c>
      <c r="M3" s="60">
        <v>40725.0</v>
      </c>
      <c r="N3" s="60">
        <v>40756.0</v>
      </c>
      <c r="O3" s="60">
        <v>40787.0</v>
      </c>
      <c r="P3" s="60">
        <v>40817.0</v>
      </c>
      <c r="Q3" s="60">
        <v>40848.0</v>
      </c>
      <c r="R3" s="60">
        <v>40878.0</v>
      </c>
      <c r="S3" s="60">
        <v>40909.0</v>
      </c>
      <c r="T3" s="60">
        <v>40940.0</v>
      </c>
      <c r="U3" s="60">
        <v>40969.0</v>
      </c>
      <c r="V3" s="63"/>
    </row>
    <row r="4" ht="30.75" customHeight="1">
      <c r="D4" s="64" t="s">
        <v>136</v>
      </c>
      <c r="E4" s="64" t="s">
        <v>148</v>
      </c>
      <c r="F4" s="65"/>
      <c r="G4" s="65"/>
      <c r="H4" s="65"/>
      <c r="J4" s="67" t="s">
        <v>148</v>
      </c>
      <c r="K4" s="67" t="s">
        <v>148</v>
      </c>
      <c r="L4" s="67" t="s">
        <v>148</v>
      </c>
      <c r="M4" s="67" t="s">
        <v>148</v>
      </c>
      <c r="N4" s="67" t="s">
        <v>148</v>
      </c>
      <c r="O4" s="67" t="s">
        <v>148</v>
      </c>
      <c r="P4" s="67" t="s">
        <v>148</v>
      </c>
      <c r="Q4" s="67" t="s">
        <v>148</v>
      </c>
      <c r="R4" s="67" t="s">
        <v>148</v>
      </c>
      <c r="S4" s="67" t="s">
        <v>148</v>
      </c>
      <c r="T4" s="67" t="s">
        <v>148</v>
      </c>
      <c r="U4" s="67" t="s">
        <v>148</v>
      </c>
      <c r="V4" s="67" t="s">
        <v>13</v>
      </c>
    </row>
    <row r="5" ht="15.0" customHeight="1">
      <c r="C5" s="57" t="s">
        <v>140</v>
      </c>
      <c r="G5" s="69"/>
      <c r="H5" s="69"/>
      <c r="J5" s="12"/>
      <c r="K5" s="12"/>
      <c r="L5" s="12"/>
      <c r="M5" s="12"/>
      <c r="N5" s="12"/>
      <c r="O5" s="12"/>
      <c r="P5" s="12"/>
      <c r="Q5" s="12"/>
      <c r="R5" s="12"/>
      <c r="S5" s="12"/>
      <c r="T5" s="12"/>
      <c r="U5" s="12"/>
      <c r="V5" s="12"/>
    </row>
    <row r="6" ht="15.0" customHeight="1">
      <c r="A6" s="58">
        <v>1.0</v>
      </c>
      <c r="B6" s="59" t="s">
        <v>141</v>
      </c>
      <c r="D6" s="57">
        <v>7.0</v>
      </c>
      <c r="E6" s="72">
        <v>9.0</v>
      </c>
      <c r="F6" s="75" t="str">
        <f>E6-D6</f>
        <v>2</v>
      </c>
      <c r="G6" s="76">
        <v>12.0</v>
      </c>
      <c r="H6" s="83" t="str">
        <f>G6-E6</f>
        <v>3</v>
      </c>
      <c r="J6" s="72">
        <v>11.0</v>
      </c>
      <c r="K6" s="72">
        <v>11.0</v>
      </c>
      <c r="L6" s="72">
        <v>11.0</v>
      </c>
      <c r="M6" s="72">
        <v>11.0</v>
      </c>
      <c r="N6" s="72">
        <v>11.0</v>
      </c>
      <c r="O6" s="72">
        <v>11.0</v>
      </c>
      <c r="P6" s="72">
        <v>11.0</v>
      </c>
      <c r="Q6" s="72">
        <v>11.0</v>
      </c>
      <c r="R6" s="72">
        <v>11.0</v>
      </c>
      <c r="S6" s="72">
        <v>12.0</v>
      </c>
      <c r="T6" s="72">
        <v>12.0</v>
      </c>
      <c r="U6" s="72">
        <v>12.0</v>
      </c>
      <c r="V6" s="84">
        <v>12.0</v>
      </c>
    </row>
    <row r="7" ht="15.0" customHeight="1">
      <c r="A7" s="70" t="str">
        <f>A6+1</f>
        <v>2.00</v>
      </c>
      <c r="B7" s="59" t="s">
        <v>154</v>
      </c>
      <c r="G7" s="86"/>
      <c r="H7" s="83"/>
    </row>
    <row r="8" ht="15.0" customHeight="1">
      <c r="A8" s="71" t="str">
        <f t="shared" ref="A8:A11" si="1">A7+0.01</f>
        <v>2.01</v>
      </c>
      <c r="B8" s="57" t="s">
        <v>155</v>
      </c>
      <c r="C8" s="57" t="s">
        <v>156</v>
      </c>
      <c r="D8" s="57">
        <v>197.0</v>
      </c>
      <c r="E8" s="72">
        <v>227.0</v>
      </c>
      <c r="F8" s="75" t="str">
        <f t="shared" ref="F8:F12" si="2">E8-D8</f>
        <v>30</v>
      </c>
      <c r="G8" s="86" t="str">
        <f>V8</f>
        <v>269</v>
      </c>
      <c r="H8" s="83" t="str">
        <f t="shared" ref="H8:H12" si="3">G8-E8</f>
        <v>42</v>
      </c>
      <c r="J8" s="105" t="str">
        <f>255-230</f>
        <v>25</v>
      </c>
      <c r="S8" s="105" t="str">
        <f>272-255</f>
        <v>17</v>
      </c>
      <c r="V8" s="75" t="str">
        <f t="shared" ref="V8:V26" si="4">SUM(J8:U8)+D8+F8</f>
        <v>269</v>
      </c>
      <c r="X8" s="62" t="str">
        <f>75*1.6</f>
        <v>120</v>
      </c>
    </row>
    <row r="9" ht="15.0" customHeight="1">
      <c r="A9" s="71" t="str">
        <f t="shared" si="1"/>
        <v>2.02</v>
      </c>
      <c r="B9" s="57" t="s">
        <v>157</v>
      </c>
      <c r="C9" s="57" t="s">
        <v>156</v>
      </c>
      <c r="D9" s="57">
        <v>1.0</v>
      </c>
      <c r="E9" s="72">
        <v>3.0</v>
      </c>
      <c r="F9" s="75" t="str">
        <f t="shared" si="2"/>
        <v>2</v>
      </c>
      <c r="G9" s="76">
        <v>14.0</v>
      </c>
      <c r="H9" s="83" t="str">
        <f t="shared" si="3"/>
        <v>11</v>
      </c>
      <c r="J9" s="72">
        <v>4.0</v>
      </c>
      <c r="S9" s="105" t="str">
        <f>10-8</f>
        <v>2</v>
      </c>
      <c r="V9" s="75" t="str">
        <f t="shared" si="4"/>
        <v>9</v>
      </c>
      <c r="X9" s="62" t="str">
        <f>X8/48</f>
        <v>2.5</v>
      </c>
    </row>
    <row r="10" ht="15.0" customHeight="1">
      <c r="A10" s="71" t="str">
        <f t="shared" si="1"/>
        <v>2.03</v>
      </c>
      <c r="B10" s="81" t="s">
        <v>160</v>
      </c>
      <c r="C10" s="57" t="s">
        <v>156</v>
      </c>
      <c r="D10" s="57">
        <v>0.0</v>
      </c>
      <c r="E10" s="72">
        <v>16.0</v>
      </c>
      <c r="F10" s="75" t="str">
        <f t="shared" si="2"/>
        <v>16</v>
      </c>
      <c r="G10" s="86" t="str">
        <f t="shared" ref="G10:G12" si="5">V10</f>
        <v>40</v>
      </c>
      <c r="H10" s="83" t="str">
        <f t="shared" si="3"/>
        <v>24</v>
      </c>
      <c r="L10" s="72">
        <v>24.0</v>
      </c>
      <c r="V10" s="75" t="str">
        <f t="shared" si="4"/>
        <v>40</v>
      </c>
    </row>
    <row r="11" ht="15.0" customHeight="1">
      <c r="A11" s="71" t="str">
        <f t="shared" si="1"/>
        <v>2.04</v>
      </c>
      <c r="B11" s="57" t="s">
        <v>177</v>
      </c>
      <c r="C11" s="57" t="s">
        <v>156</v>
      </c>
      <c r="D11" s="57">
        <v>4.0</v>
      </c>
      <c r="E11" s="72">
        <v>7.0</v>
      </c>
      <c r="F11" s="75" t="str">
        <f t="shared" si="2"/>
        <v>3</v>
      </c>
      <c r="G11" s="86" t="str">
        <f t="shared" si="5"/>
        <v>7</v>
      </c>
      <c r="H11" s="83" t="str">
        <f t="shared" si="3"/>
        <v>0</v>
      </c>
      <c r="V11" s="75" t="str">
        <f t="shared" si="4"/>
        <v>7</v>
      </c>
    </row>
    <row r="12" ht="15.0" customHeight="1">
      <c r="B12" s="81" t="s">
        <v>178</v>
      </c>
      <c r="C12" s="57" t="s">
        <v>156</v>
      </c>
      <c r="D12" s="57">
        <v>0.0</v>
      </c>
      <c r="E12" s="72">
        <v>0.0</v>
      </c>
      <c r="F12" s="75" t="str">
        <f t="shared" si="2"/>
        <v>0</v>
      </c>
      <c r="G12" s="86" t="str">
        <f t="shared" si="5"/>
        <v>1</v>
      </c>
      <c r="H12" s="83" t="str">
        <f t="shared" si="3"/>
        <v>1</v>
      </c>
      <c r="J12" s="72">
        <v>1.0</v>
      </c>
      <c r="V12" s="75" t="str">
        <f t="shared" si="4"/>
        <v>1</v>
      </c>
    </row>
    <row r="13" ht="15.0" customHeight="1">
      <c r="G13" s="86"/>
      <c r="H13" s="83"/>
      <c r="V13" s="75" t="str">
        <f t="shared" si="4"/>
        <v>0</v>
      </c>
    </row>
    <row r="14" ht="15.0" customHeight="1">
      <c r="A14" s="70" t="str">
        <f>A7+1</f>
        <v>3.00</v>
      </c>
      <c r="B14" s="59" t="s">
        <v>183</v>
      </c>
      <c r="G14" s="86"/>
      <c r="H14" s="83"/>
      <c r="V14" s="75" t="str">
        <f t="shared" si="4"/>
        <v>0</v>
      </c>
    </row>
    <row r="15" ht="15.0" customHeight="1">
      <c r="A15" s="71" t="str">
        <f t="shared" ref="A15:A17" si="6">A14+0.01</f>
        <v>3.01</v>
      </c>
      <c r="B15" s="57" t="s">
        <v>184</v>
      </c>
      <c r="C15" s="57" t="s">
        <v>156</v>
      </c>
      <c r="D15" s="57">
        <v>0.0</v>
      </c>
      <c r="E15" s="72">
        <v>1.0</v>
      </c>
      <c r="F15" s="75" t="str">
        <f t="shared" ref="F15:F17" si="7">E15-D15</f>
        <v>1</v>
      </c>
      <c r="G15" s="86" t="str">
        <f t="shared" ref="G15:G17" si="8">V15</f>
        <v>5</v>
      </c>
      <c r="H15" s="83" t="str">
        <f t="shared" ref="H15:H17" si="9">G15-E15</f>
        <v>4</v>
      </c>
      <c r="J15" s="72">
        <v>3.0</v>
      </c>
      <c r="S15" s="72">
        <v>1.0</v>
      </c>
      <c r="V15" s="75" t="str">
        <f t="shared" si="4"/>
        <v>5</v>
      </c>
    </row>
    <row r="16" ht="15.0" customHeight="1">
      <c r="A16" s="71" t="str">
        <f t="shared" si="6"/>
        <v>3.02</v>
      </c>
      <c r="B16" s="57" t="s">
        <v>186</v>
      </c>
      <c r="C16" s="57" t="s">
        <v>156</v>
      </c>
      <c r="D16" s="57">
        <v>1.0</v>
      </c>
      <c r="E16" s="72">
        <v>6.0</v>
      </c>
      <c r="F16" s="75" t="str">
        <f t="shared" si="7"/>
        <v>5</v>
      </c>
      <c r="G16" s="86" t="str">
        <f t="shared" si="8"/>
        <v>8</v>
      </c>
      <c r="H16" s="83" t="str">
        <f t="shared" si="9"/>
        <v>2</v>
      </c>
      <c r="J16" s="72">
        <v>0.0</v>
      </c>
      <c r="S16" s="72">
        <v>2.0</v>
      </c>
      <c r="V16" s="75" t="str">
        <f t="shared" si="4"/>
        <v>8</v>
      </c>
    </row>
    <row r="17" ht="15.0" customHeight="1">
      <c r="A17" s="71" t="str">
        <f t="shared" si="6"/>
        <v>3.03</v>
      </c>
      <c r="B17" s="57" t="s">
        <v>187</v>
      </c>
      <c r="C17" s="57" t="s">
        <v>156</v>
      </c>
      <c r="D17" s="57">
        <v>0.0</v>
      </c>
      <c r="E17" s="72">
        <v>0.0</v>
      </c>
      <c r="F17" s="75" t="str">
        <f t="shared" si="7"/>
        <v>0</v>
      </c>
      <c r="G17" s="86" t="str">
        <f t="shared" si="8"/>
        <v>7</v>
      </c>
      <c r="H17" s="83" t="str">
        <f t="shared" si="9"/>
        <v>7</v>
      </c>
      <c r="J17" s="72">
        <v>6.0</v>
      </c>
      <c r="S17" s="72">
        <v>1.0</v>
      </c>
      <c r="V17" s="75" t="str">
        <f t="shared" si="4"/>
        <v>7</v>
      </c>
    </row>
    <row r="18" ht="15.0" customHeight="1">
      <c r="G18" s="86"/>
      <c r="H18" s="83"/>
      <c r="V18" s="75" t="str">
        <f t="shared" si="4"/>
        <v>0</v>
      </c>
    </row>
    <row r="19" ht="15.0" customHeight="1">
      <c r="A19" s="70" t="str">
        <f>A14+1</f>
        <v>4.00</v>
      </c>
      <c r="B19" s="59" t="s">
        <v>188</v>
      </c>
      <c r="G19" s="86"/>
      <c r="H19" s="83"/>
      <c r="V19" s="75" t="str">
        <f t="shared" si="4"/>
        <v>0</v>
      </c>
    </row>
    <row r="20" ht="15.0" customHeight="1">
      <c r="A20" s="71" t="str">
        <f t="shared" ref="A20:A24" si="10">A19+0.01</f>
        <v>4.01</v>
      </c>
      <c r="B20" s="57" t="s">
        <v>189</v>
      </c>
      <c r="C20" s="57" t="s">
        <v>156</v>
      </c>
      <c r="D20" s="57">
        <v>2.0</v>
      </c>
      <c r="E20" s="72">
        <v>2.0</v>
      </c>
      <c r="F20" s="75" t="str">
        <f t="shared" ref="F20:F23" si="11">E20-D20</f>
        <v>0</v>
      </c>
      <c r="G20" s="86" t="str">
        <f t="shared" ref="G20:G23" si="12">V20</f>
        <v>4</v>
      </c>
      <c r="H20" s="83" t="str">
        <f t="shared" ref="H20:H23" si="13">G20-E20</f>
        <v>2</v>
      </c>
      <c r="J20" s="72">
        <v>2.0</v>
      </c>
      <c r="V20" s="75" t="str">
        <f t="shared" si="4"/>
        <v>4</v>
      </c>
    </row>
    <row r="21" ht="15.0" customHeight="1">
      <c r="A21" s="71" t="str">
        <f t="shared" si="10"/>
        <v>4.02</v>
      </c>
      <c r="B21" s="57" t="s">
        <v>190</v>
      </c>
      <c r="C21" s="57" t="s">
        <v>156</v>
      </c>
      <c r="D21" s="57">
        <v>3.0</v>
      </c>
      <c r="E21" s="72">
        <v>3.0</v>
      </c>
      <c r="F21" s="75" t="str">
        <f t="shared" si="11"/>
        <v>0</v>
      </c>
      <c r="G21" s="86" t="str">
        <f t="shared" si="12"/>
        <v>3</v>
      </c>
      <c r="H21" s="83" t="str">
        <f t="shared" si="13"/>
        <v>0</v>
      </c>
      <c r="J21" s="72">
        <v>0.0</v>
      </c>
      <c r="V21" s="75" t="str">
        <f t="shared" si="4"/>
        <v>3</v>
      </c>
    </row>
    <row r="22" ht="15.0" customHeight="1">
      <c r="A22" s="71" t="str">
        <f t="shared" si="10"/>
        <v>4.03</v>
      </c>
      <c r="B22" s="57" t="s">
        <v>193</v>
      </c>
      <c r="C22" s="57" t="s">
        <v>156</v>
      </c>
      <c r="F22" s="75" t="str">
        <f t="shared" si="11"/>
        <v>0</v>
      </c>
      <c r="G22" s="86" t="str">
        <f t="shared" si="12"/>
        <v>0</v>
      </c>
      <c r="H22" s="83" t="str">
        <f t="shared" si="13"/>
        <v>0</v>
      </c>
      <c r="V22" s="75" t="str">
        <f t="shared" si="4"/>
        <v>0</v>
      </c>
    </row>
    <row r="23" ht="15.0" customHeight="1">
      <c r="A23" s="71" t="str">
        <f t="shared" si="10"/>
        <v>4.04</v>
      </c>
      <c r="B23" s="57" t="s">
        <v>195</v>
      </c>
      <c r="C23" s="57" t="s">
        <v>156</v>
      </c>
      <c r="D23" s="57">
        <v>11.0</v>
      </c>
      <c r="E23" s="72">
        <v>11.0</v>
      </c>
      <c r="F23" s="75" t="str">
        <f t="shared" si="11"/>
        <v>0</v>
      </c>
      <c r="G23" s="86" t="str">
        <f t="shared" si="12"/>
        <v>14</v>
      </c>
      <c r="H23" s="83" t="str">
        <f t="shared" si="13"/>
        <v>3</v>
      </c>
      <c r="J23" s="72">
        <v>3.0</v>
      </c>
      <c r="V23" s="75" t="str">
        <f t="shared" si="4"/>
        <v>14</v>
      </c>
    </row>
    <row r="24" ht="15.0" customHeight="1">
      <c r="A24" s="71" t="str">
        <f t="shared" si="10"/>
        <v>4.05</v>
      </c>
      <c r="B24" s="57" t="s">
        <v>198</v>
      </c>
      <c r="C24" s="57" t="s">
        <v>199</v>
      </c>
      <c r="G24" s="86"/>
      <c r="H24" s="83"/>
      <c r="J24" s="72">
        <v>2.0</v>
      </c>
      <c r="K24" s="72">
        <v>2.0</v>
      </c>
      <c r="L24" s="72">
        <v>2.0</v>
      </c>
      <c r="M24" s="72">
        <v>2.0</v>
      </c>
      <c r="N24" s="72">
        <v>2.0</v>
      </c>
      <c r="O24" s="72">
        <v>2.0</v>
      </c>
      <c r="P24" s="72">
        <v>2.0</v>
      </c>
      <c r="Q24" s="72">
        <v>2.0</v>
      </c>
      <c r="R24" s="72">
        <v>2.0</v>
      </c>
      <c r="S24" s="72">
        <v>2.0</v>
      </c>
      <c r="T24" s="72">
        <v>2.0</v>
      </c>
      <c r="U24" s="72">
        <v>2.0</v>
      </c>
      <c r="V24" s="75" t="str">
        <f t="shared" si="4"/>
        <v>24</v>
      </c>
    </row>
    <row r="25" ht="15.0" customHeight="1">
      <c r="G25" s="86"/>
      <c r="H25" s="83"/>
      <c r="V25" s="75" t="str">
        <f t="shared" si="4"/>
        <v>0</v>
      </c>
    </row>
    <row r="26" ht="15.0" customHeight="1">
      <c r="A26" s="70" t="str">
        <f>A19+1</f>
        <v>5.00</v>
      </c>
      <c r="B26" s="59" t="s">
        <v>256</v>
      </c>
      <c r="C26" s="57" t="s">
        <v>257</v>
      </c>
      <c r="D26" s="57">
        <v>5.0</v>
      </c>
      <c r="E26" s="125">
        <v>6.0</v>
      </c>
      <c r="F26" s="75" t="str">
        <f>E26-D26</f>
        <v>1</v>
      </c>
      <c r="G26" s="86" t="str">
        <f>V26</f>
        <v>10</v>
      </c>
      <c r="H26" s="83" t="str">
        <f>G26-E26</f>
        <v>4</v>
      </c>
      <c r="J26" s="125">
        <v>0.3</v>
      </c>
      <c r="K26" s="125">
        <v>0.3</v>
      </c>
      <c r="L26" s="125">
        <v>0.3</v>
      </c>
      <c r="M26" s="125">
        <v>0.3</v>
      </c>
      <c r="N26" s="125">
        <v>0.3</v>
      </c>
      <c r="O26" s="125">
        <v>0.3</v>
      </c>
      <c r="P26" s="125">
        <v>0.3</v>
      </c>
      <c r="Q26" s="125">
        <v>0.3</v>
      </c>
      <c r="R26" s="125">
        <v>0.3</v>
      </c>
      <c r="S26" s="125">
        <v>0.3</v>
      </c>
      <c r="T26" s="125">
        <v>0.3</v>
      </c>
      <c r="U26" s="125">
        <v>0.3</v>
      </c>
      <c r="V26" s="75" t="str">
        <f t="shared" si="4"/>
        <v>10</v>
      </c>
    </row>
  </sheetData>
  <mergeCells count="1">
    <mergeCell ref="A2:C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14"/>
    <col customWidth="1" min="2" max="3" width="9.29"/>
    <col customWidth="1" min="4" max="4" width="31.43"/>
    <col customWidth="1" min="5" max="5" width="53.14"/>
    <col customWidth="1" min="6" max="6" width="12.57"/>
    <col customWidth="1" min="7" max="7" width="15.29"/>
    <col customWidth="1" min="8" max="8" width="14.0"/>
    <col customWidth="1" min="9" max="9" width="12.57"/>
  </cols>
  <sheetData>
    <row r="1" ht="15.0" customHeight="1">
      <c r="E1" s="1"/>
      <c r="F1" s="1"/>
      <c r="G1" s="1"/>
      <c r="H1" s="1"/>
      <c r="I1" s="1"/>
    </row>
    <row r="2" ht="15.75" customHeight="1">
      <c r="D2" s="2"/>
      <c r="E2" s="3" t="s">
        <v>0</v>
      </c>
      <c r="F2" s="4" t="s">
        <v>1</v>
      </c>
      <c r="G2" s="4" t="s">
        <v>2</v>
      </c>
      <c r="H2" s="5" t="s">
        <v>3</v>
      </c>
      <c r="I2" s="4" t="s">
        <v>4</v>
      </c>
    </row>
    <row r="3" ht="15.0" customHeight="1">
      <c r="D3" s="2"/>
      <c r="E3" s="6" t="s">
        <v>5</v>
      </c>
      <c r="F3" s="7" t="str">
        <f>F36</f>
        <v>1,500,000</v>
      </c>
      <c r="G3" s="7" t="str">
        <f t="shared" ref="G3:G10" si="1">F3*45</f>
        <v>67,500,000</v>
      </c>
      <c r="H3" s="8">
        <v>1200000.0</v>
      </c>
      <c r="I3" s="9" t="str">
        <f t="shared" ref="I3:I10" si="2">H3*45</f>
        <v>54,000,000</v>
      </c>
    </row>
    <row r="4" ht="15.0" customHeight="1">
      <c r="D4" s="2"/>
      <c r="E4" s="6" t="s">
        <v>6</v>
      </c>
      <c r="F4" s="7" t="str">
        <f>F61</f>
        <v>1,500,000</v>
      </c>
      <c r="G4" s="7" t="str">
        <f t="shared" si="1"/>
        <v>67,500,000</v>
      </c>
      <c r="H4" s="8">
        <v>1100000.0</v>
      </c>
      <c r="I4" s="7" t="str">
        <f t="shared" si="2"/>
        <v>49,500,000</v>
      </c>
    </row>
    <row r="5" ht="15.0" customHeight="1">
      <c r="D5" s="2"/>
      <c r="E5" s="6" t="s">
        <v>7</v>
      </c>
      <c r="F5" s="7" t="str">
        <f>F86</f>
        <v>350,000</v>
      </c>
      <c r="G5" s="7" t="str">
        <f t="shared" si="1"/>
        <v>15,750,000</v>
      </c>
      <c r="H5" s="8">
        <v>350000.0</v>
      </c>
      <c r="I5" s="7" t="str">
        <f t="shared" si="2"/>
        <v>15,750,000</v>
      </c>
    </row>
    <row r="6" ht="15.0" customHeight="1">
      <c r="D6" s="2"/>
      <c r="E6" s="6" t="s">
        <v>8</v>
      </c>
      <c r="F6" s="8">
        <v>150000.0</v>
      </c>
      <c r="G6" s="7" t="str">
        <f t="shared" si="1"/>
        <v>6,750,000</v>
      </c>
      <c r="H6" s="8">
        <v>150000.0</v>
      </c>
      <c r="I6" s="7" t="str">
        <f t="shared" si="2"/>
        <v>6,750,000</v>
      </c>
    </row>
    <row r="7" ht="15.0" customHeight="1">
      <c r="D7" s="2"/>
      <c r="E7" s="6" t="s">
        <v>9</v>
      </c>
      <c r="F7" s="8">
        <v>100000.0</v>
      </c>
      <c r="G7" s="7" t="str">
        <f t="shared" si="1"/>
        <v>4,500,000</v>
      </c>
      <c r="H7" s="8">
        <v>100000.0</v>
      </c>
      <c r="I7" s="7" t="str">
        <f t="shared" si="2"/>
        <v>4,500,000</v>
      </c>
    </row>
    <row r="8" ht="15.0" customHeight="1">
      <c r="D8" s="2"/>
      <c r="E8" s="6" t="s">
        <v>10</v>
      </c>
      <c r="F8" s="7" t="str">
        <f>F66</f>
        <v>0</v>
      </c>
      <c r="G8" s="7" t="str">
        <f t="shared" si="1"/>
        <v>0</v>
      </c>
      <c r="H8" s="7"/>
      <c r="I8" s="7" t="str">
        <f t="shared" si="2"/>
        <v>0</v>
      </c>
    </row>
    <row r="9" ht="15.0" customHeight="1">
      <c r="D9" s="2"/>
      <c r="E9" s="6" t="s">
        <v>11</v>
      </c>
      <c r="F9" s="8">
        <v>100000.0</v>
      </c>
      <c r="G9" s="7" t="str">
        <f t="shared" si="1"/>
        <v>4,500,000</v>
      </c>
      <c r="H9" s="8">
        <v>100000.0</v>
      </c>
      <c r="I9" s="9" t="str">
        <f t="shared" si="2"/>
        <v>4,500,000</v>
      </c>
    </row>
    <row r="10" ht="15.0" customHeight="1">
      <c r="D10" s="2"/>
      <c r="E10" s="6" t="s">
        <v>12</v>
      </c>
      <c r="F10" s="7" t="str">
        <f>100000/45</f>
        <v>2,222</v>
      </c>
      <c r="G10" s="7" t="str">
        <f t="shared" si="1"/>
        <v>100,000</v>
      </c>
      <c r="H10" s="8">
        <v>2222.0</v>
      </c>
      <c r="I10" s="7" t="str">
        <f t="shared" si="2"/>
        <v>99,990</v>
      </c>
    </row>
    <row r="11" ht="15.0" customHeight="1">
      <c r="D11" s="2"/>
      <c r="E11" s="10" t="s">
        <v>13</v>
      </c>
      <c r="F11" s="11" t="str">
        <f>SUM(F3:F10)</f>
        <v>3,702,222</v>
      </c>
      <c r="G11" s="11" t="str">
        <f>SUM(G3:G9)</f>
        <v>166,500,000</v>
      </c>
      <c r="H11" s="11" t="str">
        <f t="shared" ref="H11:I11" si="3">SUM(H3:H10)</f>
        <v>3,002,222</v>
      </c>
      <c r="I11" s="11" t="str">
        <f t="shared" si="3"/>
        <v>135,099,990</v>
      </c>
    </row>
    <row r="12" ht="15.0" customHeight="1">
      <c r="E12" s="12"/>
      <c r="F12" s="12"/>
      <c r="G12" s="12"/>
      <c r="H12" s="12"/>
      <c r="I12" s="12"/>
    </row>
    <row r="13" ht="15.0" customHeight="1">
      <c r="A13" s="1"/>
      <c r="B13" s="1"/>
      <c r="C13" s="1"/>
      <c r="D13" s="1"/>
      <c r="E13" s="1"/>
      <c r="F13" s="1"/>
    </row>
    <row r="14" ht="15.0" customHeight="1">
      <c r="A14" s="13"/>
      <c r="B14" s="13"/>
      <c r="C14" s="14" t="s">
        <v>14</v>
      </c>
      <c r="D14" s="15"/>
      <c r="E14" s="16" t="s">
        <v>15</v>
      </c>
      <c r="F14" s="17" t="s">
        <v>16</v>
      </c>
      <c r="G14" s="18"/>
    </row>
    <row r="15" ht="30.0" customHeight="1">
      <c r="A15" s="19"/>
      <c r="B15" s="20" t="s">
        <v>17</v>
      </c>
      <c r="C15" s="21" t="s">
        <v>18</v>
      </c>
      <c r="D15" s="6" t="s">
        <v>19</v>
      </c>
      <c r="E15" s="22" t="s">
        <v>20</v>
      </c>
      <c r="F15" s="6">
        <v>100000.0</v>
      </c>
      <c r="G15" s="23" t="s">
        <v>21</v>
      </c>
    </row>
    <row r="16" ht="75.0" customHeight="1">
      <c r="A16" s="19"/>
      <c r="B16" s="24"/>
      <c r="C16" s="25"/>
      <c r="D16" s="6" t="s">
        <v>22</v>
      </c>
      <c r="E16" s="22" t="s">
        <v>23</v>
      </c>
      <c r="F16" s="6">
        <v>100000.0</v>
      </c>
      <c r="G16" s="23" t="s">
        <v>21</v>
      </c>
    </row>
    <row r="17" ht="60.0" customHeight="1">
      <c r="A17" s="19"/>
      <c r="B17" s="24"/>
      <c r="C17" s="25"/>
      <c r="D17" s="6" t="s">
        <v>24</v>
      </c>
      <c r="E17" s="22" t="s">
        <v>25</v>
      </c>
      <c r="F17" s="6">
        <v>100000.0</v>
      </c>
      <c r="G17" s="23" t="s">
        <v>26</v>
      </c>
    </row>
    <row r="18" ht="30.0" customHeight="1">
      <c r="A18" s="19"/>
      <c r="B18" s="24"/>
      <c r="C18" s="25"/>
      <c r="D18" s="6" t="s">
        <v>27</v>
      </c>
      <c r="E18" s="22" t="s">
        <v>28</v>
      </c>
      <c r="F18" s="6">
        <v>50000.0</v>
      </c>
      <c r="G18" s="23" t="s">
        <v>29</v>
      </c>
    </row>
    <row r="19" ht="15.0" customHeight="1">
      <c r="A19" s="19"/>
      <c r="B19" s="24"/>
      <c r="C19" s="25"/>
      <c r="D19" s="6" t="s">
        <v>30</v>
      </c>
      <c r="E19" s="22" t="s">
        <v>31</v>
      </c>
      <c r="F19" s="6">
        <v>80000.0</v>
      </c>
      <c r="G19" s="23" t="s">
        <v>29</v>
      </c>
    </row>
    <row r="20" ht="15.0" customHeight="1">
      <c r="A20" s="19"/>
      <c r="B20" s="24"/>
      <c r="C20" s="25"/>
      <c r="D20" s="6" t="s">
        <v>32</v>
      </c>
      <c r="E20" s="22" t="s">
        <v>33</v>
      </c>
      <c r="F20" s="6">
        <v>200000.0</v>
      </c>
      <c r="G20" s="23" t="s">
        <v>29</v>
      </c>
    </row>
    <row r="21" ht="15.0" customHeight="1">
      <c r="A21" s="19"/>
      <c r="B21" s="24"/>
      <c r="C21" s="25"/>
      <c r="D21" s="6" t="s">
        <v>34</v>
      </c>
      <c r="E21" s="22" t="s">
        <v>31</v>
      </c>
      <c r="F21" s="6">
        <v>5000.0</v>
      </c>
      <c r="G21" s="23" t="s">
        <v>29</v>
      </c>
    </row>
    <row r="22" ht="15.0" customHeight="1">
      <c r="A22" s="19"/>
      <c r="B22" s="24"/>
      <c r="C22" s="25"/>
      <c r="D22" s="6" t="s">
        <v>35</v>
      </c>
      <c r="E22" s="22" t="s">
        <v>31</v>
      </c>
      <c r="F22" s="6">
        <v>5000.0</v>
      </c>
      <c r="G22" s="23" t="s">
        <v>29</v>
      </c>
    </row>
    <row r="23" ht="15.0" customHeight="1">
      <c r="A23" s="19"/>
      <c r="B23" s="24"/>
      <c r="C23" s="25"/>
      <c r="D23" s="6" t="s">
        <v>36</v>
      </c>
      <c r="E23" s="22" t="s">
        <v>31</v>
      </c>
      <c r="F23" s="6">
        <v>20000.0</v>
      </c>
      <c r="G23" s="23" t="s">
        <v>29</v>
      </c>
    </row>
    <row r="24" ht="15.0" customHeight="1">
      <c r="A24" s="19"/>
      <c r="B24" s="24"/>
      <c r="C24" s="25"/>
      <c r="D24" s="6" t="s">
        <v>37</v>
      </c>
      <c r="E24" s="22" t="s">
        <v>31</v>
      </c>
      <c r="F24" s="6">
        <v>50000.0</v>
      </c>
      <c r="G24" s="23" t="s">
        <v>29</v>
      </c>
    </row>
    <row r="25" ht="15.0" customHeight="1">
      <c r="A25" s="19"/>
      <c r="B25" s="24"/>
      <c r="C25" s="25"/>
      <c r="D25" s="6" t="s">
        <v>38</v>
      </c>
      <c r="E25" s="22" t="s">
        <v>39</v>
      </c>
      <c r="F25" s="6">
        <v>100000.0</v>
      </c>
      <c r="G25" s="23" t="s">
        <v>40</v>
      </c>
    </row>
    <row r="26" ht="15.0" customHeight="1">
      <c r="A26" s="19"/>
      <c r="B26" s="24"/>
      <c r="C26" s="25"/>
      <c r="D26" s="6" t="s">
        <v>41</v>
      </c>
      <c r="E26" s="22" t="s">
        <v>42</v>
      </c>
      <c r="F26" s="6">
        <v>100000.0</v>
      </c>
      <c r="G26" s="23" t="s">
        <v>29</v>
      </c>
    </row>
    <row r="27" ht="15.0" customHeight="1">
      <c r="A27" s="19"/>
      <c r="B27" s="24"/>
      <c r="C27" s="25"/>
      <c r="D27" s="6" t="s">
        <v>43</v>
      </c>
      <c r="E27" s="22" t="s">
        <v>44</v>
      </c>
      <c r="F27" s="6">
        <v>50000.0</v>
      </c>
      <c r="G27" s="23" t="s">
        <v>45</v>
      </c>
    </row>
    <row r="28" ht="15.0" customHeight="1">
      <c r="A28" s="19"/>
      <c r="B28" s="24"/>
      <c r="C28" s="25"/>
      <c r="D28" s="6" t="s">
        <v>46</v>
      </c>
      <c r="E28" s="22" t="s">
        <v>47</v>
      </c>
      <c r="F28" s="6">
        <v>0.0</v>
      </c>
      <c r="G28" s="23" t="s">
        <v>45</v>
      </c>
    </row>
    <row r="29" ht="15.0" customHeight="1">
      <c r="A29" s="19"/>
      <c r="B29" s="24"/>
      <c r="C29" s="25"/>
      <c r="D29" s="6" t="s">
        <v>48</v>
      </c>
      <c r="E29" s="22" t="s">
        <v>49</v>
      </c>
      <c r="F29" s="6">
        <v>100000.0</v>
      </c>
      <c r="G29" s="23" t="s">
        <v>50</v>
      </c>
    </row>
    <row r="30" ht="15.0" customHeight="1">
      <c r="A30" s="19"/>
      <c r="B30" s="24"/>
      <c r="C30" s="25"/>
      <c r="D30" s="6" t="s">
        <v>51</v>
      </c>
      <c r="E30" s="22" t="s">
        <v>52</v>
      </c>
      <c r="F30" s="6">
        <v>135000.0</v>
      </c>
      <c r="G30" s="23" t="s">
        <v>50</v>
      </c>
    </row>
    <row r="31" ht="15.0" customHeight="1">
      <c r="A31" s="19"/>
      <c r="B31" s="24"/>
      <c r="C31" s="25"/>
      <c r="D31" s="6" t="s">
        <v>53</v>
      </c>
      <c r="E31" s="22" t="s">
        <v>54</v>
      </c>
      <c r="F31" s="6">
        <v>100000.0</v>
      </c>
      <c r="G31" s="23" t="s">
        <v>26</v>
      </c>
    </row>
    <row r="32" ht="15.0" customHeight="1">
      <c r="A32" s="19"/>
      <c r="B32" s="24"/>
      <c r="C32" s="25"/>
      <c r="D32" s="6" t="s">
        <v>55</v>
      </c>
      <c r="E32" s="22" t="s">
        <v>56</v>
      </c>
      <c r="F32" s="6">
        <v>100000.0</v>
      </c>
      <c r="G32" s="23" t="s">
        <v>45</v>
      </c>
    </row>
    <row r="33" ht="30.0" customHeight="1">
      <c r="A33" s="19"/>
      <c r="B33" s="24"/>
      <c r="C33" s="25"/>
      <c r="D33" s="6" t="s">
        <v>57</v>
      </c>
      <c r="E33" s="22" t="s">
        <v>58</v>
      </c>
      <c r="F33" s="6">
        <v>5000.0</v>
      </c>
      <c r="G33" s="23" t="s">
        <v>29</v>
      </c>
    </row>
    <row r="34" ht="15.0" customHeight="1">
      <c r="A34" s="19"/>
      <c r="B34" s="24"/>
      <c r="C34" s="25"/>
      <c r="D34" s="6" t="s">
        <v>59</v>
      </c>
      <c r="E34" s="22" t="s">
        <v>60</v>
      </c>
      <c r="F34" s="6">
        <v>50000.0</v>
      </c>
      <c r="G34" s="23" t="s">
        <v>29</v>
      </c>
    </row>
    <row r="35" ht="30.0" customHeight="1">
      <c r="A35" s="19"/>
      <c r="B35" s="24"/>
      <c r="C35" s="25"/>
      <c r="D35" s="22" t="s">
        <v>61</v>
      </c>
      <c r="E35" s="22" t="s">
        <v>62</v>
      </c>
      <c r="F35" s="6">
        <v>50000.0</v>
      </c>
      <c r="G35" s="23" t="s">
        <v>29</v>
      </c>
    </row>
    <row r="36" ht="15.0" customHeight="1">
      <c r="A36" s="19"/>
      <c r="B36" s="24"/>
      <c r="C36" s="25"/>
      <c r="D36" s="19"/>
      <c r="E36" s="26" t="s">
        <v>13</v>
      </c>
      <c r="F36" s="28" t="str">
        <f>SUM(F15:F35)</f>
        <v>1500000</v>
      </c>
      <c r="G36" s="23" t="s">
        <v>67</v>
      </c>
    </row>
    <row r="37" ht="15.0" customHeight="1">
      <c r="A37" s="19"/>
      <c r="B37" s="24"/>
      <c r="C37" s="25"/>
      <c r="D37" s="19"/>
      <c r="E37" s="29"/>
      <c r="F37" s="19"/>
      <c r="G37" s="18"/>
    </row>
    <row r="38" ht="15.0" customHeight="1">
      <c r="A38" s="19"/>
      <c r="B38" s="19"/>
      <c r="C38" s="19"/>
      <c r="D38" s="19"/>
      <c r="E38" s="19"/>
      <c r="F38" s="19"/>
      <c r="G38" s="18"/>
    </row>
    <row r="39" ht="15.0" customHeight="1">
      <c r="A39" s="19"/>
      <c r="B39" s="36" t="s">
        <v>68</v>
      </c>
      <c r="C39" s="37" t="s">
        <v>80</v>
      </c>
      <c r="D39" s="15"/>
      <c r="E39" s="19"/>
      <c r="F39" s="6">
        <v>0.0</v>
      </c>
      <c r="G39" s="38" t="s">
        <v>111</v>
      </c>
    </row>
    <row r="40" ht="15.0" customHeight="1">
      <c r="A40" s="19"/>
      <c r="B40" s="40"/>
      <c r="C40" s="19"/>
      <c r="D40" s="6" t="s">
        <v>119</v>
      </c>
      <c r="E40" s="19"/>
      <c r="F40" s="19"/>
      <c r="G40" s="18"/>
    </row>
    <row r="41" ht="15.0" customHeight="1">
      <c r="A41" s="19"/>
      <c r="B41" s="40"/>
      <c r="C41" s="19"/>
      <c r="D41" s="6" t="s">
        <v>120</v>
      </c>
      <c r="E41" s="19"/>
      <c r="F41" s="19"/>
      <c r="G41" s="18"/>
    </row>
    <row r="42" ht="15.0" customHeight="1">
      <c r="A42" s="19"/>
      <c r="B42" s="40"/>
      <c r="C42" s="19"/>
      <c r="D42" s="19"/>
      <c r="E42" s="19"/>
      <c r="F42" s="19"/>
      <c r="G42" s="18"/>
    </row>
    <row r="43" ht="15.0" customHeight="1">
      <c r="A43" s="19"/>
      <c r="B43" s="40"/>
      <c r="C43" s="37" t="s">
        <v>121</v>
      </c>
      <c r="D43" s="15"/>
      <c r="E43" s="19"/>
      <c r="F43" s="6">
        <v>400000.0</v>
      </c>
      <c r="G43" s="23" t="s">
        <v>29</v>
      </c>
    </row>
    <row r="44" ht="15.0" customHeight="1">
      <c r="A44" s="19"/>
      <c r="B44" s="40"/>
      <c r="C44" s="19"/>
      <c r="D44" s="42" t="s">
        <v>122</v>
      </c>
      <c r="E44" s="19"/>
      <c r="F44" s="19"/>
      <c r="G44" s="18"/>
    </row>
    <row r="45" ht="15.0" customHeight="1">
      <c r="A45" s="19"/>
      <c r="B45" s="40"/>
      <c r="C45" s="19"/>
      <c r="D45" s="6" t="s">
        <v>124</v>
      </c>
      <c r="E45" s="19"/>
      <c r="F45" s="19"/>
      <c r="G45" s="18"/>
    </row>
    <row r="46" ht="15.0" customHeight="1">
      <c r="A46" s="19"/>
      <c r="B46" s="40"/>
      <c r="C46" s="19"/>
      <c r="D46" s="55" t="s">
        <v>125</v>
      </c>
      <c r="E46" s="19"/>
      <c r="F46" s="19"/>
      <c r="G46" s="18"/>
    </row>
    <row r="47" ht="15.0" customHeight="1">
      <c r="A47" s="19"/>
      <c r="B47" s="40"/>
      <c r="C47" s="19"/>
      <c r="D47" s="19"/>
      <c r="E47" s="19"/>
      <c r="F47" s="19"/>
      <c r="G47" s="18"/>
    </row>
    <row r="48" ht="17.25" customHeight="1">
      <c r="A48" s="19"/>
      <c r="B48" s="40"/>
      <c r="C48" s="19"/>
      <c r="D48" s="19"/>
      <c r="E48" s="19"/>
      <c r="F48" s="19"/>
      <c r="G48" s="18"/>
    </row>
    <row r="49" ht="17.25" customHeight="1">
      <c r="A49" s="19"/>
      <c r="B49" s="40"/>
      <c r="C49" s="37" t="s">
        <v>139</v>
      </c>
      <c r="D49" s="15"/>
      <c r="E49" s="6" t="s">
        <v>153</v>
      </c>
      <c r="F49" s="68">
        <v>500000.0</v>
      </c>
      <c r="G49" s="23" t="s">
        <v>29</v>
      </c>
    </row>
    <row r="50" ht="17.25" customHeight="1">
      <c r="A50" s="19"/>
      <c r="B50" s="40"/>
      <c r="C50" s="73"/>
      <c r="D50" s="73"/>
      <c r="E50" s="19"/>
      <c r="F50" s="74"/>
      <c r="G50" s="18"/>
    </row>
    <row r="51" ht="15.0" customHeight="1">
      <c r="A51" s="19"/>
      <c r="B51" s="40"/>
      <c r="C51" s="37" t="s">
        <v>158</v>
      </c>
      <c r="D51" s="15"/>
      <c r="E51" s="19"/>
      <c r="F51" s="6">
        <v>450000.0</v>
      </c>
      <c r="G51" s="23" t="s">
        <v>29</v>
      </c>
    </row>
    <row r="52" ht="15.0" customHeight="1">
      <c r="A52" s="19"/>
      <c r="B52" s="40"/>
      <c r="C52" s="73"/>
      <c r="D52" s="77" t="s">
        <v>159</v>
      </c>
      <c r="E52" s="19"/>
      <c r="F52" s="19"/>
      <c r="G52" s="18"/>
    </row>
    <row r="53" ht="15.0" customHeight="1">
      <c r="A53" s="19"/>
      <c r="B53" s="40"/>
      <c r="C53" s="73"/>
      <c r="D53" s="78" t="s">
        <v>161</v>
      </c>
      <c r="E53" s="6" t="s">
        <v>163</v>
      </c>
      <c r="F53" s="19"/>
      <c r="G53" s="18"/>
    </row>
    <row r="54" ht="15.0" customHeight="1">
      <c r="A54" s="19"/>
      <c r="B54" s="40"/>
      <c r="C54" s="19"/>
      <c r="D54" s="6" t="s">
        <v>164</v>
      </c>
      <c r="E54" s="6" t="s">
        <v>165</v>
      </c>
      <c r="F54" s="19"/>
      <c r="G54" s="18"/>
    </row>
    <row r="55" ht="15.0" customHeight="1">
      <c r="A55" s="19"/>
      <c r="B55" s="40"/>
      <c r="C55" s="19"/>
      <c r="D55" s="6" t="s">
        <v>166</v>
      </c>
      <c r="E55" s="6" t="s">
        <v>167</v>
      </c>
      <c r="F55" s="19"/>
      <c r="G55" s="18"/>
    </row>
    <row r="56" ht="15.0" customHeight="1">
      <c r="A56" s="19"/>
      <c r="B56" s="40"/>
      <c r="C56" s="19"/>
      <c r="D56" s="6" t="s">
        <v>169</v>
      </c>
      <c r="E56" s="19"/>
      <c r="F56" s="19"/>
      <c r="G56" s="18"/>
    </row>
    <row r="57" ht="15.0" customHeight="1">
      <c r="A57" s="19"/>
      <c r="B57" s="40"/>
      <c r="C57" s="19"/>
      <c r="D57" s="6" t="s">
        <v>170</v>
      </c>
      <c r="E57" s="6" t="s">
        <v>171</v>
      </c>
      <c r="F57" s="19"/>
      <c r="G57" s="18"/>
    </row>
    <row r="58" ht="15.0" customHeight="1">
      <c r="A58" s="19"/>
      <c r="B58" s="40"/>
      <c r="C58" s="19"/>
      <c r="D58" s="6" t="s">
        <v>172</v>
      </c>
      <c r="E58" s="6" t="s">
        <v>173</v>
      </c>
      <c r="F58" s="19"/>
      <c r="G58" s="18"/>
    </row>
    <row r="59" ht="15.0" customHeight="1">
      <c r="A59" s="19"/>
      <c r="B59" s="40"/>
      <c r="C59" s="19"/>
      <c r="D59" s="19"/>
      <c r="E59" s="19"/>
      <c r="F59" s="19"/>
      <c r="G59" s="18"/>
    </row>
    <row r="60" ht="15.0" customHeight="1">
      <c r="A60" s="19"/>
      <c r="B60" s="80"/>
      <c r="C60" s="77" t="s">
        <v>175</v>
      </c>
      <c r="D60" s="73"/>
      <c r="E60" s="19"/>
      <c r="F60" s="6">
        <v>150000.0</v>
      </c>
      <c r="G60" s="23" t="s">
        <v>45</v>
      </c>
    </row>
    <row r="61" ht="15.0" customHeight="1">
      <c r="A61" s="19"/>
      <c r="B61" s="90"/>
      <c r="C61" s="19"/>
      <c r="D61" s="19"/>
      <c r="E61" s="91" t="s">
        <v>13</v>
      </c>
      <c r="F61" s="28" t="str">
        <f>SUM(F39:F60)</f>
        <v>1500000</v>
      </c>
      <c r="G61" s="18"/>
    </row>
    <row r="62" ht="15.0" customHeight="1">
      <c r="A62" s="19"/>
      <c r="B62" s="19"/>
      <c r="C62" s="19"/>
      <c r="D62" s="19"/>
      <c r="E62" s="19"/>
      <c r="F62" s="19"/>
      <c r="G62" s="18"/>
    </row>
    <row r="63" ht="15.0" customHeight="1">
      <c r="A63" s="19"/>
      <c r="B63" s="19"/>
      <c r="C63" s="19"/>
      <c r="D63" s="19"/>
      <c r="E63" s="19"/>
      <c r="F63" s="19"/>
      <c r="G63" s="18"/>
    </row>
    <row r="64" ht="15.0" customHeight="1">
      <c r="A64" s="19"/>
      <c r="B64" s="19"/>
      <c r="C64" s="19"/>
      <c r="D64" s="19"/>
      <c r="E64" s="19"/>
      <c r="F64" s="19"/>
      <c r="G64" s="18"/>
    </row>
    <row r="65" ht="15.0" customHeight="1">
      <c r="A65" s="19"/>
      <c r="B65" s="19"/>
      <c r="C65" s="19"/>
      <c r="D65" s="19"/>
      <c r="E65" s="19"/>
      <c r="F65" s="19"/>
      <c r="G65" s="18"/>
    </row>
    <row r="66" ht="15.0" customHeight="1">
      <c r="A66" s="19"/>
      <c r="B66" s="92" t="s">
        <v>191</v>
      </c>
      <c r="C66" s="6" t="s">
        <v>192</v>
      </c>
      <c r="D66" s="19"/>
      <c r="E66" s="19"/>
      <c r="F66" s="6">
        <v>0.0</v>
      </c>
      <c r="G66" s="18"/>
    </row>
    <row r="67" ht="15.0" customHeight="1">
      <c r="A67" s="19"/>
      <c r="B67" s="93"/>
      <c r="C67" s="6" t="s">
        <v>194</v>
      </c>
      <c r="D67" s="19"/>
      <c r="E67" s="6" t="s">
        <v>196</v>
      </c>
      <c r="F67" s="6" t="s">
        <v>173</v>
      </c>
      <c r="G67" s="18"/>
    </row>
    <row r="68" ht="15.0" customHeight="1">
      <c r="A68" s="19"/>
      <c r="B68" s="93"/>
      <c r="C68" s="94" t="s">
        <v>197</v>
      </c>
      <c r="D68" s="66"/>
      <c r="E68" s="19"/>
      <c r="F68" s="6" t="s">
        <v>200</v>
      </c>
      <c r="G68" s="18"/>
    </row>
    <row r="69" ht="15.0" customHeight="1">
      <c r="A69" s="19"/>
      <c r="B69" s="93"/>
      <c r="C69" s="6" t="s">
        <v>201</v>
      </c>
      <c r="D69" s="19"/>
      <c r="E69" s="19"/>
      <c r="F69" s="6">
        <v>1.5</v>
      </c>
      <c r="G69" s="18"/>
    </row>
    <row r="70" ht="15.0" customHeight="1">
      <c r="A70" s="19"/>
      <c r="B70" s="19"/>
      <c r="C70" s="19"/>
      <c r="D70" s="19"/>
      <c r="E70" s="19"/>
      <c r="F70" s="19"/>
      <c r="G70" s="18"/>
    </row>
    <row r="71" ht="15.0" customHeight="1">
      <c r="A71" s="19"/>
      <c r="B71" s="19"/>
      <c r="C71" s="19"/>
      <c r="D71" s="19"/>
      <c r="E71" s="19"/>
      <c r="F71" s="19"/>
      <c r="G71" s="49"/>
    </row>
    <row r="72" ht="15.0" customHeight="1">
      <c r="A72" s="19"/>
      <c r="B72" s="95" t="s">
        <v>7</v>
      </c>
      <c r="C72" s="97" t="s">
        <v>204</v>
      </c>
      <c r="D72" s="15"/>
      <c r="E72" s="99" t="s">
        <v>205</v>
      </c>
      <c r="F72" s="6">
        <v>0.0</v>
      </c>
      <c r="G72" s="35" t="s">
        <v>208</v>
      </c>
      <c r="H72" s="23" t="s">
        <v>29</v>
      </c>
    </row>
    <row r="73" ht="15.0" customHeight="1">
      <c r="A73" s="19"/>
      <c r="B73" s="100"/>
      <c r="C73" s="127" t="s">
        <v>105</v>
      </c>
      <c r="D73" s="15"/>
      <c r="E73" s="99" t="s">
        <v>106</v>
      </c>
      <c r="F73" s="6">
        <v>0.0</v>
      </c>
      <c r="G73" s="35" t="s">
        <v>258</v>
      </c>
      <c r="H73" s="23" t="s">
        <v>259</v>
      </c>
    </row>
    <row r="74" ht="15.0" customHeight="1">
      <c r="A74" s="19"/>
      <c r="B74" s="100"/>
      <c r="C74" s="127" t="s">
        <v>260</v>
      </c>
      <c r="D74" s="15"/>
      <c r="E74" s="99" t="s">
        <v>261</v>
      </c>
      <c r="F74" s="6">
        <v>0.0</v>
      </c>
      <c r="G74" s="35" t="s">
        <v>262</v>
      </c>
      <c r="H74" s="23" t="s">
        <v>259</v>
      </c>
    </row>
    <row r="75" ht="15.0" customHeight="1">
      <c r="A75" s="19"/>
      <c r="B75" s="100"/>
      <c r="C75" s="127" t="s">
        <v>263</v>
      </c>
      <c r="D75" s="15"/>
      <c r="E75" s="99" t="s">
        <v>264</v>
      </c>
      <c r="F75" s="6">
        <v>0.0</v>
      </c>
      <c r="G75" s="35" t="s">
        <v>265</v>
      </c>
      <c r="H75" s="23" t="s">
        <v>259</v>
      </c>
    </row>
    <row r="76" ht="15.0" customHeight="1">
      <c r="A76" s="19"/>
      <c r="B76" s="100"/>
      <c r="C76" s="97" t="s">
        <v>266</v>
      </c>
      <c r="D76" s="15"/>
      <c r="E76" s="99" t="s">
        <v>268</v>
      </c>
      <c r="F76" s="6">
        <v>0.0</v>
      </c>
      <c r="G76" s="35" t="s">
        <v>269</v>
      </c>
      <c r="H76" s="23" t="s">
        <v>29</v>
      </c>
    </row>
    <row r="77" ht="30.0" customHeight="1">
      <c r="A77" s="19"/>
      <c r="B77" s="100"/>
      <c r="C77" s="130" t="s">
        <v>109</v>
      </c>
      <c r="D77" s="15"/>
      <c r="E77" s="32" t="s">
        <v>271</v>
      </c>
      <c r="F77" s="6">
        <v>50000.0</v>
      </c>
      <c r="G77" s="35" t="s">
        <v>272</v>
      </c>
      <c r="H77" s="23" t="s">
        <v>29</v>
      </c>
    </row>
    <row r="78" ht="15.0" customHeight="1">
      <c r="A78" s="19"/>
      <c r="B78" s="100"/>
      <c r="C78" s="130" t="s">
        <v>273</v>
      </c>
      <c r="D78" s="15"/>
      <c r="E78" s="32" t="s">
        <v>275</v>
      </c>
      <c r="F78" s="6">
        <v>50000.0</v>
      </c>
      <c r="G78" s="35" t="s">
        <v>277</v>
      </c>
      <c r="H78" s="23" t="s">
        <v>278</v>
      </c>
    </row>
    <row r="79" ht="15.0" customHeight="1">
      <c r="A79" s="19"/>
      <c r="B79" s="100"/>
      <c r="C79" s="130" t="s">
        <v>76</v>
      </c>
      <c r="D79" s="66"/>
      <c r="E79" s="32" t="s">
        <v>279</v>
      </c>
      <c r="F79" s="6">
        <v>50000.0</v>
      </c>
      <c r="G79" s="35" t="s">
        <v>280</v>
      </c>
      <c r="H79" s="23" t="s">
        <v>278</v>
      </c>
    </row>
    <row r="80" ht="15.0" customHeight="1">
      <c r="A80" s="19"/>
      <c r="B80" s="100"/>
      <c r="C80" s="134" t="s">
        <v>281</v>
      </c>
      <c r="D80" s="15"/>
      <c r="E80" s="32" t="s">
        <v>282</v>
      </c>
      <c r="F80" s="6">
        <v>0.0</v>
      </c>
      <c r="G80" s="35" t="s">
        <v>269</v>
      </c>
      <c r="H80" s="23" t="s">
        <v>259</v>
      </c>
    </row>
    <row r="81" ht="15.0" customHeight="1">
      <c r="A81" s="19"/>
      <c r="B81" s="100"/>
      <c r="C81" s="130" t="s">
        <v>115</v>
      </c>
      <c r="D81" s="15"/>
      <c r="E81" s="136" t="s">
        <v>283</v>
      </c>
      <c r="F81" s="6">
        <v>0.0</v>
      </c>
      <c r="G81" s="35" t="s">
        <v>285</v>
      </c>
      <c r="H81" s="23" t="s">
        <v>29</v>
      </c>
    </row>
    <row r="82" ht="45.0" customHeight="1">
      <c r="A82" s="19"/>
      <c r="B82" s="100"/>
      <c r="C82" s="130" t="s">
        <v>286</v>
      </c>
      <c r="D82" s="15"/>
      <c r="E82" s="32" t="s">
        <v>288</v>
      </c>
      <c r="F82" s="6">
        <v>100000.0</v>
      </c>
      <c r="G82" s="68" t="s">
        <v>289</v>
      </c>
      <c r="H82" s="23" t="s">
        <v>29</v>
      </c>
    </row>
    <row r="83" ht="30.0" customHeight="1">
      <c r="A83" s="19"/>
      <c r="B83" s="100"/>
      <c r="C83" s="97" t="s">
        <v>290</v>
      </c>
      <c r="D83" s="15"/>
      <c r="E83" s="99" t="s">
        <v>292</v>
      </c>
      <c r="F83" s="6">
        <v>0.0</v>
      </c>
      <c r="G83" s="50"/>
      <c r="H83" s="23" t="s">
        <v>29</v>
      </c>
    </row>
    <row r="84" ht="15.0" customHeight="1">
      <c r="A84" s="19"/>
      <c r="B84" s="100"/>
      <c r="C84" s="127" t="s">
        <v>293</v>
      </c>
      <c r="D84" s="15"/>
      <c r="E84" s="99" t="s">
        <v>295</v>
      </c>
      <c r="F84" s="6">
        <v>0.0</v>
      </c>
      <c r="G84" s="50"/>
      <c r="H84" s="23" t="s">
        <v>259</v>
      </c>
    </row>
    <row r="85" ht="15.0" customHeight="1">
      <c r="A85" s="19"/>
      <c r="B85" s="100"/>
      <c r="C85" s="97" t="s">
        <v>296</v>
      </c>
      <c r="D85" s="15"/>
      <c r="E85" s="99" t="s">
        <v>298</v>
      </c>
      <c r="F85" s="6">
        <v>100000.0</v>
      </c>
      <c r="G85" s="50"/>
      <c r="H85" s="23" t="s">
        <v>29</v>
      </c>
    </row>
    <row r="86" ht="15.0" customHeight="1">
      <c r="A86" s="12"/>
      <c r="B86" s="12"/>
      <c r="C86" s="12"/>
      <c r="D86" s="46"/>
      <c r="E86" s="142" t="s">
        <v>13</v>
      </c>
      <c r="F86" s="144" t="str">
        <f>SUM(F72:F85)</f>
        <v>350000</v>
      </c>
      <c r="G86" s="12"/>
    </row>
  </sheetData>
  <mergeCells count="20">
    <mergeCell ref="C74:D74"/>
    <mergeCell ref="C75:D75"/>
    <mergeCell ref="C76:D76"/>
    <mergeCell ref="C77:D77"/>
    <mergeCell ref="C78:D78"/>
    <mergeCell ref="C79:D79"/>
    <mergeCell ref="C14:D14"/>
    <mergeCell ref="C39:D39"/>
    <mergeCell ref="C43:D43"/>
    <mergeCell ref="C49:D49"/>
    <mergeCell ref="C51:D51"/>
    <mergeCell ref="C73:D73"/>
    <mergeCell ref="C72:D72"/>
    <mergeCell ref="C80:D80"/>
    <mergeCell ref="C81:D81"/>
    <mergeCell ref="C82:D82"/>
    <mergeCell ref="C83:D83"/>
    <mergeCell ref="C84:D84"/>
    <mergeCell ref="C85:D85"/>
    <mergeCell ref="C68:D6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2.75"/>
  <cols>
    <col customWidth="1" min="1" max="2" width="9.29"/>
    <col customWidth="1" min="3" max="3" width="39.71"/>
    <col customWidth="1" min="4" max="4" width="9.29"/>
    <col customWidth="1" hidden="1" min="5" max="20" width="9.29"/>
    <col customWidth="1" min="21" max="23" width="12.71"/>
    <col customWidth="1" min="24" max="24" width="9.29"/>
  </cols>
  <sheetData>
    <row r="1" ht="16.5" customHeight="1">
      <c r="B1" s="82" t="s">
        <v>162</v>
      </c>
    </row>
    <row r="2" ht="16.5" customHeight="1">
      <c r="B2" s="82" t="s">
        <v>176</v>
      </c>
    </row>
    <row r="3" ht="16.5" customHeight="1">
      <c r="B3" s="82" t="s">
        <v>317</v>
      </c>
    </row>
    <row r="4" ht="16.5" customHeight="1"/>
    <row r="5" ht="16.5" customHeight="1">
      <c r="C5" s="39" t="s">
        <v>180</v>
      </c>
      <c r="D5" s="39" t="s">
        <v>181</v>
      </c>
      <c r="E5" s="39">
        <v>47.0</v>
      </c>
    </row>
    <row r="6" ht="16.5" customHeight="1">
      <c r="B6" s="87" t="s">
        <v>182</v>
      </c>
      <c r="C6" s="87" t="s">
        <v>15</v>
      </c>
      <c r="D6" s="87" t="s">
        <v>140</v>
      </c>
      <c r="E6" s="88">
        <v>40634.0</v>
      </c>
      <c r="F6" s="88">
        <v>40664.0</v>
      </c>
      <c r="G6" s="88">
        <v>40695.0</v>
      </c>
      <c r="H6" s="88">
        <v>40725.0</v>
      </c>
      <c r="I6" s="88">
        <v>40756.0</v>
      </c>
      <c r="J6" s="88">
        <v>40787.0</v>
      </c>
      <c r="K6" s="88">
        <v>40817.0</v>
      </c>
      <c r="L6" s="88">
        <v>40848.0</v>
      </c>
      <c r="M6" s="88">
        <v>40878.0</v>
      </c>
      <c r="N6" s="88">
        <v>40909.0</v>
      </c>
      <c r="O6" s="88">
        <v>40940.0</v>
      </c>
      <c r="P6" s="88">
        <v>40969.0</v>
      </c>
      <c r="Q6" s="87" t="s">
        <v>318</v>
      </c>
      <c r="R6" s="87" t="s">
        <v>319</v>
      </c>
      <c r="S6" s="87" t="s">
        <v>320</v>
      </c>
      <c r="T6" s="87" t="s">
        <v>321</v>
      </c>
      <c r="U6" s="87" t="s">
        <v>322</v>
      </c>
    </row>
    <row r="7" ht="16.5" customHeight="1">
      <c r="E7" s="89" t="str">
        <f t="shared" ref="E7:P7" si="1">'Y:\FY 2010-11\AOP FY 11 Submitted on Mar 26rd10\[AOP FY11.xls]Expanded P&amp;L'!AC7</f>
        <v>#REF!</v>
      </c>
      <c r="F7" s="89" t="str">
        <f t="shared" si="1"/>
        <v>#REF!</v>
      </c>
      <c r="G7" s="89" t="str">
        <f t="shared" si="1"/>
        <v>#REF!</v>
      </c>
      <c r="H7" s="89" t="str">
        <f t="shared" si="1"/>
        <v>#REF!</v>
      </c>
      <c r="I7" s="89" t="str">
        <f t="shared" si="1"/>
        <v>#REF!</v>
      </c>
      <c r="J7" s="89" t="str">
        <f t="shared" si="1"/>
        <v>#REF!</v>
      </c>
      <c r="K7" s="89" t="str">
        <f t="shared" si="1"/>
        <v>#REF!</v>
      </c>
      <c r="L7" s="89" t="str">
        <f t="shared" si="1"/>
        <v>#REF!</v>
      </c>
      <c r="M7" s="89" t="str">
        <f t="shared" si="1"/>
        <v>#REF!</v>
      </c>
      <c r="N7" s="89" t="str">
        <f t="shared" si="1"/>
        <v>#REF!</v>
      </c>
      <c r="O7" s="89" t="str">
        <f t="shared" si="1"/>
        <v>#REF!</v>
      </c>
      <c r="P7" s="89" t="str">
        <f t="shared" si="1"/>
        <v>#REF!</v>
      </c>
      <c r="Q7" s="87" t="s">
        <v>148</v>
      </c>
      <c r="R7" s="87" t="s">
        <v>148</v>
      </c>
      <c r="S7" s="87" t="s">
        <v>323</v>
      </c>
      <c r="T7" s="87" t="s">
        <v>148</v>
      </c>
      <c r="U7" s="87" t="s">
        <v>148</v>
      </c>
    </row>
    <row r="8" ht="15.0" customHeight="1"/>
    <row r="9" ht="15.0" customHeight="1"/>
    <row r="10" ht="15.0" customHeight="1">
      <c r="B10" s="160">
        <v>1.0</v>
      </c>
      <c r="C10" s="161" t="s">
        <v>324</v>
      </c>
    </row>
    <row r="11" ht="15.0" customHeight="1">
      <c r="B11" s="155" t="str">
        <f t="shared" ref="B11:B17" si="2">B10+0.01</f>
        <v>1.01</v>
      </c>
      <c r="C11" s="162" t="s">
        <v>326</v>
      </c>
      <c r="D11" s="163" t="s">
        <v>327</v>
      </c>
      <c r="Q11" s="164" t="str">
        <f t="shared" ref="Q11:Q17" si="3">SUM(E11:G11)</f>
        <v>0</v>
      </c>
      <c r="R11" s="164" t="str">
        <f t="shared" ref="R11:R17" si="4">SUM(H11:J11)</f>
        <v>0</v>
      </c>
      <c r="S11" s="164" t="str">
        <f t="shared" ref="S11:S17" si="5">+SUM(K11:M11)</f>
        <v>0</v>
      </c>
      <c r="T11" s="164" t="str">
        <f t="shared" ref="T11:T17" si="6">+SUM(N11:P11)</f>
        <v>0</v>
      </c>
      <c r="U11" s="165" t="str">
        <f>OPs!F49/10^6</f>
        <v>48</v>
      </c>
      <c r="V11" s="166" t="s">
        <v>328</v>
      </c>
    </row>
    <row r="12" ht="15.0" customHeight="1">
      <c r="B12" s="155" t="str">
        <f t="shared" si="2"/>
        <v>1.02</v>
      </c>
      <c r="C12" s="167" t="s">
        <v>329</v>
      </c>
      <c r="D12" s="168" t="s">
        <v>327</v>
      </c>
      <c r="Q12" s="164" t="str">
        <f t="shared" si="3"/>
        <v>0</v>
      </c>
      <c r="R12" s="164" t="str">
        <f t="shared" si="4"/>
        <v>0</v>
      </c>
      <c r="S12" s="164" t="str">
        <f t="shared" si="5"/>
        <v>0</v>
      </c>
      <c r="T12" s="164" t="str">
        <f t="shared" si="6"/>
        <v>0</v>
      </c>
      <c r="U12" s="165" t="str">
        <f>OPs!F57/10^6</f>
        <v>1</v>
      </c>
      <c r="V12" s="166" t="s">
        <v>328</v>
      </c>
    </row>
    <row r="13" ht="15.0" customHeight="1">
      <c r="B13" s="155" t="str">
        <f t="shared" si="2"/>
        <v>1.03</v>
      </c>
      <c r="C13" s="167" t="s">
        <v>330</v>
      </c>
      <c r="D13" s="168" t="s">
        <v>327</v>
      </c>
      <c r="Q13" s="164" t="str">
        <f t="shared" si="3"/>
        <v>0</v>
      </c>
      <c r="R13" s="164" t="str">
        <f t="shared" si="4"/>
        <v>0</v>
      </c>
      <c r="S13" s="164" t="str">
        <f t="shared" si="5"/>
        <v>0</v>
      </c>
      <c r="T13" s="164" t="str">
        <f t="shared" si="6"/>
        <v>0</v>
      </c>
      <c r="U13" s="165" t="str">
        <f>OPs!F76/10^6</f>
        <v>9</v>
      </c>
      <c r="V13" s="166" t="s">
        <v>328</v>
      </c>
    </row>
    <row r="14" ht="15.0" customHeight="1">
      <c r="B14" s="155" t="str">
        <f t="shared" si="2"/>
        <v>1.04</v>
      </c>
      <c r="C14" s="167" t="s">
        <v>332</v>
      </c>
      <c r="D14" s="168" t="s">
        <v>327</v>
      </c>
      <c r="Q14" s="164" t="str">
        <f t="shared" si="3"/>
        <v>0</v>
      </c>
      <c r="R14" s="164" t="str">
        <f t="shared" si="4"/>
        <v>0</v>
      </c>
      <c r="S14" s="164" t="str">
        <f t="shared" si="5"/>
        <v>0</v>
      </c>
      <c r="T14" s="164" t="str">
        <f t="shared" si="6"/>
        <v>0</v>
      </c>
      <c r="U14" s="165" t="str">
        <f>OPs!F85/10^6</f>
        <v>50</v>
      </c>
      <c r="V14" s="166" t="s">
        <v>333</v>
      </c>
      <c r="W14" s="166" t="s">
        <v>334</v>
      </c>
    </row>
    <row r="15" ht="15.0" customHeight="1">
      <c r="B15" s="155" t="str">
        <f t="shared" si="2"/>
        <v>1.05</v>
      </c>
      <c r="C15" s="167" t="s">
        <v>335</v>
      </c>
      <c r="D15" s="168" t="s">
        <v>327</v>
      </c>
      <c r="Q15" s="164" t="str">
        <f t="shared" si="3"/>
        <v>0</v>
      </c>
      <c r="R15" s="164" t="str">
        <f t="shared" si="4"/>
        <v>0</v>
      </c>
      <c r="S15" s="164" t="str">
        <f t="shared" si="5"/>
        <v>0</v>
      </c>
      <c r="T15" s="164" t="str">
        <f t="shared" si="6"/>
        <v>0</v>
      </c>
      <c r="U15" s="165" t="str">
        <f>OPs!F110/10^6</f>
        <v>43</v>
      </c>
      <c r="V15" s="166" t="s">
        <v>328</v>
      </c>
    </row>
    <row r="16" ht="15.0" customHeight="1">
      <c r="B16" s="155" t="str">
        <f t="shared" si="2"/>
        <v>1.06</v>
      </c>
      <c r="C16" s="167" t="s">
        <v>337</v>
      </c>
      <c r="D16" s="168" t="s">
        <v>327</v>
      </c>
      <c r="Q16" s="164" t="str">
        <f t="shared" si="3"/>
        <v>0</v>
      </c>
      <c r="R16" s="164" t="str">
        <f t="shared" si="4"/>
        <v>0</v>
      </c>
      <c r="S16" s="164" t="str">
        <f t="shared" si="5"/>
        <v>0</v>
      </c>
      <c r="T16" s="164" t="str">
        <f t="shared" si="6"/>
        <v>0</v>
      </c>
      <c r="U16" s="165" t="str">
        <f>NOC!H44/10^6</f>
        <v>22</v>
      </c>
      <c r="V16" s="166" t="s">
        <v>339</v>
      </c>
    </row>
    <row r="17" ht="15.0" customHeight="1">
      <c r="B17" s="155" t="str">
        <f t="shared" si="2"/>
        <v>1.07</v>
      </c>
      <c r="C17" s="171" t="s">
        <v>340</v>
      </c>
      <c r="D17" s="172" t="s">
        <v>327</v>
      </c>
      <c r="E17" s="173" t="str">
        <f t="shared" ref="E17:P17" si="7">SUM(E11:E16)</f>
        <v>0.0</v>
      </c>
      <c r="F17" s="173" t="str">
        <f t="shared" si="7"/>
        <v>0.0</v>
      </c>
      <c r="G17" s="173" t="str">
        <f t="shared" si="7"/>
        <v>0.0</v>
      </c>
      <c r="H17" s="173" t="str">
        <f t="shared" si="7"/>
        <v>0.0</v>
      </c>
      <c r="I17" s="173" t="str">
        <f t="shared" si="7"/>
        <v>0.0</v>
      </c>
      <c r="J17" s="173" t="str">
        <f t="shared" si="7"/>
        <v>0.0</v>
      </c>
      <c r="K17" s="173" t="str">
        <f t="shared" si="7"/>
        <v>0.0</v>
      </c>
      <c r="L17" s="173" t="str">
        <f t="shared" si="7"/>
        <v>0.0</v>
      </c>
      <c r="M17" s="173" t="str">
        <f t="shared" si="7"/>
        <v>0.0</v>
      </c>
      <c r="N17" s="173" t="str">
        <f t="shared" si="7"/>
        <v>0.0</v>
      </c>
      <c r="O17" s="173" t="str">
        <f t="shared" si="7"/>
        <v>0.0</v>
      </c>
      <c r="P17" s="173" t="str">
        <f t="shared" si="7"/>
        <v>0.0</v>
      </c>
      <c r="Q17" s="174" t="str">
        <f t="shared" si="3"/>
        <v>0.0</v>
      </c>
      <c r="R17" s="174" t="str">
        <f t="shared" si="4"/>
        <v>0.0</v>
      </c>
      <c r="S17" s="174" t="str">
        <f t="shared" si="5"/>
        <v>0.0</v>
      </c>
      <c r="T17" s="174" t="str">
        <f t="shared" si="6"/>
        <v>0.0</v>
      </c>
      <c r="U17" s="175" t="str">
        <f>U11+SUM(U12:U16)</f>
        <v>172.18</v>
      </c>
    </row>
    <row r="18" ht="15.0" customHeight="1">
      <c r="C18" s="162" t="s">
        <v>343</v>
      </c>
      <c r="U18" s="177" t="str">
        <f>OPs!L15</f>
        <v>49.60</v>
      </c>
      <c r="X18" s="62" t="str">
        <f>23.82/11*12</f>
        <v>25.98545455</v>
      </c>
    </row>
    <row r="19" ht="15.0" customHeight="1">
      <c r="C19" s="162" t="s">
        <v>339</v>
      </c>
      <c r="U19" s="177" t="str">
        <f>OPs!L16</f>
        <v>56.99</v>
      </c>
    </row>
    <row r="20" ht="15.0" customHeight="1">
      <c r="C20" s="162" t="s">
        <v>328</v>
      </c>
      <c r="U20" s="177" t="str">
        <f>OPs!L14</f>
        <v>65.60</v>
      </c>
    </row>
    <row r="21" ht="15.0" customHeight="1"/>
    <row r="22" ht="15.0" customHeight="1">
      <c r="B22" s="160">
        <v>2.0</v>
      </c>
      <c r="C22" s="171" t="s">
        <v>344</v>
      </c>
    </row>
    <row r="23" ht="15.0" customHeight="1">
      <c r="B23" s="155" t="str">
        <f t="shared" ref="B23:B32" si="8">B22+0.01</f>
        <v>2.01</v>
      </c>
      <c r="C23" s="167" t="s">
        <v>345</v>
      </c>
      <c r="D23" s="168" t="s">
        <v>327</v>
      </c>
      <c r="G23" s="178" t="str">
        <f>'DR Headend '!G126/10^6</f>
        <v>#REF!</v>
      </c>
      <c r="Q23" s="180" t="str">
        <f t="shared" ref="Q23:Q29" si="9">SUM(E23:G23)</f>
        <v>#REF!</v>
      </c>
      <c r="R23" s="164" t="str">
        <f t="shared" ref="R23:R29" si="10">SUM(H23:J23)</f>
        <v>0</v>
      </c>
      <c r="S23" s="164" t="str">
        <f t="shared" ref="S23:S29" si="11">+SUM(K23:M23)</f>
        <v>0</v>
      </c>
      <c r="T23" s="164" t="str">
        <f t="shared" ref="T23:T29" si="12">+SUM(N23:P23)</f>
        <v>0</v>
      </c>
      <c r="U23" s="135" t="str">
        <f>'DR Headend '!G126/10^6</f>
        <v>#REF!</v>
      </c>
      <c r="V23" s="137" t="s">
        <v>334</v>
      </c>
    </row>
    <row r="24" ht="15.0" customHeight="1">
      <c r="B24" s="155" t="str">
        <f t="shared" si="8"/>
        <v>2.02</v>
      </c>
      <c r="C24" s="167" t="s">
        <v>347</v>
      </c>
      <c r="D24" s="168" t="s">
        <v>327</v>
      </c>
      <c r="H24" s="178" t="str">
        <f>'DR Headend '!G125/10^6</f>
        <v>#REF!</v>
      </c>
      <c r="Q24" s="164" t="str">
        <f t="shared" si="9"/>
        <v>0</v>
      </c>
      <c r="R24" s="180" t="str">
        <f t="shared" si="10"/>
        <v>#REF!</v>
      </c>
      <c r="S24" s="164" t="str">
        <f t="shared" si="11"/>
        <v>0</v>
      </c>
      <c r="T24" s="164" t="str">
        <f t="shared" si="12"/>
        <v>0</v>
      </c>
      <c r="U24" s="135" t="str">
        <f>'DR Headend '!G125/10^6</f>
        <v>#REF!</v>
      </c>
      <c r="V24" s="137" t="s">
        <v>334</v>
      </c>
      <c r="W24" s="137" t="s">
        <v>348</v>
      </c>
    </row>
    <row r="25" ht="15.0" customHeight="1">
      <c r="B25" s="155" t="str">
        <f t="shared" si="8"/>
        <v>2.03</v>
      </c>
      <c r="C25" s="167" t="s">
        <v>349</v>
      </c>
      <c r="D25" s="168" t="s">
        <v>327</v>
      </c>
      <c r="I25" s="178" t="str">
        <f>'DR Headend '!G124/10^6</f>
        <v>#REF!</v>
      </c>
      <c r="Q25" s="164" t="str">
        <f t="shared" si="9"/>
        <v>0</v>
      </c>
      <c r="R25" s="180" t="str">
        <f t="shared" si="10"/>
        <v>#REF!</v>
      </c>
      <c r="S25" s="164" t="str">
        <f t="shared" si="11"/>
        <v>0</v>
      </c>
      <c r="T25" s="164" t="str">
        <f t="shared" si="12"/>
        <v>0</v>
      </c>
      <c r="U25" s="135" t="str">
        <f>'DR Headend '!G124/10^6</f>
        <v>#REF!</v>
      </c>
      <c r="V25" s="137" t="s">
        <v>334</v>
      </c>
    </row>
    <row r="26" ht="15.0" customHeight="1">
      <c r="B26" s="155" t="str">
        <f t="shared" si="8"/>
        <v>2.04</v>
      </c>
      <c r="C26" s="167" t="s">
        <v>350</v>
      </c>
      <c r="D26" s="168" t="s">
        <v>327</v>
      </c>
      <c r="Q26" s="164" t="str">
        <f t="shared" si="9"/>
        <v>0</v>
      </c>
      <c r="R26" s="164" t="str">
        <f t="shared" si="10"/>
        <v>0</v>
      </c>
      <c r="S26" s="164" t="str">
        <f t="shared" si="11"/>
        <v>0</v>
      </c>
      <c r="T26" s="164" t="str">
        <f t="shared" si="12"/>
        <v>0</v>
      </c>
      <c r="U26" s="184">
        <v>0.0</v>
      </c>
      <c r="V26" s="137" t="s">
        <v>334</v>
      </c>
      <c r="W26" s="137" t="s">
        <v>352</v>
      </c>
    </row>
    <row r="27" ht="15.0" customHeight="1">
      <c r="B27" s="155" t="str">
        <f t="shared" si="8"/>
        <v>2.05</v>
      </c>
      <c r="C27" s="167" t="s">
        <v>353</v>
      </c>
      <c r="D27" s="168" t="s">
        <v>327</v>
      </c>
      <c r="H27" s="186" t="str">
        <f>'DR Headend '!G128/10^6</f>
        <v>1</v>
      </c>
      <c r="Q27" s="164" t="str">
        <f t="shared" si="9"/>
        <v>0</v>
      </c>
      <c r="R27" s="180" t="str">
        <f t="shared" si="10"/>
        <v>1.1</v>
      </c>
      <c r="S27" s="164" t="str">
        <f t="shared" si="11"/>
        <v>0</v>
      </c>
      <c r="T27" s="164" t="str">
        <f t="shared" si="12"/>
        <v>0</v>
      </c>
      <c r="U27" s="135" t="str">
        <f>'DR Headend '!G128/10^6</f>
        <v> 1.11 </v>
      </c>
      <c r="V27" s="137" t="s">
        <v>334</v>
      </c>
    </row>
    <row r="28" ht="15.0" customHeight="1">
      <c r="B28" s="155" t="str">
        <f t="shared" si="8"/>
        <v>2.06</v>
      </c>
      <c r="C28" s="167" t="s">
        <v>355</v>
      </c>
      <c r="D28" s="168" t="s">
        <v>327</v>
      </c>
      <c r="Q28" s="164" t="str">
        <f t="shared" si="9"/>
        <v>0</v>
      </c>
      <c r="R28" s="164" t="str">
        <f t="shared" si="10"/>
        <v>0</v>
      </c>
      <c r="S28" s="164" t="str">
        <f t="shared" si="11"/>
        <v>0</v>
      </c>
      <c r="T28" s="164" t="str">
        <f t="shared" si="12"/>
        <v>0</v>
      </c>
      <c r="U28" s="137">
        <v>0.0</v>
      </c>
      <c r="V28" s="137" t="s">
        <v>334</v>
      </c>
      <c r="W28" s="137" t="s">
        <v>356</v>
      </c>
    </row>
    <row r="29" ht="15.0" customHeight="1">
      <c r="B29" s="155" t="str">
        <f t="shared" si="8"/>
        <v>2.07</v>
      </c>
      <c r="C29" s="167" t="s">
        <v>357</v>
      </c>
      <c r="D29" s="168" t="s">
        <v>327</v>
      </c>
      <c r="L29" s="178" t="str">
        <f>'DR Headend '!G127/10^6</f>
        <v>#REF!</v>
      </c>
      <c r="Q29" s="164" t="str">
        <f t="shared" si="9"/>
        <v>0</v>
      </c>
      <c r="R29" s="164" t="str">
        <f t="shared" si="10"/>
        <v>0</v>
      </c>
      <c r="S29" s="180" t="str">
        <f t="shared" si="11"/>
        <v>#REF!</v>
      </c>
      <c r="T29" s="164" t="str">
        <f t="shared" si="12"/>
        <v>0</v>
      </c>
      <c r="U29" s="135" t="str">
        <f>'DR Headend '!G127/10^6</f>
        <v>#REF!</v>
      </c>
      <c r="V29" s="137" t="s">
        <v>334</v>
      </c>
    </row>
    <row r="30" ht="15.0" customHeight="1">
      <c r="B30" s="155" t="str">
        <f t="shared" si="8"/>
        <v>2.08</v>
      </c>
      <c r="C30" s="167" t="s">
        <v>361</v>
      </c>
      <c r="D30" s="168" t="s">
        <v>327</v>
      </c>
      <c r="I30" s="178" t="str">
        <f>'DR Headend '!G123/10^6</f>
        <v>66.7</v>
      </c>
      <c r="U30" s="135" t="str">
        <f>'DR Headend '!G123/10^6</f>
        <v> 66.72 </v>
      </c>
      <c r="V30" s="137" t="s">
        <v>334</v>
      </c>
    </row>
    <row r="31" ht="15.0" customHeight="1">
      <c r="B31" s="155" t="str">
        <f t="shared" si="8"/>
        <v>2.09</v>
      </c>
      <c r="C31" s="167" t="s">
        <v>362</v>
      </c>
      <c r="D31" s="168" t="s">
        <v>327</v>
      </c>
      <c r="G31" s="186" t="str">
        <f>'DR Headend '!G129/10^6</f>
        <v>1</v>
      </c>
      <c r="Q31" s="180" t="str">
        <f t="shared" ref="Q31:Q32" si="14">SUM(E31:G31)</f>
        <v>1.4</v>
      </c>
      <c r="R31" s="164" t="str">
        <f t="shared" ref="R31:R32" si="15">SUM(H31:J31)</f>
        <v>0</v>
      </c>
      <c r="S31" s="164" t="str">
        <f t="shared" ref="S31:S32" si="16">+SUM(K31:M31)</f>
        <v>0</v>
      </c>
      <c r="T31" s="164" t="str">
        <f t="shared" ref="T31:T32" si="17">+SUM(N31:P31)</f>
        <v>0</v>
      </c>
      <c r="U31" s="135" t="str">
        <f>'DR Headend '!G129/10^6</f>
        <v> 1.44 </v>
      </c>
      <c r="V31" s="137" t="s">
        <v>334</v>
      </c>
    </row>
    <row r="32" ht="15.0" customHeight="1">
      <c r="B32" s="155" t="str">
        <f t="shared" si="8"/>
        <v>2.10</v>
      </c>
      <c r="C32" s="171" t="s">
        <v>366</v>
      </c>
      <c r="D32" s="172" t="s">
        <v>327</v>
      </c>
      <c r="E32" s="173" t="str">
        <f t="shared" ref="E32:P32" si="13">SUM(E23:E31)</f>
        <v>0.0</v>
      </c>
      <c r="F32" s="173" t="str">
        <f t="shared" si="13"/>
        <v>0.0</v>
      </c>
      <c r="G32" s="173" t="str">
        <f t="shared" si="13"/>
        <v>#REF!</v>
      </c>
      <c r="H32" s="173" t="str">
        <f t="shared" si="13"/>
        <v>#REF!</v>
      </c>
      <c r="I32" s="173" t="str">
        <f t="shared" si="13"/>
        <v>#REF!</v>
      </c>
      <c r="J32" s="173" t="str">
        <f t="shared" si="13"/>
        <v>0.0</v>
      </c>
      <c r="K32" s="173" t="str">
        <f t="shared" si="13"/>
        <v>0.0</v>
      </c>
      <c r="L32" s="173" t="str">
        <f t="shared" si="13"/>
        <v>#REF!</v>
      </c>
      <c r="M32" s="173" t="str">
        <f t="shared" si="13"/>
        <v>0.0</v>
      </c>
      <c r="N32" s="173" t="str">
        <f t="shared" si="13"/>
        <v>0.0</v>
      </c>
      <c r="O32" s="173" t="str">
        <f t="shared" si="13"/>
        <v>0.0</v>
      </c>
      <c r="P32" s="173" t="str">
        <f t="shared" si="13"/>
        <v>0.0</v>
      </c>
      <c r="Q32" s="174" t="str">
        <f t="shared" si="14"/>
        <v>#REF!</v>
      </c>
      <c r="R32" s="174" t="str">
        <f t="shared" si="15"/>
        <v>#REF!</v>
      </c>
      <c r="S32" s="174" t="str">
        <f t="shared" si="16"/>
        <v>#REF!</v>
      </c>
      <c r="T32" s="174" t="str">
        <f t="shared" si="17"/>
        <v>0.0</v>
      </c>
      <c r="U32" s="174" t="str">
        <f>SUM(U23:U31)</f>
        <v>#REF!</v>
      </c>
    </row>
    <row r="33" ht="15.0" customHeight="1"/>
    <row r="34" ht="15.0" customHeight="1">
      <c r="B34" s="187" t="str">
        <f>3</f>
        <v>3.00</v>
      </c>
      <c r="C34" s="171" t="s">
        <v>369</v>
      </c>
    </row>
    <row r="35" ht="15.0" customHeight="1">
      <c r="B35" s="155" t="str">
        <f t="shared" ref="B35:B39" si="18">B34+0.01</f>
        <v>3.01</v>
      </c>
      <c r="C35" s="167" t="s">
        <v>370</v>
      </c>
      <c r="D35" s="168" t="s">
        <v>327</v>
      </c>
      <c r="Q35" s="164" t="str">
        <f t="shared" ref="Q35:Q39" si="19">SUM(E35:G35)</f>
        <v>0</v>
      </c>
      <c r="R35" s="164" t="str">
        <f t="shared" ref="R35:R39" si="20">SUM(H35:J35)</f>
        <v>0</v>
      </c>
      <c r="S35" s="164" t="str">
        <f t="shared" ref="S35:S39" si="21">+SUM(K35:M35)</f>
        <v>0</v>
      </c>
      <c r="T35" s="164" t="str">
        <f t="shared" ref="T35:T39" si="22">+SUM(N35:P35)</f>
        <v>0</v>
      </c>
      <c r="U35" s="165" t="str">
        <f>'revised detail'!I3/10^6</f>
        <v>54</v>
      </c>
      <c r="V35" s="188" t="s">
        <v>334</v>
      </c>
    </row>
    <row r="36" ht="15.0" customHeight="1">
      <c r="B36" s="155" t="str">
        <f t="shared" si="18"/>
        <v>3.02</v>
      </c>
      <c r="C36" s="167" t="s">
        <v>371</v>
      </c>
      <c r="D36" s="168" t="s">
        <v>327</v>
      </c>
      <c r="Q36" s="164" t="str">
        <f t="shared" si="19"/>
        <v>0</v>
      </c>
      <c r="R36" s="164" t="str">
        <f t="shared" si="20"/>
        <v>0</v>
      </c>
      <c r="S36" s="164" t="str">
        <f t="shared" si="21"/>
        <v>0</v>
      </c>
      <c r="T36" s="164" t="str">
        <f t="shared" si="22"/>
        <v>0</v>
      </c>
      <c r="U36" s="177" t="str">
        <f>('revised detail'!I5+'revised detail'!I7)/10^6</f>
        <v>20.25</v>
      </c>
      <c r="V36" s="188" t="s">
        <v>328</v>
      </c>
    </row>
    <row r="37" ht="15.0" customHeight="1">
      <c r="B37" s="155" t="str">
        <f t="shared" si="18"/>
        <v>3.03</v>
      </c>
      <c r="C37" s="167" t="s">
        <v>375</v>
      </c>
      <c r="D37" s="168" t="s">
        <v>327</v>
      </c>
      <c r="Q37" s="164" t="str">
        <f t="shared" si="19"/>
        <v>0</v>
      </c>
      <c r="R37" s="164" t="str">
        <f t="shared" si="20"/>
        <v>0</v>
      </c>
      <c r="S37" s="164" t="str">
        <f t="shared" si="21"/>
        <v>0</v>
      </c>
      <c r="T37" s="164" t="str">
        <f t="shared" si="22"/>
        <v>0</v>
      </c>
      <c r="U37" s="165" t="str">
        <f>('revised detail'!I4+'revised detail'!I6+'revised detail'!I8)/10^6</f>
        <v>56</v>
      </c>
      <c r="V37" s="166" t="s">
        <v>334</v>
      </c>
    </row>
    <row r="38" ht="15.0" customHeight="1">
      <c r="B38" s="155" t="str">
        <f t="shared" si="18"/>
        <v>3.04</v>
      </c>
      <c r="C38" s="167" t="s">
        <v>376</v>
      </c>
      <c r="D38" s="168" t="s">
        <v>327</v>
      </c>
      <c r="Q38" s="164" t="str">
        <f t="shared" si="19"/>
        <v>0</v>
      </c>
      <c r="R38" s="164" t="str">
        <f t="shared" si="20"/>
        <v>0</v>
      </c>
      <c r="S38" s="164" t="str">
        <f t="shared" si="21"/>
        <v>0</v>
      </c>
      <c r="T38" s="164" t="str">
        <f t="shared" si="22"/>
        <v>0</v>
      </c>
      <c r="U38" s="192" t="str">
        <f>'revised detail'!I9/10^6</f>
        <v>4.5</v>
      </c>
      <c r="V38" s="193" t="s">
        <v>339</v>
      </c>
    </row>
    <row r="39" ht="15.0" customHeight="1">
      <c r="B39" s="155" t="str">
        <f t="shared" si="18"/>
        <v>3.05</v>
      </c>
      <c r="C39" s="158" t="s">
        <v>377</v>
      </c>
      <c r="E39" s="173" t="str">
        <f t="shared" ref="E39:P39" si="23">SUM(E35:E38)</f>
        <v>0.0</v>
      </c>
      <c r="F39" s="173" t="str">
        <f t="shared" si="23"/>
        <v>0.0</v>
      </c>
      <c r="G39" s="173" t="str">
        <f t="shared" si="23"/>
        <v>0.0</v>
      </c>
      <c r="H39" s="173" t="str">
        <f t="shared" si="23"/>
        <v>0.0</v>
      </c>
      <c r="I39" s="173" t="str">
        <f t="shared" si="23"/>
        <v>0.0</v>
      </c>
      <c r="J39" s="173" t="str">
        <f t="shared" si="23"/>
        <v>0.0</v>
      </c>
      <c r="K39" s="173" t="str">
        <f t="shared" si="23"/>
        <v>0.0</v>
      </c>
      <c r="L39" s="173" t="str">
        <f t="shared" si="23"/>
        <v>0.0</v>
      </c>
      <c r="M39" s="173" t="str">
        <f t="shared" si="23"/>
        <v>0.0</v>
      </c>
      <c r="N39" s="173" t="str">
        <f t="shared" si="23"/>
        <v>0.0</v>
      </c>
      <c r="O39" s="173" t="str">
        <f t="shared" si="23"/>
        <v>0.0</v>
      </c>
      <c r="P39" s="173" t="str">
        <f t="shared" si="23"/>
        <v>0.0</v>
      </c>
      <c r="Q39" s="174" t="str">
        <f t="shared" si="19"/>
        <v>0.0</v>
      </c>
      <c r="R39" s="174" t="str">
        <f t="shared" si="20"/>
        <v>0.0</v>
      </c>
      <c r="S39" s="174" t="str">
        <f t="shared" si="21"/>
        <v>0.0</v>
      </c>
      <c r="T39" s="174" t="str">
        <f t="shared" si="22"/>
        <v>0.0</v>
      </c>
      <c r="U39" s="194">
        <v>135.0</v>
      </c>
    </row>
    <row r="40" ht="15.0" customHeight="1"/>
    <row r="41" ht="15.0" customHeight="1"/>
    <row r="42" ht="15.0" customHeight="1">
      <c r="B42" s="195">
        <v>4.0</v>
      </c>
      <c r="C42" s="195" t="s">
        <v>378</v>
      </c>
      <c r="D42" s="195" t="s">
        <v>327</v>
      </c>
      <c r="E42" s="196"/>
      <c r="F42" s="196"/>
      <c r="G42" s="196"/>
      <c r="H42" s="196"/>
      <c r="I42" s="196"/>
      <c r="J42" s="196"/>
      <c r="K42" s="196"/>
      <c r="L42" s="196"/>
      <c r="M42" s="196"/>
      <c r="N42" s="196"/>
      <c r="O42" s="196"/>
      <c r="P42" s="196"/>
      <c r="Q42" s="197" t="str">
        <f>SUM(E42:G42)</f>
        <v>0.0</v>
      </c>
      <c r="R42" s="197" t="str">
        <f>SUM(H42:J42)</f>
        <v>0.0</v>
      </c>
      <c r="S42" s="197" t="str">
        <f>+SUM(K42:M42)</f>
        <v>0.0</v>
      </c>
      <c r="T42" s="197" t="str">
        <f>+SUM(N42:P42)</f>
        <v>0.0</v>
      </c>
      <c r="U42" s="197" t="str">
        <f>U17+U32+U39</f>
        <v>#REF!</v>
      </c>
      <c r="V42" s="197"/>
      <c r="W42" s="197"/>
      <c r="X42" s="62" t="str">
        <f>X17+X32+X39</f>
        <v>0</v>
      </c>
    </row>
    <row r="43" ht="15.0" customHeight="1"/>
    <row r="44" ht="15.0" customHeight="1"/>
    <row r="45">
      <c r="U45" s="57" t="s">
        <v>333</v>
      </c>
      <c r="V45" s="198" t="str">
        <f t="shared" ref="V45:V48" si="24">SUMIF($V$11:$V$38,U45,$U$11:$U$38)</f>
        <v>50</v>
      </c>
    </row>
    <row r="46">
      <c r="U46" s="57" t="s">
        <v>339</v>
      </c>
      <c r="V46" s="205" t="str">
        <f t="shared" si="24"/>
        <v>26.2</v>
      </c>
    </row>
    <row r="47">
      <c r="U47" s="57" t="s">
        <v>328</v>
      </c>
      <c r="V47" s="205" t="str">
        <f t="shared" si="24"/>
        <v>121.1</v>
      </c>
    </row>
    <row r="48">
      <c r="U48" s="57" t="s">
        <v>334</v>
      </c>
      <c r="V48" s="205" t="str">
        <f t="shared" si="24"/>
        <v>#REF!</v>
      </c>
    </row>
    <row r="50">
      <c r="U50" s="57" t="s">
        <v>13</v>
      </c>
      <c r="V50" s="205" t="str">
        <f>SUM(V45:V48)</f>
        <v>#REF!</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71"/>
    <col customWidth="1" min="2" max="2" width="40.0"/>
    <col customWidth="1" min="3" max="3" width="32.57"/>
    <col customWidth="1" min="4" max="4" width="17.14"/>
    <col customWidth="1" min="5" max="5" width="16.29"/>
    <col customWidth="1" min="6" max="6" width="62.0"/>
    <col customWidth="1" min="7" max="7" width="10.14"/>
    <col customWidth="1" min="8" max="8" width="32.29"/>
    <col customWidth="1" min="9" max="9" width="9.29"/>
  </cols>
  <sheetData>
    <row r="1" ht="15.0" customHeight="1"/>
    <row r="2" ht="15.0" customHeight="1"/>
    <row r="3" ht="15.0" customHeight="1">
      <c r="C3" s="287" t="s">
        <v>379</v>
      </c>
      <c r="D3" s="200" t="s">
        <v>380</v>
      </c>
      <c r="E3" s="202">
        <v>45.0</v>
      </c>
    </row>
    <row r="4" ht="15.0" customHeight="1">
      <c r="C4" s="287" t="s">
        <v>381</v>
      </c>
      <c r="E4" s="203">
        <v>0.0</v>
      </c>
    </row>
    <row r="5" ht="15.0" customHeight="1">
      <c r="C5" s="287" t="s">
        <v>383</v>
      </c>
      <c r="E5" s="293">
        <v>0.2152</v>
      </c>
    </row>
    <row r="6" ht="15.0" customHeight="1">
      <c r="C6" s="287" t="s">
        <v>385</v>
      </c>
      <c r="E6" s="293">
        <v>0.0886</v>
      </c>
    </row>
    <row r="7" ht="15.0" customHeight="1">
      <c r="C7" s="287" t="s">
        <v>386</v>
      </c>
      <c r="E7" s="204">
        <v>0.1266</v>
      </c>
    </row>
    <row r="8" ht="15.0" customHeight="1"/>
    <row r="9" ht="15.0" customHeight="1">
      <c r="B9" s="39" t="s">
        <v>371</v>
      </c>
      <c r="C9" s="39" t="s">
        <v>685</v>
      </c>
      <c r="D9" s="294" t="str">
        <f>E21+E22+E23+E24+E30</f>
        <v>1,050,000</v>
      </c>
      <c r="E9" s="295" t="str">
        <f t="shared" ref="E9:E10" si="1">D9*$E$3</f>
        <v>47,250,000</v>
      </c>
    </row>
    <row r="10" ht="15.0" customHeight="1">
      <c r="B10" s="39" t="s">
        <v>687</v>
      </c>
      <c r="D10" s="294" t="str">
        <f>E18</f>
        <v>1,950,000</v>
      </c>
      <c r="E10" s="295" t="str">
        <f t="shared" si="1"/>
        <v>87,750,000</v>
      </c>
    </row>
    <row r="11" ht="15.0" customHeight="1">
      <c r="B11" s="39" t="s">
        <v>6</v>
      </c>
      <c r="D11" s="294" t="str">
        <f>E25+E26+E27+E28+E29</f>
        <v>1,425,000</v>
      </c>
      <c r="E11" s="295" t="str">
        <f t="shared" ref="E11:E12" si="2">D11*$E$3*(1+1*$E$4)+(1+1*$E$7)</f>
        <v>64,125,001</v>
      </c>
    </row>
    <row r="12" ht="15.0" customHeight="1">
      <c r="B12" s="39" t="s">
        <v>11</v>
      </c>
      <c r="D12" s="294" t="str">
        <f>E31</f>
        <v>200,000</v>
      </c>
      <c r="E12" s="295" t="str">
        <f t="shared" si="2"/>
        <v>9,000,001</v>
      </c>
      <c r="I12" s="296" t="str">
        <f>3000000/47</f>
        <v>63829.78723</v>
      </c>
    </row>
    <row r="13" ht="15.0" customHeight="1"/>
    <row r="14" ht="15.0" customHeight="1">
      <c r="B14" s="39" t="s">
        <v>12</v>
      </c>
      <c r="E14" s="297">
        <v>100000.0</v>
      </c>
    </row>
    <row r="15" ht="15.75" customHeight="1">
      <c r="A15" s="1"/>
      <c r="B15" s="1"/>
      <c r="C15" s="1"/>
      <c r="D15" s="1"/>
      <c r="E15" s="1"/>
      <c r="F15" s="1"/>
    </row>
    <row r="16" ht="15.0" customHeight="1">
      <c r="A16" s="298" t="s">
        <v>689</v>
      </c>
      <c r="B16" s="66"/>
      <c r="C16" s="66"/>
      <c r="D16" s="66"/>
      <c r="E16" s="66"/>
      <c r="F16" s="15"/>
      <c r="G16" s="18"/>
    </row>
    <row r="17" ht="15.0" customHeight="1">
      <c r="A17" s="299" t="s">
        <v>690</v>
      </c>
      <c r="B17" s="299" t="s">
        <v>693</v>
      </c>
      <c r="C17" s="299" t="s">
        <v>207</v>
      </c>
      <c r="D17" s="299" t="s">
        <v>694</v>
      </c>
      <c r="E17" s="299" t="s">
        <v>695</v>
      </c>
      <c r="F17" s="300" t="s">
        <v>397</v>
      </c>
      <c r="G17" s="18"/>
    </row>
    <row r="18" ht="15.0" customHeight="1">
      <c r="A18" s="78">
        <v>1.0</v>
      </c>
      <c r="B18" s="78" t="s">
        <v>696</v>
      </c>
      <c r="C18" s="78">
        <v>1.0</v>
      </c>
      <c r="D18" s="301" t="str">
        <f>'Plng Rev Details'!F23</f>
        <v>1,950,000</v>
      </c>
      <c r="E18" s="302" t="str">
        <f t="shared" ref="E18:E31" si="3">C18*D18</f>
        <v>1,950,000</v>
      </c>
      <c r="F18" s="22" t="s">
        <v>697</v>
      </c>
      <c r="G18" s="18"/>
    </row>
    <row r="19" ht="15.0" customHeight="1">
      <c r="A19" s="78">
        <v>2.0</v>
      </c>
      <c r="B19" s="78" t="s">
        <v>698</v>
      </c>
      <c r="C19" s="78">
        <v>0.0</v>
      </c>
      <c r="D19" s="303">
        <v>0.0</v>
      </c>
      <c r="E19" s="302" t="str">
        <f t="shared" si="3"/>
        <v>0</v>
      </c>
      <c r="F19" s="22" t="s">
        <v>699</v>
      </c>
      <c r="G19" s="18"/>
    </row>
    <row r="20" ht="15.0" customHeight="1">
      <c r="A20" s="78">
        <v>3.0</v>
      </c>
      <c r="B20" s="78" t="s">
        <v>700</v>
      </c>
      <c r="C20" s="304"/>
      <c r="D20" s="302"/>
      <c r="E20" s="302" t="str">
        <f t="shared" si="3"/>
        <v>0</v>
      </c>
      <c r="F20" s="29"/>
      <c r="G20" s="18"/>
    </row>
    <row r="21" ht="15.0" customHeight="1">
      <c r="A21" s="304"/>
      <c r="B21" s="78" t="s">
        <v>701</v>
      </c>
      <c r="C21" s="305">
        <v>1.0</v>
      </c>
      <c r="D21" s="302" t="str">
        <f>'Plng Rev Details'!F68</f>
        <v>400,000</v>
      </c>
      <c r="E21" s="302" t="str">
        <f t="shared" si="3"/>
        <v>400,000</v>
      </c>
      <c r="F21" s="22" t="s">
        <v>702</v>
      </c>
      <c r="G21" s="18"/>
    </row>
    <row r="22" ht="15.0" customHeight="1">
      <c r="A22" s="304"/>
      <c r="B22" s="78" t="s">
        <v>703</v>
      </c>
      <c r="C22" s="305">
        <v>1.0</v>
      </c>
      <c r="D22" s="302" t="str">
        <f>'Plng Rev Details'!F81</f>
        <v>400,000</v>
      </c>
      <c r="E22" s="302" t="str">
        <f t="shared" si="3"/>
        <v>400,000</v>
      </c>
      <c r="F22" s="22" t="s">
        <v>702</v>
      </c>
      <c r="G22" s="18"/>
    </row>
    <row r="23" ht="15.0" customHeight="1">
      <c r="A23" s="304"/>
      <c r="B23" s="78" t="s">
        <v>704</v>
      </c>
      <c r="C23" s="78">
        <v>1.0</v>
      </c>
      <c r="D23" s="302"/>
      <c r="E23" s="302" t="str">
        <f t="shared" si="3"/>
        <v>0</v>
      </c>
      <c r="F23" s="22" t="s">
        <v>705</v>
      </c>
      <c r="G23" s="18"/>
    </row>
    <row r="24" ht="15.0" customHeight="1">
      <c r="A24" s="78">
        <v>4.0</v>
      </c>
      <c r="B24" s="78" t="s">
        <v>807</v>
      </c>
      <c r="C24" s="305">
        <v>5.0</v>
      </c>
      <c r="D24" s="338">
        <v>30000.0</v>
      </c>
      <c r="E24" s="302" t="str">
        <f t="shared" si="3"/>
        <v>150,000</v>
      </c>
      <c r="F24" s="22" t="s">
        <v>808</v>
      </c>
      <c r="G24" s="18"/>
    </row>
    <row r="25" ht="15.0" customHeight="1">
      <c r="A25" s="78">
        <v>5.0</v>
      </c>
      <c r="B25" s="78" t="s">
        <v>809</v>
      </c>
      <c r="C25" s="78">
        <v>1.0</v>
      </c>
      <c r="D25" s="302" t="str">
        <f>'Plng Rev Details'!F38</f>
        <v>700,000</v>
      </c>
      <c r="E25" s="302" t="str">
        <f t="shared" si="3"/>
        <v>700,000</v>
      </c>
      <c r="F25" s="22" t="s">
        <v>810</v>
      </c>
      <c r="G25" s="18"/>
    </row>
    <row r="26" ht="15.0" customHeight="1">
      <c r="A26" s="78">
        <v>6.0</v>
      </c>
      <c r="B26" s="78" t="s">
        <v>811</v>
      </c>
      <c r="C26" s="78">
        <v>1.0</v>
      </c>
      <c r="D26" s="302" t="str">
        <f>'Plng Rev Details'!F30</f>
        <v>400,000</v>
      </c>
      <c r="E26" s="302" t="str">
        <f t="shared" si="3"/>
        <v>400,000</v>
      </c>
      <c r="F26" s="29"/>
      <c r="G26" s="18"/>
    </row>
    <row r="27" ht="15.0" customHeight="1">
      <c r="A27" s="78">
        <v>7.0</v>
      </c>
      <c r="B27" s="78" t="s">
        <v>812</v>
      </c>
      <c r="C27" s="78">
        <v>1.0</v>
      </c>
      <c r="D27" s="302" t="str">
        <f>'Plng Rev Details'!F26</f>
        <v>100,000</v>
      </c>
      <c r="E27" s="302" t="str">
        <f t="shared" si="3"/>
        <v>100,000</v>
      </c>
      <c r="F27" s="29"/>
      <c r="G27" s="18"/>
    </row>
    <row r="28" ht="15.0" customHeight="1">
      <c r="A28" s="78">
        <v>8.0</v>
      </c>
      <c r="B28" s="78" t="s">
        <v>813</v>
      </c>
      <c r="C28" s="78">
        <v>1.0</v>
      </c>
      <c r="D28" s="302" t="str">
        <f>'Plng Rev Details'!F47</f>
        <v>150,000</v>
      </c>
      <c r="E28" s="302" t="str">
        <f t="shared" si="3"/>
        <v>150,000</v>
      </c>
      <c r="F28" s="29"/>
      <c r="G28" s="18"/>
    </row>
    <row r="29" ht="15.0" customHeight="1">
      <c r="A29" s="78">
        <v>9.0</v>
      </c>
      <c r="B29" s="78" t="s">
        <v>814</v>
      </c>
      <c r="C29" s="78">
        <v>1.0</v>
      </c>
      <c r="D29" s="302" t="str">
        <f>'Plng Rev Details'!F53</f>
        <v>75,000</v>
      </c>
      <c r="E29" s="302" t="str">
        <f t="shared" si="3"/>
        <v>75,000</v>
      </c>
      <c r="F29" s="29"/>
      <c r="G29" s="18"/>
    </row>
    <row r="30" ht="30.0" customHeight="1">
      <c r="A30" s="78">
        <v>10.0</v>
      </c>
      <c r="B30" s="78" t="s">
        <v>815</v>
      </c>
      <c r="C30" s="78">
        <v>1.0</v>
      </c>
      <c r="D30" s="303">
        <v>100000.0</v>
      </c>
      <c r="E30" s="302" t="str">
        <f t="shared" si="3"/>
        <v>100,000</v>
      </c>
      <c r="F30" s="22" t="s">
        <v>816</v>
      </c>
      <c r="G30" s="18"/>
    </row>
    <row r="31" ht="15.0" customHeight="1">
      <c r="A31" s="78">
        <v>11.0</v>
      </c>
      <c r="B31" s="78" t="s">
        <v>817</v>
      </c>
      <c r="C31" s="78">
        <v>1.0</v>
      </c>
      <c r="D31" s="338">
        <v>200000.0</v>
      </c>
      <c r="E31" s="302" t="str">
        <f t="shared" si="3"/>
        <v>200,000</v>
      </c>
      <c r="F31" s="22" t="s">
        <v>818</v>
      </c>
      <c r="G31" s="18"/>
    </row>
    <row r="32" ht="15.0" customHeight="1">
      <c r="A32" s="339"/>
      <c r="B32" s="12"/>
      <c r="C32" s="12"/>
      <c r="D32" s="12"/>
      <c r="E32" s="12"/>
      <c r="F32" s="340"/>
      <c r="G32" s="18"/>
    </row>
    <row r="33" ht="15.75" customHeight="1">
      <c r="A33" s="341"/>
      <c r="B33" s="342"/>
      <c r="C33" s="342"/>
      <c r="D33" s="343"/>
      <c r="E33" s="344"/>
      <c r="F33" s="345"/>
      <c r="G33" s="18"/>
    </row>
    <row r="34" ht="15.0" customHeight="1">
      <c r="A34" s="12"/>
      <c r="B34" s="12"/>
      <c r="C34" s="12"/>
      <c r="D34" s="12"/>
      <c r="E34" s="12"/>
      <c r="F34" s="12"/>
    </row>
    <row r="35" ht="15.0" customHeight="1">
      <c r="A35" s="346" t="s">
        <v>819</v>
      </c>
    </row>
    <row r="36" ht="15.0" customHeight="1">
      <c r="B36" s="346" t="s">
        <v>820</v>
      </c>
      <c r="C36" s="346" t="s">
        <v>821</v>
      </c>
      <c r="D36" s="346" t="s">
        <v>822</v>
      </c>
    </row>
    <row r="37" ht="15.0" customHeight="1">
      <c r="A37" s="39">
        <v>1.0</v>
      </c>
      <c r="B37" s="39" t="s">
        <v>823</v>
      </c>
      <c r="C37" s="39">
        <v>1.0</v>
      </c>
      <c r="D37" s="39">
        <v>500.0</v>
      </c>
      <c r="E37" s="296" t="str">
        <f t="shared" ref="E37:E40" si="4">C37*D37</f>
        <v>500</v>
      </c>
    </row>
    <row r="38" ht="15.0" customHeight="1">
      <c r="A38" s="39">
        <v>2.0</v>
      </c>
      <c r="B38" s="39" t="s">
        <v>824</v>
      </c>
      <c r="C38" s="39">
        <v>4.0</v>
      </c>
      <c r="D38" s="39">
        <v>3000.0</v>
      </c>
      <c r="E38" s="296" t="str">
        <f t="shared" si="4"/>
        <v>12000</v>
      </c>
      <c r="F38" s="347" t="s">
        <v>825</v>
      </c>
    </row>
    <row r="39" ht="15.0" customHeight="1">
      <c r="A39" s="39">
        <v>3.0</v>
      </c>
      <c r="B39" s="39" t="s">
        <v>826</v>
      </c>
      <c r="C39" s="39">
        <v>3.0</v>
      </c>
      <c r="D39" s="39">
        <v>300.0</v>
      </c>
      <c r="E39" s="296" t="str">
        <f t="shared" si="4"/>
        <v>900</v>
      </c>
    </row>
    <row r="40" ht="15.0" customHeight="1">
      <c r="A40" s="39">
        <v>4.0</v>
      </c>
      <c r="B40" s="39" t="s">
        <v>827</v>
      </c>
      <c r="C40" s="39">
        <v>2.0</v>
      </c>
      <c r="D40" s="39">
        <v>500.0</v>
      </c>
      <c r="E40" s="296" t="str">
        <f t="shared" si="4"/>
        <v>1000</v>
      </c>
    </row>
  </sheetData>
  <mergeCells count="2">
    <mergeCell ref="A16:F16"/>
    <mergeCell ref="A35:D3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8.43"/>
    <col customWidth="1" min="2" max="2" width="37.71"/>
    <col customWidth="1" min="3" max="3" width="17.71"/>
    <col customWidth="1" min="4" max="4" width="31.86"/>
    <col customWidth="1" min="5" max="5" width="9.43"/>
    <col customWidth="1" min="6" max="6" width="7.29"/>
    <col customWidth="1" min="7" max="7" width="14.29"/>
    <col customWidth="1" min="8" max="8" width="26.0"/>
    <col customWidth="1" min="9" max="9" width="20.14"/>
    <col customWidth="1" min="10" max="10" width="60.57"/>
    <col customWidth="1" min="11" max="11" width="9.29"/>
  </cols>
  <sheetData>
    <row r="1">
      <c r="C1" s="199" t="s">
        <v>379</v>
      </c>
      <c r="D1" s="200" t="s">
        <v>380</v>
      </c>
      <c r="E1" s="202">
        <v>45.0</v>
      </c>
    </row>
    <row r="2">
      <c r="C2" s="199" t="s">
        <v>381</v>
      </c>
      <c r="E2" s="203">
        <v>0.05</v>
      </c>
    </row>
    <row r="3">
      <c r="C3" s="199" t="s">
        <v>383</v>
      </c>
      <c r="E3" s="204">
        <v>0.2152</v>
      </c>
    </row>
    <row r="4">
      <c r="C4" s="199" t="s">
        <v>385</v>
      </c>
      <c r="E4" s="204">
        <v>0.0886</v>
      </c>
    </row>
    <row r="5" ht="13.5" customHeight="1">
      <c r="A5" s="1"/>
      <c r="B5" s="1"/>
      <c r="C5" s="288" t="s">
        <v>386</v>
      </c>
      <c r="D5" s="1"/>
      <c r="E5" s="289" t="str">
        <f>E3-E4</f>
        <v>12.66%</v>
      </c>
      <c r="F5" s="1"/>
      <c r="G5" s="1"/>
      <c r="H5" s="1"/>
      <c r="I5" s="1"/>
      <c r="J5" s="1"/>
    </row>
    <row r="6" ht="18.75" customHeight="1">
      <c r="A6" s="290" t="s">
        <v>679</v>
      </c>
      <c r="B6" s="66"/>
      <c r="C6" s="66"/>
      <c r="D6" s="66"/>
      <c r="E6" s="66"/>
      <c r="F6" s="66"/>
      <c r="G6" s="66"/>
      <c r="H6" s="66"/>
      <c r="I6" s="66"/>
      <c r="J6" s="15"/>
      <c r="K6" s="18"/>
    </row>
    <row r="7" ht="15.75" customHeight="1">
      <c r="A7" s="291" t="s">
        <v>680</v>
      </c>
      <c r="B7" s="306" t="s">
        <v>15</v>
      </c>
      <c r="C7" s="307" t="s">
        <v>706</v>
      </c>
      <c r="D7" s="307" t="s">
        <v>707</v>
      </c>
      <c r="E7" s="307" t="s">
        <v>708</v>
      </c>
      <c r="F7" s="307" t="s">
        <v>392</v>
      </c>
      <c r="G7" s="307" t="s">
        <v>709</v>
      </c>
      <c r="H7" s="307" t="s">
        <v>710</v>
      </c>
      <c r="I7" s="308"/>
      <c r="J7" s="309" t="s">
        <v>397</v>
      </c>
      <c r="K7" s="18"/>
    </row>
    <row r="8" ht="15.75" customHeight="1">
      <c r="A8" s="310" t="s">
        <v>711</v>
      </c>
      <c r="B8" s="15"/>
      <c r="C8" s="311"/>
      <c r="D8" s="311"/>
      <c r="E8" s="311"/>
      <c r="F8" s="311"/>
      <c r="G8" s="311"/>
      <c r="H8" s="311"/>
      <c r="I8" s="311"/>
      <c r="J8" s="312"/>
      <c r="K8" s="18"/>
    </row>
    <row r="9" ht="15.75" customHeight="1">
      <c r="A9" s="313" t="s">
        <v>712</v>
      </c>
      <c r="B9" s="314" t="s">
        <v>713</v>
      </c>
      <c r="C9" s="314" t="s">
        <v>714</v>
      </c>
      <c r="D9" s="315" t="s">
        <v>714</v>
      </c>
      <c r="E9" s="316" t="s">
        <v>715</v>
      </c>
      <c r="F9" s="316">
        <v>45.0</v>
      </c>
      <c r="G9" s="317">
        <v>40.0</v>
      </c>
      <c r="H9" s="318" t="str">
        <f t="shared" ref="H9:H14" si="1">F9*G9</f>
        <v>$1,800 </v>
      </c>
      <c r="I9" s="319" t="s">
        <v>716</v>
      </c>
      <c r="J9" s="320" t="s">
        <v>717</v>
      </c>
      <c r="K9" s="18"/>
    </row>
    <row r="10" ht="15.0" customHeight="1">
      <c r="A10" s="313" t="s">
        <v>718</v>
      </c>
      <c r="B10" s="314" t="s">
        <v>719</v>
      </c>
      <c r="C10" s="314" t="s">
        <v>720</v>
      </c>
      <c r="D10" s="315" t="s">
        <v>721</v>
      </c>
      <c r="E10" s="316" t="s">
        <v>715</v>
      </c>
      <c r="F10" s="316">
        <v>1.0</v>
      </c>
      <c r="G10" s="317">
        <v>3000.0</v>
      </c>
      <c r="H10" s="318" t="str">
        <f t="shared" si="1"/>
        <v>$3,000 </v>
      </c>
      <c r="I10" s="319" t="s">
        <v>716</v>
      </c>
      <c r="J10" s="320" t="s">
        <v>722</v>
      </c>
      <c r="K10" s="18"/>
    </row>
    <row r="11" ht="15.75" customHeight="1">
      <c r="A11" s="313" t="s">
        <v>723</v>
      </c>
      <c r="B11" s="321" t="s">
        <v>724</v>
      </c>
      <c r="C11" s="321" t="s">
        <v>725</v>
      </c>
      <c r="D11" s="322" t="s">
        <v>726</v>
      </c>
      <c r="E11" s="323" t="s">
        <v>715</v>
      </c>
      <c r="F11" s="323">
        <v>3.0</v>
      </c>
      <c r="G11" s="324">
        <v>3300.0</v>
      </c>
      <c r="H11" s="325" t="str">
        <f t="shared" si="1"/>
        <v>$9,900 </v>
      </c>
      <c r="I11" s="326" t="s">
        <v>716</v>
      </c>
      <c r="J11" s="327" t="s">
        <v>727</v>
      </c>
      <c r="K11" s="18"/>
    </row>
    <row r="12" ht="15.75" customHeight="1">
      <c r="A12" s="313" t="s">
        <v>728</v>
      </c>
      <c r="B12" s="321" t="s">
        <v>729</v>
      </c>
      <c r="C12" s="321" t="s">
        <v>725</v>
      </c>
      <c r="D12" s="322" t="s">
        <v>726</v>
      </c>
      <c r="E12" s="323" t="s">
        <v>715</v>
      </c>
      <c r="F12" s="323">
        <v>6.0</v>
      </c>
      <c r="G12" s="324">
        <v>3300.0</v>
      </c>
      <c r="H12" s="325" t="str">
        <f t="shared" si="1"/>
        <v>$19,800 </v>
      </c>
      <c r="I12" s="326" t="s">
        <v>716</v>
      </c>
      <c r="J12" s="327" t="s">
        <v>727</v>
      </c>
      <c r="K12" s="18"/>
    </row>
    <row r="13" ht="15.75" customHeight="1">
      <c r="A13" s="313" t="s">
        <v>730</v>
      </c>
      <c r="B13" s="321" t="s">
        <v>724</v>
      </c>
      <c r="C13" s="321" t="s">
        <v>725</v>
      </c>
      <c r="D13" s="322" t="s">
        <v>731</v>
      </c>
      <c r="E13" s="323" t="s">
        <v>715</v>
      </c>
      <c r="F13" s="323">
        <v>2.0</v>
      </c>
      <c r="G13" s="324">
        <v>5596.0</v>
      </c>
      <c r="H13" s="325" t="str">
        <f t="shared" si="1"/>
        <v>$11,192 </v>
      </c>
      <c r="I13" s="326" t="s">
        <v>716</v>
      </c>
      <c r="J13" s="327" t="s">
        <v>727</v>
      </c>
      <c r="K13" s="18"/>
    </row>
    <row r="14" ht="15.75" customHeight="1">
      <c r="A14" s="313" t="s">
        <v>732</v>
      </c>
      <c r="B14" s="321" t="s">
        <v>729</v>
      </c>
      <c r="C14" s="321" t="s">
        <v>725</v>
      </c>
      <c r="D14" s="322" t="s">
        <v>731</v>
      </c>
      <c r="E14" s="323" t="s">
        <v>715</v>
      </c>
      <c r="F14" s="323">
        <v>5.0</v>
      </c>
      <c r="G14" s="324">
        <v>5596.0</v>
      </c>
      <c r="H14" s="325" t="str">
        <f t="shared" si="1"/>
        <v>$27,980 </v>
      </c>
      <c r="I14" s="326" t="s">
        <v>716</v>
      </c>
      <c r="J14" s="327" t="s">
        <v>727</v>
      </c>
      <c r="K14" s="18"/>
    </row>
    <row r="15" ht="15.75" customHeight="1">
      <c r="A15" s="328" t="s">
        <v>733</v>
      </c>
      <c r="B15" s="314" t="s">
        <v>734</v>
      </c>
      <c r="C15" s="314" t="s">
        <v>735</v>
      </c>
      <c r="D15" s="314" t="s">
        <v>736</v>
      </c>
      <c r="E15" s="316" t="s">
        <v>737</v>
      </c>
      <c r="F15" s="316">
        <v>1.0</v>
      </c>
      <c r="G15" s="317">
        <v>5000.0</v>
      </c>
      <c r="H15" s="318" t="str">
        <f>G15*F15</f>
        <v>$5,000 </v>
      </c>
      <c r="I15" s="318"/>
      <c r="J15" s="329" t="s">
        <v>738</v>
      </c>
      <c r="K15" s="18"/>
    </row>
    <row r="16" ht="31.5" customHeight="1">
      <c r="A16" s="328" t="s">
        <v>739</v>
      </c>
      <c r="B16" s="321" t="s">
        <v>740</v>
      </c>
      <c r="C16" s="321" t="s">
        <v>735</v>
      </c>
      <c r="D16" s="322" t="s">
        <v>741</v>
      </c>
      <c r="E16" s="323" t="s">
        <v>715</v>
      </c>
      <c r="F16" s="323">
        <v>10.0</v>
      </c>
      <c r="G16" s="324">
        <v>40.0</v>
      </c>
      <c r="H16" s="325" t="str">
        <f>F16*G16</f>
        <v>$400 </v>
      </c>
      <c r="I16" s="326" t="s">
        <v>716</v>
      </c>
      <c r="J16" s="327" t="s">
        <v>742</v>
      </c>
      <c r="K16" s="18"/>
    </row>
    <row r="17" ht="15.75" customHeight="1">
      <c r="A17" s="330" t="s">
        <v>743</v>
      </c>
      <c r="B17" s="15"/>
      <c r="C17" s="311"/>
      <c r="D17" s="311"/>
      <c r="E17" s="311"/>
      <c r="F17" s="311"/>
      <c r="G17" s="311"/>
      <c r="H17" s="331"/>
      <c r="I17" s="331"/>
      <c r="J17" s="312"/>
      <c r="K17" s="18"/>
    </row>
    <row r="18" ht="15.75" customHeight="1">
      <c r="A18" s="328" t="s">
        <v>712</v>
      </c>
      <c r="B18" s="314" t="s">
        <v>744</v>
      </c>
      <c r="C18" s="314" t="s">
        <v>745</v>
      </c>
      <c r="D18" s="315" t="s">
        <v>746</v>
      </c>
      <c r="E18" s="316" t="s">
        <v>715</v>
      </c>
      <c r="F18" s="316">
        <v>6.0</v>
      </c>
      <c r="G18" s="317">
        <v>600.0</v>
      </c>
      <c r="H18" s="318" t="str">
        <f t="shared" ref="H18:H24" si="2">F18*G18</f>
        <v>$3,600 </v>
      </c>
      <c r="I18" s="319" t="s">
        <v>716</v>
      </c>
      <c r="J18" s="320" t="s">
        <v>747</v>
      </c>
      <c r="K18" s="18"/>
    </row>
    <row r="19" ht="15.75" customHeight="1">
      <c r="A19" s="328" t="s">
        <v>718</v>
      </c>
      <c r="B19" s="314" t="s">
        <v>744</v>
      </c>
      <c r="C19" s="314" t="s">
        <v>745</v>
      </c>
      <c r="D19" s="315" t="s">
        <v>748</v>
      </c>
      <c r="E19" s="316" t="s">
        <v>715</v>
      </c>
      <c r="F19" s="316">
        <v>2.0</v>
      </c>
      <c r="G19" s="317">
        <v>600.0</v>
      </c>
      <c r="H19" s="318" t="str">
        <f t="shared" si="2"/>
        <v>$1,200 </v>
      </c>
      <c r="I19" s="319" t="s">
        <v>749</v>
      </c>
      <c r="J19" s="320" t="s">
        <v>747</v>
      </c>
      <c r="K19" s="332" t="s">
        <v>750</v>
      </c>
    </row>
    <row r="20" ht="47.25" customHeight="1">
      <c r="A20" s="333" t="s">
        <v>723</v>
      </c>
      <c r="B20" s="321" t="s">
        <v>751</v>
      </c>
      <c r="C20" s="321" t="s">
        <v>752</v>
      </c>
      <c r="D20" s="322" t="s">
        <v>753</v>
      </c>
      <c r="E20" s="323" t="s">
        <v>715</v>
      </c>
      <c r="F20" s="334">
        <v>0.0</v>
      </c>
      <c r="G20" s="324">
        <v>500.0</v>
      </c>
      <c r="H20" s="325" t="str">
        <f t="shared" si="2"/>
        <v>$0 </v>
      </c>
      <c r="I20" s="326" t="s">
        <v>749</v>
      </c>
      <c r="J20" s="327" t="s">
        <v>754</v>
      </c>
      <c r="K20" s="332" t="s">
        <v>750</v>
      </c>
    </row>
    <row r="21" ht="42.0" customHeight="1">
      <c r="A21" s="333" t="s">
        <v>728</v>
      </c>
      <c r="B21" s="321" t="s">
        <v>751</v>
      </c>
      <c r="C21" s="321" t="s">
        <v>755</v>
      </c>
      <c r="D21" s="322" t="s">
        <v>756</v>
      </c>
      <c r="E21" s="323" t="s">
        <v>715</v>
      </c>
      <c r="F21" s="334">
        <v>0.0</v>
      </c>
      <c r="G21" s="324">
        <v>500.0</v>
      </c>
      <c r="H21" s="325" t="str">
        <f t="shared" si="2"/>
        <v>$0 </v>
      </c>
      <c r="I21" s="326" t="s">
        <v>716</v>
      </c>
      <c r="J21" s="327" t="s">
        <v>754</v>
      </c>
      <c r="K21" s="332" t="s">
        <v>750</v>
      </c>
    </row>
    <row r="22" ht="31.5" customHeight="1">
      <c r="A22" s="328" t="s">
        <v>730</v>
      </c>
      <c r="B22" s="314" t="s">
        <v>757</v>
      </c>
      <c r="C22" s="314" t="s">
        <v>658</v>
      </c>
      <c r="D22" s="315" t="s">
        <v>758</v>
      </c>
      <c r="E22" s="316" t="s">
        <v>715</v>
      </c>
      <c r="F22" s="334">
        <v>0.0</v>
      </c>
      <c r="G22" s="317">
        <v>800.0</v>
      </c>
      <c r="H22" s="318" t="str">
        <f t="shared" si="2"/>
        <v>$0 </v>
      </c>
      <c r="I22" s="319" t="s">
        <v>716</v>
      </c>
      <c r="J22" s="320" t="s">
        <v>759</v>
      </c>
      <c r="K22" s="332" t="s">
        <v>750</v>
      </c>
    </row>
    <row r="23" ht="31.5" customHeight="1">
      <c r="A23" s="328" t="s">
        <v>739</v>
      </c>
      <c r="B23" s="314" t="s">
        <v>760</v>
      </c>
      <c r="C23" s="314" t="s">
        <v>761</v>
      </c>
      <c r="D23" s="315" t="s">
        <v>762</v>
      </c>
      <c r="E23" s="316" t="s">
        <v>715</v>
      </c>
      <c r="F23" s="334">
        <v>0.0</v>
      </c>
      <c r="G23" s="317">
        <v>2000.0</v>
      </c>
      <c r="H23" s="318" t="str">
        <f t="shared" si="2"/>
        <v>$0 </v>
      </c>
      <c r="I23" s="319" t="s">
        <v>763</v>
      </c>
      <c r="J23" s="320" t="s">
        <v>764</v>
      </c>
      <c r="K23" s="18"/>
    </row>
    <row r="24" ht="31.5" customHeight="1">
      <c r="A24" s="328" t="s">
        <v>739</v>
      </c>
      <c r="B24" s="314" t="s">
        <v>765</v>
      </c>
      <c r="C24" s="314" t="s">
        <v>766</v>
      </c>
      <c r="D24" s="315" t="s">
        <v>767</v>
      </c>
      <c r="E24" s="316" t="s">
        <v>715</v>
      </c>
      <c r="F24" s="316">
        <v>1.0</v>
      </c>
      <c r="G24" s="317">
        <v>5000.0</v>
      </c>
      <c r="H24" s="318" t="str">
        <f t="shared" si="2"/>
        <v>$5,000 </v>
      </c>
      <c r="I24" s="319" t="s">
        <v>716</v>
      </c>
      <c r="J24" s="335" t="s">
        <v>768</v>
      </c>
      <c r="K24" s="18"/>
    </row>
    <row r="25" ht="15.75" customHeight="1">
      <c r="A25" s="330" t="s">
        <v>769</v>
      </c>
      <c r="B25" s="15"/>
      <c r="C25" s="311"/>
      <c r="D25" s="311"/>
      <c r="E25" s="311"/>
      <c r="F25" s="311"/>
      <c r="G25" s="311"/>
      <c r="H25" s="331"/>
      <c r="I25" s="331"/>
      <c r="J25" s="312"/>
      <c r="K25" s="18"/>
    </row>
    <row r="26" ht="31.5" customHeight="1">
      <c r="A26" s="328" t="s">
        <v>712</v>
      </c>
      <c r="B26" s="314" t="s">
        <v>770</v>
      </c>
      <c r="C26" s="314" t="s">
        <v>771</v>
      </c>
      <c r="D26" s="315" t="s">
        <v>772</v>
      </c>
      <c r="E26" s="316" t="s">
        <v>715</v>
      </c>
      <c r="F26" s="316">
        <v>3.0</v>
      </c>
      <c r="G26" s="317">
        <v>2000.0</v>
      </c>
      <c r="H26" s="318" t="str">
        <f t="shared" ref="H26:H39" si="3">F26*G26</f>
        <v>$6,000 </v>
      </c>
      <c r="I26" s="319" t="s">
        <v>716</v>
      </c>
      <c r="J26" s="329" t="s">
        <v>773</v>
      </c>
      <c r="K26" s="18"/>
    </row>
    <row r="27" ht="31.5" customHeight="1">
      <c r="A27" s="328" t="s">
        <v>728</v>
      </c>
      <c r="B27" s="314" t="s">
        <v>774</v>
      </c>
      <c r="C27" s="314" t="s">
        <v>775</v>
      </c>
      <c r="D27" s="315" t="s">
        <v>776</v>
      </c>
      <c r="E27" s="316" t="s">
        <v>715</v>
      </c>
      <c r="F27" s="316">
        <v>1.0</v>
      </c>
      <c r="G27" s="317">
        <v>8000.0</v>
      </c>
      <c r="H27" s="318" t="str">
        <f t="shared" si="3"/>
        <v>$8,000 </v>
      </c>
      <c r="I27" s="319" t="s">
        <v>749</v>
      </c>
      <c r="J27" s="336" t="s">
        <v>777</v>
      </c>
      <c r="K27" s="18"/>
    </row>
    <row r="28" ht="31.5" customHeight="1">
      <c r="A28" s="328" t="s">
        <v>730</v>
      </c>
      <c r="B28" s="314" t="s">
        <v>778</v>
      </c>
      <c r="C28" s="314" t="s">
        <v>779</v>
      </c>
      <c r="D28" s="315" t="s">
        <v>780</v>
      </c>
      <c r="E28" s="316" t="s">
        <v>715</v>
      </c>
      <c r="F28" s="316">
        <v>2.0</v>
      </c>
      <c r="G28" s="317">
        <v>8355.0</v>
      </c>
      <c r="H28" s="318" t="str">
        <f t="shared" si="3"/>
        <v>$16,710 </v>
      </c>
      <c r="I28" s="319" t="s">
        <v>716</v>
      </c>
      <c r="J28" s="329" t="s">
        <v>781</v>
      </c>
      <c r="K28" s="18"/>
    </row>
    <row r="29" ht="31.5" customHeight="1">
      <c r="A29" s="328" t="s">
        <v>739</v>
      </c>
      <c r="B29" s="314" t="s">
        <v>782</v>
      </c>
      <c r="C29" s="314" t="s">
        <v>530</v>
      </c>
      <c r="D29" s="315" t="s">
        <v>783</v>
      </c>
      <c r="E29" s="316" t="s">
        <v>715</v>
      </c>
      <c r="F29" s="316">
        <v>1.0</v>
      </c>
      <c r="G29" s="317">
        <v>40000.0</v>
      </c>
      <c r="H29" s="318" t="str">
        <f t="shared" si="3"/>
        <v>$40,000 </v>
      </c>
      <c r="I29" s="319" t="s">
        <v>716</v>
      </c>
      <c r="J29" s="329" t="s">
        <v>784</v>
      </c>
      <c r="K29" s="18"/>
    </row>
    <row r="30" ht="31.5" customHeight="1">
      <c r="A30" s="328" t="s">
        <v>785</v>
      </c>
      <c r="B30" s="314" t="s">
        <v>786</v>
      </c>
      <c r="C30" s="314" t="s">
        <v>735</v>
      </c>
      <c r="D30" s="315" t="s">
        <v>787</v>
      </c>
      <c r="E30" s="316" t="s">
        <v>715</v>
      </c>
      <c r="F30" s="316">
        <v>2.0</v>
      </c>
      <c r="G30" s="317">
        <v>12000.0</v>
      </c>
      <c r="H30" s="318" t="str">
        <f t="shared" si="3"/>
        <v>$24,000 </v>
      </c>
      <c r="I30" s="319" t="s">
        <v>716</v>
      </c>
      <c r="J30" s="329" t="s">
        <v>788</v>
      </c>
      <c r="K30" s="18"/>
    </row>
    <row r="31" ht="47.25" customHeight="1">
      <c r="A31" s="333" t="s">
        <v>789</v>
      </c>
      <c r="B31" s="321" t="s">
        <v>790</v>
      </c>
      <c r="C31" s="321" t="s">
        <v>791</v>
      </c>
      <c r="D31" s="322" t="s">
        <v>792</v>
      </c>
      <c r="E31" s="323" t="s">
        <v>715</v>
      </c>
      <c r="F31" s="323">
        <v>15.0</v>
      </c>
      <c r="G31" s="324">
        <v>7000.0</v>
      </c>
      <c r="H31" s="325" t="str">
        <f t="shared" si="3"/>
        <v>$105,000 </v>
      </c>
      <c r="I31" s="326" t="s">
        <v>749</v>
      </c>
      <c r="J31" s="337" t="s">
        <v>793</v>
      </c>
      <c r="K31" s="18"/>
    </row>
    <row r="32" ht="47.25" customHeight="1">
      <c r="A32" s="328" t="s">
        <v>794</v>
      </c>
      <c r="B32" s="314" t="s">
        <v>795</v>
      </c>
      <c r="C32" s="314" t="s">
        <v>530</v>
      </c>
      <c r="D32" s="315" t="s">
        <v>796</v>
      </c>
      <c r="E32" s="316" t="s">
        <v>715</v>
      </c>
      <c r="F32" s="316">
        <v>1.0</v>
      </c>
      <c r="G32" s="317">
        <v>28000.0</v>
      </c>
      <c r="H32" s="318" t="str">
        <f t="shared" si="3"/>
        <v>$28,000 </v>
      </c>
      <c r="I32" s="319" t="s">
        <v>749</v>
      </c>
      <c r="J32" s="329" t="s">
        <v>797</v>
      </c>
      <c r="K32" s="18"/>
    </row>
    <row r="33" ht="31.5" customHeight="1">
      <c r="A33" s="328" t="s">
        <v>798</v>
      </c>
      <c r="B33" s="314" t="s">
        <v>799</v>
      </c>
      <c r="C33" s="314" t="s">
        <v>800</v>
      </c>
      <c r="D33" s="314" t="s">
        <v>800</v>
      </c>
      <c r="E33" s="316" t="s">
        <v>715</v>
      </c>
      <c r="F33" s="316">
        <v>2.0</v>
      </c>
      <c r="G33" s="317">
        <v>4000.0</v>
      </c>
      <c r="H33" s="318" t="str">
        <f t="shared" si="3"/>
        <v>$8,000 </v>
      </c>
      <c r="I33" s="319" t="s">
        <v>716</v>
      </c>
      <c r="J33" s="329" t="s">
        <v>801</v>
      </c>
      <c r="K33" s="18"/>
    </row>
    <row r="34" ht="47.25" customHeight="1">
      <c r="A34" s="333" t="s">
        <v>802</v>
      </c>
      <c r="B34" s="321" t="s">
        <v>803</v>
      </c>
      <c r="C34" s="321" t="s">
        <v>804</v>
      </c>
      <c r="D34" s="321" t="s">
        <v>805</v>
      </c>
      <c r="E34" s="323" t="s">
        <v>715</v>
      </c>
      <c r="F34" s="323">
        <v>1.0</v>
      </c>
      <c r="G34" s="324">
        <v>18000.0</v>
      </c>
      <c r="H34" s="325" t="str">
        <f t="shared" si="3"/>
        <v>$18,000 </v>
      </c>
      <c r="I34" s="326" t="s">
        <v>749</v>
      </c>
      <c r="J34" s="337" t="s">
        <v>806</v>
      </c>
      <c r="K34" s="18"/>
    </row>
    <row r="35" ht="15.75" customHeight="1">
      <c r="A35" s="328" t="s">
        <v>802</v>
      </c>
      <c r="B35" s="314" t="s">
        <v>828</v>
      </c>
      <c r="C35" s="314" t="s">
        <v>829</v>
      </c>
      <c r="D35" s="314" t="s">
        <v>830</v>
      </c>
      <c r="E35" s="316" t="s">
        <v>715</v>
      </c>
      <c r="F35" s="316">
        <v>1.0</v>
      </c>
      <c r="G35" s="317">
        <v>6000.0</v>
      </c>
      <c r="H35" s="318" t="str">
        <f t="shared" si="3"/>
        <v>$6,000 </v>
      </c>
      <c r="I35" s="319" t="s">
        <v>749</v>
      </c>
      <c r="J35" s="329" t="s">
        <v>831</v>
      </c>
      <c r="K35" s="18"/>
    </row>
    <row r="36" ht="15.75" customHeight="1">
      <c r="A36" s="328" t="s">
        <v>832</v>
      </c>
      <c r="B36" s="314" t="s">
        <v>833</v>
      </c>
      <c r="C36" s="314" t="s">
        <v>829</v>
      </c>
      <c r="D36" s="314" t="s">
        <v>834</v>
      </c>
      <c r="E36" s="316" t="s">
        <v>715</v>
      </c>
      <c r="F36" s="316">
        <v>1.0</v>
      </c>
      <c r="G36" s="317">
        <v>6000.0</v>
      </c>
      <c r="H36" s="318" t="str">
        <f t="shared" si="3"/>
        <v>$6,000 </v>
      </c>
      <c r="I36" s="319" t="s">
        <v>716</v>
      </c>
      <c r="J36" s="329" t="s">
        <v>835</v>
      </c>
      <c r="K36" s="18"/>
    </row>
    <row r="37" ht="31.5" customHeight="1">
      <c r="A37" s="333" t="s">
        <v>836</v>
      </c>
      <c r="B37" s="321" t="s">
        <v>837</v>
      </c>
      <c r="C37" s="321" t="s">
        <v>735</v>
      </c>
      <c r="D37" s="322" t="s">
        <v>838</v>
      </c>
      <c r="E37" s="323" t="s">
        <v>715</v>
      </c>
      <c r="F37" s="323">
        <v>20.0</v>
      </c>
      <c r="G37" s="324">
        <v>2300.0</v>
      </c>
      <c r="H37" s="325" t="str">
        <f t="shared" si="3"/>
        <v>$46,000 </v>
      </c>
      <c r="I37" s="326" t="s">
        <v>716</v>
      </c>
      <c r="J37" s="337" t="s">
        <v>839</v>
      </c>
      <c r="K37" s="18"/>
    </row>
    <row r="38" ht="15.75" customHeight="1">
      <c r="A38" s="333" t="s">
        <v>840</v>
      </c>
      <c r="B38" s="321" t="s">
        <v>841</v>
      </c>
      <c r="C38" s="321" t="s">
        <v>735</v>
      </c>
      <c r="D38" s="322" t="s">
        <v>842</v>
      </c>
      <c r="E38" s="323" t="s">
        <v>715</v>
      </c>
      <c r="F38" s="323">
        <v>2.0</v>
      </c>
      <c r="G38" s="324">
        <v>1300.0</v>
      </c>
      <c r="H38" s="325" t="str">
        <f t="shared" si="3"/>
        <v>$2,600 </v>
      </c>
      <c r="I38" s="326" t="s">
        <v>716</v>
      </c>
      <c r="J38" s="337" t="s">
        <v>843</v>
      </c>
      <c r="K38" s="18"/>
    </row>
    <row r="39" ht="15.75" customHeight="1">
      <c r="A39" s="328" t="s">
        <v>844</v>
      </c>
      <c r="B39" s="314" t="s">
        <v>845</v>
      </c>
      <c r="C39" s="314" t="s">
        <v>846</v>
      </c>
      <c r="D39" s="314" t="s">
        <v>847</v>
      </c>
      <c r="E39" s="316" t="s">
        <v>715</v>
      </c>
      <c r="F39" s="316">
        <v>5.0</v>
      </c>
      <c r="G39" s="317">
        <v>700.0</v>
      </c>
      <c r="H39" s="318" t="str">
        <f t="shared" si="3"/>
        <v>$3,500 </v>
      </c>
      <c r="I39" s="319" t="s">
        <v>716</v>
      </c>
      <c r="J39" s="329" t="s">
        <v>848</v>
      </c>
      <c r="K39" s="18"/>
    </row>
    <row r="40" ht="15.75" customHeight="1">
      <c r="A40" s="348" t="s">
        <v>849</v>
      </c>
      <c r="B40" s="15"/>
      <c r="C40" s="349"/>
      <c r="D40" s="349"/>
      <c r="E40" s="311"/>
      <c r="F40" s="311"/>
      <c r="G40" s="311"/>
      <c r="H40" s="331"/>
      <c r="I40" s="331"/>
      <c r="J40" s="312"/>
      <c r="K40" s="18"/>
    </row>
    <row r="41" ht="31.5" customHeight="1">
      <c r="A41" s="328" t="s">
        <v>712</v>
      </c>
      <c r="B41" s="314" t="s">
        <v>850</v>
      </c>
      <c r="C41" s="314" t="s">
        <v>851</v>
      </c>
      <c r="D41" s="314" t="s">
        <v>852</v>
      </c>
      <c r="E41" s="316" t="s">
        <v>715</v>
      </c>
      <c r="F41" s="316">
        <v>2.0</v>
      </c>
      <c r="G41" s="317">
        <v>850.0</v>
      </c>
      <c r="H41" s="318" t="str">
        <f>G41*F41</f>
        <v>$1,700 </v>
      </c>
      <c r="I41" s="319" t="s">
        <v>716</v>
      </c>
      <c r="J41" s="329" t="s">
        <v>853</v>
      </c>
      <c r="K41" s="18"/>
    </row>
    <row r="42" ht="15.75" customHeight="1">
      <c r="A42" s="12"/>
      <c r="B42" s="12"/>
      <c r="C42" s="12"/>
      <c r="D42" s="12"/>
      <c r="E42" s="12"/>
      <c r="F42" s="12"/>
      <c r="G42" s="12"/>
      <c r="H42" s="12"/>
      <c r="I42" s="12"/>
      <c r="J42" s="12"/>
    </row>
    <row r="43" ht="15.75" customHeight="1">
      <c r="H43" s="350" t="str">
        <f>SUM(H9:H41)</f>
        <v>$408,382 </v>
      </c>
      <c r="I43" s="350"/>
    </row>
    <row r="44" ht="15.75" customHeight="1">
      <c r="H44" s="351" t="str">
        <f>H43*$E$1*(1+1*$E$2)*(1+1*$E$5)</f>
        <v> 21,738,929 </v>
      </c>
    </row>
    <row r="45" ht="15.75" customHeight="1">
      <c r="D45" s="352" t="s">
        <v>854</v>
      </c>
      <c r="H45" s="351" t="str">
        <f>SUM(H26:H39)</f>
        <v> 317,810 </v>
      </c>
    </row>
    <row r="46" ht="15.75" customHeight="1">
      <c r="E46" s="353" t="s">
        <v>855</v>
      </c>
      <c r="H46" s="351" t="str">
        <f>H45*$E$1*(1+1*$E$2)*(1+1*$E$5)</f>
        <v> 16,917,614 </v>
      </c>
    </row>
    <row r="47" ht="15.75" customHeight="1">
      <c r="H47" s="354"/>
      <c r="I47" s="354"/>
    </row>
    <row r="48" ht="18.75" customHeight="1">
      <c r="A48" s="355" t="s">
        <v>856</v>
      </c>
      <c r="B48" s="1"/>
      <c r="C48" s="1"/>
      <c r="D48" s="1"/>
      <c r="E48" s="1"/>
      <c r="F48" s="1"/>
      <c r="G48" s="1"/>
      <c r="H48" s="1"/>
      <c r="I48" s="1"/>
      <c r="J48" s="47"/>
      <c r="K48" s="18"/>
    </row>
    <row r="49" ht="15.75" customHeight="1">
      <c r="A49" s="291" t="s">
        <v>680</v>
      </c>
      <c r="B49" s="306" t="s">
        <v>15</v>
      </c>
      <c r="C49" s="307" t="s">
        <v>706</v>
      </c>
      <c r="D49" s="307" t="s">
        <v>707</v>
      </c>
      <c r="E49" s="307" t="s">
        <v>708</v>
      </c>
      <c r="F49" s="307" t="s">
        <v>392</v>
      </c>
      <c r="G49" s="307" t="s">
        <v>709</v>
      </c>
      <c r="H49" s="307" t="s">
        <v>710</v>
      </c>
      <c r="I49" s="308"/>
      <c r="J49" s="309" t="s">
        <v>397</v>
      </c>
      <c r="K49" s="18"/>
    </row>
    <row r="50" ht="15.75" customHeight="1">
      <c r="A50" s="356" t="s">
        <v>857</v>
      </c>
      <c r="B50" s="15"/>
      <c r="C50" s="357"/>
      <c r="D50" s="357"/>
      <c r="E50" s="357"/>
      <c r="F50" s="357"/>
      <c r="G50" s="357"/>
      <c r="H50" s="357"/>
      <c r="I50" s="357"/>
      <c r="J50" s="358"/>
      <c r="K50" s="18"/>
    </row>
    <row r="51" ht="15.75" customHeight="1">
      <c r="A51" s="313" t="s">
        <v>712</v>
      </c>
      <c r="B51" s="314" t="s">
        <v>858</v>
      </c>
      <c r="C51" s="314" t="s">
        <v>859</v>
      </c>
      <c r="D51" s="315" t="s">
        <v>859</v>
      </c>
      <c r="E51" s="316" t="s">
        <v>737</v>
      </c>
      <c r="F51" s="316">
        <v>20.0</v>
      </c>
      <c r="G51" s="359">
        <v>2000.0</v>
      </c>
      <c r="H51" s="318" t="str">
        <f t="shared" ref="H51:H53" si="4">G51*F51</f>
        <v>$40,000 </v>
      </c>
      <c r="I51" s="318"/>
      <c r="J51" s="320" t="s">
        <v>860</v>
      </c>
      <c r="K51" s="18"/>
    </row>
    <row r="52" ht="15.75" customHeight="1">
      <c r="A52" s="328" t="s">
        <v>718</v>
      </c>
      <c r="B52" s="314" t="s">
        <v>861</v>
      </c>
      <c r="C52" s="314" t="s">
        <v>859</v>
      </c>
      <c r="D52" s="315" t="s">
        <v>862</v>
      </c>
      <c r="E52" s="316" t="s">
        <v>737</v>
      </c>
      <c r="F52" s="316">
        <v>50.0</v>
      </c>
      <c r="G52" s="317">
        <v>1025.0</v>
      </c>
      <c r="H52" s="318" t="str">
        <f t="shared" si="4"/>
        <v>$51,250 </v>
      </c>
      <c r="I52" s="318"/>
      <c r="J52" s="320" t="s">
        <v>863</v>
      </c>
      <c r="K52" s="18"/>
    </row>
    <row r="53" ht="31.5" customHeight="1">
      <c r="A53" s="328" t="s">
        <v>723</v>
      </c>
      <c r="B53" s="321" t="s">
        <v>864</v>
      </c>
      <c r="C53" s="314" t="s">
        <v>859</v>
      </c>
      <c r="D53" s="315" t="s">
        <v>136</v>
      </c>
      <c r="E53" s="316" t="s">
        <v>737</v>
      </c>
      <c r="F53" s="316">
        <v>120.0</v>
      </c>
      <c r="G53" s="317">
        <v>90.0</v>
      </c>
      <c r="H53" s="318" t="str">
        <f t="shared" si="4"/>
        <v>$10,800 </v>
      </c>
      <c r="I53" s="318"/>
      <c r="J53" s="320" t="s">
        <v>865</v>
      </c>
      <c r="K53" s="18"/>
    </row>
    <row r="54" ht="15.75" customHeight="1">
      <c r="A54" s="348" t="s">
        <v>866</v>
      </c>
      <c r="B54" s="15"/>
      <c r="C54" s="311"/>
      <c r="D54" s="311"/>
      <c r="E54" s="311"/>
      <c r="F54" s="311"/>
      <c r="G54" s="311"/>
      <c r="H54" s="331"/>
      <c r="I54" s="331"/>
      <c r="J54" s="312"/>
      <c r="K54" s="18"/>
    </row>
    <row r="55" ht="15.75" customHeight="1">
      <c r="A55" s="328" t="s">
        <v>712</v>
      </c>
      <c r="B55" s="314" t="s">
        <v>867</v>
      </c>
      <c r="C55" s="314" t="s">
        <v>868</v>
      </c>
      <c r="D55" s="315" t="s">
        <v>869</v>
      </c>
      <c r="E55" s="316" t="s">
        <v>737</v>
      </c>
      <c r="F55" s="316">
        <v>200.0</v>
      </c>
      <c r="G55" s="317">
        <v>2.0</v>
      </c>
      <c r="H55" s="318" t="str">
        <f t="shared" ref="H55:H73" si="5">G55*F55</f>
        <v>$400 </v>
      </c>
      <c r="I55" s="360"/>
      <c r="J55" s="361" t="s">
        <v>870</v>
      </c>
      <c r="K55" s="18"/>
    </row>
    <row r="56" ht="15.75" customHeight="1">
      <c r="A56" s="328" t="s">
        <v>718</v>
      </c>
      <c r="B56" s="314" t="s">
        <v>867</v>
      </c>
      <c r="C56" s="314" t="s">
        <v>868</v>
      </c>
      <c r="D56" s="315" t="s">
        <v>871</v>
      </c>
      <c r="E56" s="316" t="s">
        <v>737</v>
      </c>
      <c r="F56" s="316">
        <v>200.0</v>
      </c>
      <c r="G56" s="317">
        <v>2.0</v>
      </c>
      <c r="H56" s="318" t="str">
        <f t="shared" si="5"/>
        <v>$400 </v>
      </c>
      <c r="I56" s="362"/>
      <c r="J56" s="363"/>
      <c r="K56" s="18"/>
    </row>
    <row r="57" ht="15.75" customHeight="1">
      <c r="A57" s="328" t="s">
        <v>723</v>
      </c>
      <c r="B57" s="314" t="s">
        <v>867</v>
      </c>
      <c r="C57" s="314" t="s">
        <v>868</v>
      </c>
      <c r="D57" s="315" t="s">
        <v>872</v>
      </c>
      <c r="E57" s="316" t="s">
        <v>737</v>
      </c>
      <c r="F57" s="316">
        <v>500.0</v>
      </c>
      <c r="G57" s="317">
        <v>2.0</v>
      </c>
      <c r="H57" s="318" t="str">
        <f t="shared" si="5"/>
        <v>$1,000 </v>
      </c>
      <c r="I57" s="362"/>
      <c r="J57" s="363"/>
      <c r="K57" s="18"/>
    </row>
    <row r="58" ht="15.75" customHeight="1">
      <c r="A58" s="328" t="s">
        <v>728</v>
      </c>
      <c r="B58" s="314" t="s">
        <v>867</v>
      </c>
      <c r="C58" s="314" t="s">
        <v>868</v>
      </c>
      <c r="D58" s="315" t="s">
        <v>873</v>
      </c>
      <c r="E58" s="316" t="s">
        <v>737</v>
      </c>
      <c r="F58" s="316">
        <v>50.0</v>
      </c>
      <c r="G58" s="317">
        <v>2.0</v>
      </c>
      <c r="H58" s="318" t="str">
        <f t="shared" si="5"/>
        <v>$100 </v>
      </c>
      <c r="I58" s="362"/>
      <c r="J58" s="363"/>
      <c r="K58" s="18"/>
    </row>
    <row r="59" ht="15.75" customHeight="1">
      <c r="A59" s="328" t="s">
        <v>730</v>
      </c>
      <c r="B59" s="314" t="s">
        <v>867</v>
      </c>
      <c r="C59" s="314" t="s">
        <v>868</v>
      </c>
      <c r="D59" s="315" t="s">
        <v>874</v>
      </c>
      <c r="E59" s="316" t="s">
        <v>737</v>
      </c>
      <c r="F59" s="316">
        <v>50.0</v>
      </c>
      <c r="G59" s="317">
        <v>2.0</v>
      </c>
      <c r="H59" s="318" t="str">
        <f t="shared" si="5"/>
        <v>$100 </v>
      </c>
      <c r="I59" s="362"/>
      <c r="J59" s="363"/>
      <c r="K59" s="18"/>
    </row>
    <row r="60" ht="15.75" customHeight="1">
      <c r="A60" s="328" t="s">
        <v>732</v>
      </c>
      <c r="B60" s="314" t="s">
        <v>867</v>
      </c>
      <c r="C60" s="314" t="s">
        <v>868</v>
      </c>
      <c r="D60" s="315" t="s">
        <v>875</v>
      </c>
      <c r="E60" s="316" t="s">
        <v>737</v>
      </c>
      <c r="F60" s="316">
        <v>100.0</v>
      </c>
      <c r="G60" s="317">
        <v>2.0</v>
      </c>
      <c r="H60" s="318" t="str">
        <f t="shared" si="5"/>
        <v>$200 </v>
      </c>
      <c r="I60" s="362"/>
      <c r="J60" s="363"/>
      <c r="K60" s="18"/>
    </row>
    <row r="61" ht="15.75" customHeight="1">
      <c r="A61" s="328" t="s">
        <v>739</v>
      </c>
      <c r="B61" s="314" t="s">
        <v>867</v>
      </c>
      <c r="C61" s="314" t="s">
        <v>868</v>
      </c>
      <c r="D61" s="315" t="s">
        <v>876</v>
      </c>
      <c r="E61" s="316" t="s">
        <v>737</v>
      </c>
      <c r="F61" s="316">
        <v>200.0</v>
      </c>
      <c r="G61" s="317">
        <v>2.0</v>
      </c>
      <c r="H61" s="318" t="str">
        <f t="shared" si="5"/>
        <v>$400 </v>
      </c>
      <c r="I61" s="362"/>
      <c r="J61" s="363"/>
      <c r="K61" s="18"/>
    </row>
    <row r="62" ht="15.75" customHeight="1">
      <c r="A62" s="328" t="s">
        <v>785</v>
      </c>
      <c r="B62" s="314" t="s">
        <v>877</v>
      </c>
      <c r="C62" s="314" t="s">
        <v>878</v>
      </c>
      <c r="D62" s="315" t="s">
        <v>879</v>
      </c>
      <c r="E62" s="316" t="s">
        <v>737</v>
      </c>
      <c r="F62" s="316">
        <v>2.0</v>
      </c>
      <c r="G62" s="317">
        <v>300.0</v>
      </c>
      <c r="H62" s="318" t="str">
        <f t="shared" si="5"/>
        <v>$600 </v>
      </c>
      <c r="I62" s="362"/>
      <c r="J62" s="363"/>
      <c r="K62" s="18"/>
    </row>
    <row r="63" ht="15.75" customHeight="1">
      <c r="A63" s="328" t="s">
        <v>789</v>
      </c>
      <c r="B63" s="314" t="s">
        <v>877</v>
      </c>
      <c r="C63" s="314" t="s">
        <v>878</v>
      </c>
      <c r="D63" s="315" t="s">
        <v>880</v>
      </c>
      <c r="E63" s="316" t="s">
        <v>737</v>
      </c>
      <c r="F63" s="316">
        <v>4.0</v>
      </c>
      <c r="G63" s="317">
        <v>400.0</v>
      </c>
      <c r="H63" s="318" t="str">
        <f t="shared" si="5"/>
        <v>$1,600 </v>
      </c>
      <c r="I63" s="362"/>
      <c r="J63" s="363"/>
      <c r="K63" s="18"/>
    </row>
    <row r="64" ht="15.75" customHeight="1">
      <c r="A64" s="328" t="s">
        <v>794</v>
      </c>
      <c r="B64" s="314" t="s">
        <v>877</v>
      </c>
      <c r="C64" s="314" t="s">
        <v>878</v>
      </c>
      <c r="D64" s="315" t="s">
        <v>881</v>
      </c>
      <c r="E64" s="316" t="s">
        <v>737</v>
      </c>
      <c r="F64" s="316">
        <v>2.0</v>
      </c>
      <c r="G64" s="317">
        <v>110.0</v>
      </c>
      <c r="H64" s="318" t="str">
        <f t="shared" si="5"/>
        <v>$220 </v>
      </c>
      <c r="I64" s="362"/>
      <c r="J64" s="363"/>
      <c r="K64" s="18"/>
    </row>
    <row r="65" ht="15.75" customHeight="1">
      <c r="A65" s="328" t="s">
        <v>798</v>
      </c>
      <c r="B65" s="314" t="s">
        <v>877</v>
      </c>
      <c r="C65" s="314" t="s">
        <v>100</v>
      </c>
      <c r="D65" s="315" t="s">
        <v>882</v>
      </c>
      <c r="E65" s="316" t="s">
        <v>737</v>
      </c>
      <c r="F65" s="316">
        <v>20.0</v>
      </c>
      <c r="G65" s="317">
        <v>15.0</v>
      </c>
      <c r="H65" s="318" t="str">
        <f t="shared" si="5"/>
        <v>$300 </v>
      </c>
      <c r="I65" s="364"/>
      <c r="J65" s="365"/>
      <c r="K65" s="18"/>
    </row>
    <row r="66" ht="15.75" customHeight="1">
      <c r="A66" s="328" t="s">
        <v>733</v>
      </c>
      <c r="B66" s="314" t="s">
        <v>734</v>
      </c>
      <c r="C66" s="314" t="s">
        <v>735</v>
      </c>
      <c r="D66" s="314" t="s">
        <v>736</v>
      </c>
      <c r="E66" s="316" t="s">
        <v>737</v>
      </c>
      <c r="F66" s="316">
        <v>0.0</v>
      </c>
      <c r="G66" s="317">
        <v>5000.0</v>
      </c>
      <c r="H66" s="318" t="str">
        <f t="shared" si="5"/>
        <v>$0 </v>
      </c>
      <c r="I66" s="318"/>
      <c r="J66" s="329" t="s">
        <v>883</v>
      </c>
      <c r="K66" s="18"/>
    </row>
    <row r="67" ht="15.75" customHeight="1">
      <c r="A67" s="328" t="s">
        <v>802</v>
      </c>
      <c r="B67" s="314" t="s">
        <v>884</v>
      </c>
      <c r="C67" s="314" t="s">
        <v>885</v>
      </c>
      <c r="D67" s="314" t="s">
        <v>885</v>
      </c>
      <c r="E67" s="316" t="s">
        <v>737</v>
      </c>
      <c r="F67" s="316">
        <v>2.0</v>
      </c>
      <c r="G67" s="317">
        <v>100.0</v>
      </c>
      <c r="H67" s="318" t="str">
        <f t="shared" si="5"/>
        <v>$200 </v>
      </c>
      <c r="I67" s="318"/>
      <c r="J67" s="329" t="s">
        <v>886</v>
      </c>
      <c r="K67" s="18"/>
    </row>
    <row r="68" ht="15.75" customHeight="1">
      <c r="A68" s="328" t="s">
        <v>887</v>
      </c>
      <c r="B68" s="314" t="s">
        <v>888</v>
      </c>
      <c r="C68" s="314" t="s">
        <v>885</v>
      </c>
      <c r="D68" s="314" t="s">
        <v>885</v>
      </c>
      <c r="E68" s="316" t="s">
        <v>737</v>
      </c>
      <c r="F68" s="316">
        <v>10.0</v>
      </c>
      <c r="G68" s="317">
        <v>90.0</v>
      </c>
      <c r="H68" s="318" t="str">
        <f t="shared" si="5"/>
        <v>$900 </v>
      </c>
      <c r="I68" s="318"/>
      <c r="J68" s="329" t="s">
        <v>889</v>
      </c>
      <c r="K68" s="18"/>
    </row>
    <row r="69" ht="31.5" customHeight="1">
      <c r="A69" s="328" t="s">
        <v>832</v>
      </c>
      <c r="B69" s="314" t="s">
        <v>890</v>
      </c>
      <c r="C69" s="314" t="s">
        <v>891</v>
      </c>
      <c r="D69" s="314" t="s">
        <v>767</v>
      </c>
      <c r="E69" s="316" t="s">
        <v>737</v>
      </c>
      <c r="F69" s="366">
        <v>1.0</v>
      </c>
      <c r="G69" s="317">
        <v>500.0</v>
      </c>
      <c r="H69" s="318" t="str">
        <f t="shared" si="5"/>
        <v>$500 </v>
      </c>
      <c r="I69" s="318"/>
      <c r="J69" s="329" t="s">
        <v>892</v>
      </c>
      <c r="K69" s="18"/>
    </row>
    <row r="70" ht="31.5" customHeight="1">
      <c r="A70" s="328" t="s">
        <v>836</v>
      </c>
      <c r="B70" s="314" t="s">
        <v>893</v>
      </c>
      <c r="C70" s="314" t="s">
        <v>894</v>
      </c>
      <c r="D70" s="314" t="s">
        <v>895</v>
      </c>
      <c r="E70" s="316" t="s">
        <v>737</v>
      </c>
      <c r="F70" s="366">
        <v>2.0</v>
      </c>
      <c r="G70" s="317">
        <v>100.0</v>
      </c>
      <c r="H70" s="318" t="str">
        <f t="shared" si="5"/>
        <v>$200 </v>
      </c>
      <c r="I70" s="318"/>
      <c r="J70" s="329" t="s">
        <v>896</v>
      </c>
      <c r="K70" s="18"/>
    </row>
    <row r="71" ht="15.75" customHeight="1">
      <c r="A71" s="328" t="s">
        <v>840</v>
      </c>
      <c r="B71" s="314" t="s">
        <v>897</v>
      </c>
      <c r="C71" s="314" t="s">
        <v>766</v>
      </c>
      <c r="D71" s="314" t="s">
        <v>898</v>
      </c>
      <c r="E71" s="316" t="s">
        <v>737</v>
      </c>
      <c r="F71" s="366">
        <v>1.0</v>
      </c>
      <c r="G71" s="317">
        <v>500.0</v>
      </c>
      <c r="H71" s="318" t="str">
        <f t="shared" si="5"/>
        <v>$500 </v>
      </c>
      <c r="I71" s="318"/>
      <c r="J71" s="329" t="s">
        <v>899</v>
      </c>
      <c r="K71" s="18"/>
    </row>
    <row r="72" ht="15.75" customHeight="1">
      <c r="A72" s="328" t="s">
        <v>844</v>
      </c>
      <c r="B72" s="314" t="s">
        <v>900</v>
      </c>
      <c r="C72" s="314" t="s">
        <v>901</v>
      </c>
      <c r="D72" s="314" t="s">
        <v>902</v>
      </c>
      <c r="E72" s="316" t="s">
        <v>737</v>
      </c>
      <c r="F72" s="366">
        <v>20.0</v>
      </c>
      <c r="G72" s="317">
        <v>50.0</v>
      </c>
      <c r="H72" s="318" t="str">
        <f t="shared" si="5"/>
        <v>$1,000 </v>
      </c>
      <c r="I72" s="318"/>
      <c r="J72" s="329" t="s">
        <v>903</v>
      </c>
      <c r="K72" s="18"/>
    </row>
    <row r="73" ht="15.75" customHeight="1">
      <c r="A73" s="328" t="s">
        <v>904</v>
      </c>
      <c r="B73" s="314" t="s">
        <v>905</v>
      </c>
      <c r="C73" s="314" t="s">
        <v>470</v>
      </c>
      <c r="D73" s="314" t="s">
        <v>906</v>
      </c>
      <c r="E73" s="316" t="s">
        <v>737</v>
      </c>
      <c r="F73" s="366">
        <v>10.0</v>
      </c>
      <c r="G73" s="317">
        <v>400.0</v>
      </c>
      <c r="H73" s="318" t="str">
        <f t="shared" si="5"/>
        <v>$4,000 </v>
      </c>
      <c r="I73" s="318"/>
      <c r="J73" s="329" t="s">
        <v>907</v>
      </c>
      <c r="K73" s="18"/>
    </row>
    <row r="74" ht="15.75" customHeight="1">
      <c r="A74" s="12"/>
      <c r="B74" s="12"/>
      <c r="C74" s="12"/>
      <c r="D74" s="12"/>
      <c r="E74" s="12"/>
      <c r="F74" s="12"/>
      <c r="G74" s="46"/>
      <c r="H74" s="367" t="str">
        <f>SUM(H51:H73)</f>
        <v>$114,670 </v>
      </c>
      <c r="I74" s="368"/>
      <c r="J74" s="12"/>
    </row>
    <row r="75" ht="16.5" customHeight="1">
      <c r="D75" s="1"/>
      <c r="E75" s="1"/>
      <c r="F75" s="1"/>
      <c r="G75" s="1"/>
      <c r="H75" s="369"/>
      <c r="I75" s="354"/>
    </row>
    <row r="76" ht="16.5" customHeight="1">
      <c r="C76" s="2"/>
      <c r="D76" s="370" t="s">
        <v>908</v>
      </c>
      <c r="E76" s="371"/>
      <c r="F76" s="371"/>
      <c r="G76" s="371"/>
      <c r="H76" s="372" t="str">
        <f>H74+H43</f>
        <v>$523,052 </v>
      </c>
      <c r="I76" s="373"/>
    </row>
    <row r="77" ht="15.75" customHeight="1">
      <c r="D77" s="12"/>
      <c r="E77" s="12"/>
      <c r="F77" s="12"/>
      <c r="G77" s="12"/>
      <c r="H77" s="12"/>
    </row>
    <row r="78" ht="15.75" customHeight="1"/>
    <row r="79" ht="15.75" customHeight="1"/>
    <row r="80" ht="15.75" customHeight="1">
      <c r="D80" s="374" t="s">
        <v>565</v>
      </c>
      <c r="H80" s="375" t="str">
        <f>SUM(H52:H73)</f>
        <v>$74,670 </v>
      </c>
    </row>
    <row r="81" ht="15.75" customHeight="1">
      <c r="H81" s="376" t="str">
        <f>H80*E1</f>
        <v> 3,360,150 </v>
      </c>
    </row>
    <row r="82" ht="15.75" customHeight="1">
      <c r="H82" s="377" t="str">
        <f>H81/12</f>
        <v>280013</v>
      </c>
    </row>
  </sheetData>
  <mergeCells count="8">
    <mergeCell ref="A6:J6"/>
    <mergeCell ref="A8:B8"/>
    <mergeCell ref="A17:B17"/>
    <mergeCell ref="A25:B25"/>
    <mergeCell ref="A40:B40"/>
    <mergeCell ref="A48:J48"/>
    <mergeCell ref="A50:B50"/>
    <mergeCell ref="A54:B5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7.14"/>
    <col customWidth="1" min="2" max="2" width="39.29"/>
    <col customWidth="1" min="3" max="3" width="27.86"/>
    <col customWidth="1" min="4" max="4" width="9.71"/>
    <col customWidth="1" min="5" max="5" width="13.57"/>
    <col customWidth="1" min="6" max="6" width="16.14"/>
    <col customWidth="1" min="7" max="7" width="59.43"/>
  </cols>
  <sheetData>
    <row r="1" ht="15.75" customHeight="1">
      <c r="A1" s="44" t="s">
        <v>126</v>
      </c>
      <c r="B1" s="66"/>
      <c r="C1" s="66"/>
      <c r="D1" s="66"/>
      <c r="E1" s="66"/>
      <c r="F1" s="66"/>
      <c r="G1" s="15"/>
    </row>
    <row r="2" ht="15.75" customHeight="1">
      <c r="A2" s="79" t="s">
        <v>168</v>
      </c>
      <c r="B2" s="98" t="s">
        <v>174</v>
      </c>
      <c r="C2" s="98" t="s">
        <v>206</v>
      </c>
      <c r="D2" s="101" t="s">
        <v>207</v>
      </c>
      <c r="E2" s="101" t="s">
        <v>209</v>
      </c>
      <c r="F2" s="101" t="s">
        <v>210</v>
      </c>
      <c r="G2" s="102" t="s">
        <v>211</v>
      </c>
    </row>
    <row r="3" ht="17.25" customHeight="1">
      <c r="A3" s="104" t="s">
        <v>212</v>
      </c>
      <c r="B3" s="66"/>
      <c r="C3" s="66"/>
      <c r="D3" s="66"/>
      <c r="E3" s="66"/>
      <c r="F3" s="66"/>
      <c r="G3" s="15"/>
    </row>
    <row r="4" ht="17.25" customHeight="1">
      <c r="A4" s="106" t="s">
        <v>214</v>
      </c>
      <c r="B4" s="107" t="s">
        <v>215</v>
      </c>
      <c r="C4" s="108"/>
      <c r="D4" s="108"/>
      <c r="E4" s="108"/>
      <c r="F4" s="108"/>
      <c r="G4" s="108"/>
    </row>
    <row r="5" ht="69.75" customHeight="1">
      <c r="A5" s="109">
        <v>1.0</v>
      </c>
      <c r="B5" s="110" t="s">
        <v>216</v>
      </c>
      <c r="C5" s="111" t="s">
        <v>217</v>
      </c>
      <c r="D5" s="109">
        <v>1.0</v>
      </c>
      <c r="E5" s="112">
        <v>2500000.0</v>
      </c>
      <c r="F5" s="113" t="str">
        <f t="shared" ref="F5:F8" si="1">D5*E5</f>
        <v>2,500,000</v>
      </c>
      <c r="G5" s="110" t="s">
        <v>218</v>
      </c>
    </row>
    <row r="6" ht="15.75" customHeight="1">
      <c r="A6" s="114" t="str">
        <f t="shared" ref="A6:A8" si="2">A5+1</f>
        <v>2</v>
      </c>
      <c r="B6" s="115" t="s">
        <v>219</v>
      </c>
      <c r="C6" s="109" t="s">
        <v>220</v>
      </c>
      <c r="D6" s="109">
        <v>3.0</v>
      </c>
      <c r="E6" s="112">
        <v>500000.0</v>
      </c>
      <c r="F6" s="113" t="str">
        <f t="shared" si="1"/>
        <v>1,500,000</v>
      </c>
      <c r="G6" s="116" t="s">
        <v>221</v>
      </c>
    </row>
    <row r="7" ht="33.0" customHeight="1">
      <c r="A7" s="114" t="str">
        <f t="shared" si="2"/>
        <v>3</v>
      </c>
      <c r="B7" s="115" t="s">
        <v>222</v>
      </c>
      <c r="C7" s="109" t="s">
        <v>223</v>
      </c>
      <c r="D7" s="109">
        <v>1.0</v>
      </c>
      <c r="E7" s="112">
        <v>1000000.0</v>
      </c>
      <c r="F7" s="113" t="str">
        <f t="shared" si="1"/>
        <v>1,000,000</v>
      </c>
      <c r="G7" s="110" t="s">
        <v>224</v>
      </c>
    </row>
    <row r="8" ht="27.0" customHeight="1">
      <c r="A8" s="114" t="str">
        <f t="shared" si="2"/>
        <v>4</v>
      </c>
      <c r="B8" s="117" t="s">
        <v>225</v>
      </c>
      <c r="C8" s="109" t="s">
        <v>226</v>
      </c>
      <c r="D8" s="109">
        <v>22.0</v>
      </c>
      <c r="E8" s="112">
        <v>100000.0</v>
      </c>
      <c r="F8" s="113" t="str">
        <f t="shared" si="1"/>
        <v>2,200,000</v>
      </c>
      <c r="G8" s="110" t="s">
        <v>227</v>
      </c>
    </row>
    <row r="9" ht="18.75" customHeight="1">
      <c r="A9" s="118" t="s">
        <v>228</v>
      </c>
      <c r="B9" s="119" t="s">
        <v>229</v>
      </c>
      <c r="C9" s="120"/>
      <c r="D9" s="120"/>
      <c r="E9" s="113"/>
      <c r="F9" s="113"/>
      <c r="G9" s="121"/>
    </row>
    <row r="10" ht="29.25" customHeight="1">
      <c r="A10" s="109">
        <v>1.0</v>
      </c>
      <c r="B10" s="117" t="s">
        <v>230</v>
      </c>
      <c r="C10" s="109" t="s">
        <v>231</v>
      </c>
      <c r="D10" s="109">
        <v>10.0</v>
      </c>
      <c r="E10" s="112">
        <v>5000.0</v>
      </c>
      <c r="F10" s="113" t="str">
        <f t="shared" ref="F10:F11" si="3">D10*E10</f>
        <v>50,000</v>
      </c>
      <c r="G10" s="110" t="s">
        <v>232</v>
      </c>
    </row>
    <row r="11" ht="42.0" customHeight="1">
      <c r="A11" s="114" t="str">
        <f t="shared" ref="A11:A18" si="4">A10+1</f>
        <v>2</v>
      </c>
      <c r="B11" s="115" t="s">
        <v>233</v>
      </c>
      <c r="C11" s="109" t="s">
        <v>234</v>
      </c>
      <c r="D11" s="109">
        <v>1.0</v>
      </c>
      <c r="E11" s="112">
        <v>143935.0</v>
      </c>
      <c r="F11" s="113" t="str">
        <f t="shared" si="3"/>
        <v>143,935</v>
      </c>
      <c r="G11" s="110" t="s">
        <v>235</v>
      </c>
    </row>
    <row r="12" ht="33.0" customHeight="1">
      <c r="A12" s="114" t="str">
        <f t="shared" si="4"/>
        <v>3</v>
      </c>
      <c r="B12" s="110" t="s">
        <v>236</v>
      </c>
      <c r="C12" s="109" t="s">
        <v>237</v>
      </c>
      <c r="D12" s="109">
        <v>1.0</v>
      </c>
      <c r="E12" s="112">
        <v>300000.0</v>
      </c>
      <c r="F12" s="112">
        <v>300000.0</v>
      </c>
      <c r="G12" s="110" t="s">
        <v>238</v>
      </c>
    </row>
    <row r="13" ht="30.0" customHeight="1">
      <c r="A13" s="114" t="str">
        <f t="shared" si="4"/>
        <v>4</v>
      </c>
      <c r="B13" s="110" t="s">
        <v>239</v>
      </c>
      <c r="C13" s="109" t="s">
        <v>240</v>
      </c>
      <c r="D13" s="109">
        <v>2.0</v>
      </c>
      <c r="E13" s="112">
        <v>35000.0</v>
      </c>
      <c r="F13" s="112">
        <v>70000.0</v>
      </c>
      <c r="G13" s="110" t="s">
        <v>241</v>
      </c>
    </row>
    <row r="14" ht="32.25" customHeight="1">
      <c r="A14" s="114" t="str">
        <f t="shared" si="4"/>
        <v>5</v>
      </c>
      <c r="B14" s="115" t="s">
        <v>242</v>
      </c>
      <c r="C14" s="109" t="s">
        <v>243</v>
      </c>
      <c r="D14" s="109">
        <v>1.0</v>
      </c>
      <c r="E14" s="112">
        <v>150941.0</v>
      </c>
      <c r="F14" s="112">
        <v>150941.0</v>
      </c>
      <c r="G14" s="110" t="s">
        <v>244</v>
      </c>
    </row>
    <row r="15" ht="29.25" customHeight="1">
      <c r="A15" s="114" t="str">
        <f t="shared" si="4"/>
        <v>6</v>
      </c>
      <c r="B15" s="110" t="s">
        <v>245</v>
      </c>
      <c r="C15" s="109" t="s">
        <v>246</v>
      </c>
      <c r="D15" s="109">
        <v>2.0</v>
      </c>
      <c r="E15" s="112">
        <v>275000.0</v>
      </c>
      <c r="F15" s="113" t="str">
        <f t="shared" ref="F15:F18" si="5">D15*E15</f>
        <v>550,000</v>
      </c>
      <c r="G15" s="110" t="s">
        <v>247</v>
      </c>
    </row>
    <row r="16" ht="16.5" customHeight="1">
      <c r="A16" s="114" t="str">
        <f t="shared" si="4"/>
        <v>7</v>
      </c>
      <c r="B16" s="110" t="s">
        <v>248</v>
      </c>
      <c r="C16" s="109" t="s">
        <v>249</v>
      </c>
      <c r="D16" s="109">
        <v>2.0</v>
      </c>
      <c r="E16" s="112">
        <v>75000.0</v>
      </c>
      <c r="F16" s="113" t="str">
        <f t="shared" si="5"/>
        <v>150,000</v>
      </c>
      <c r="G16" s="110" t="s">
        <v>250</v>
      </c>
    </row>
    <row r="17" ht="16.5" customHeight="1">
      <c r="A17" s="114" t="str">
        <f t="shared" si="4"/>
        <v>8</v>
      </c>
      <c r="B17" s="115" t="s">
        <v>251</v>
      </c>
      <c r="C17" s="109" t="s">
        <v>249</v>
      </c>
      <c r="D17" s="109">
        <v>1.0</v>
      </c>
      <c r="E17" s="112">
        <v>175000.0</v>
      </c>
      <c r="F17" s="113" t="str">
        <f t="shared" si="5"/>
        <v>175,000</v>
      </c>
      <c r="G17" s="110" t="s">
        <v>252</v>
      </c>
    </row>
    <row r="18" ht="39.0" customHeight="1">
      <c r="A18" s="114" t="str">
        <f t="shared" si="4"/>
        <v>9</v>
      </c>
      <c r="B18" s="110" t="s">
        <v>253</v>
      </c>
      <c r="C18" s="109" t="s">
        <v>254</v>
      </c>
      <c r="D18" s="109">
        <v>10.0</v>
      </c>
      <c r="E18" s="112">
        <v>50000.0</v>
      </c>
      <c r="F18" s="113" t="str">
        <f t="shared" si="5"/>
        <v>500,000</v>
      </c>
      <c r="G18" s="110" t="s">
        <v>255</v>
      </c>
    </row>
    <row r="19" ht="24.0" customHeight="1">
      <c r="A19" s="12"/>
      <c r="B19" s="12"/>
      <c r="C19" s="12"/>
      <c r="D19" s="12"/>
      <c r="E19" s="122" t="s">
        <v>13</v>
      </c>
      <c r="F19" s="123" t="str">
        <f>SUM(F5:F18)</f>
        <v>9,289,876</v>
      </c>
      <c r="G19" s="12"/>
    </row>
    <row r="24">
      <c r="F24" s="378" t="str">
        <f>F19/47</f>
        <v>197656.9362</v>
      </c>
    </row>
  </sheetData>
  <mergeCells count="2">
    <mergeCell ref="A1:G1"/>
    <mergeCell ref="A3:G3"/>
  </mergeCells>
  <drawing r:id="rId1"/>
</worksheet>
</file>