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DDHU\Aerospace Masters Studies\Semester 4\AEROSPACE STRUCTURES\AS Project\"/>
    </mc:Choice>
  </mc:AlternateContent>
  <xr:revisionPtr revIDLastSave="0" documentId="13_ncr:1_{D6657AB7-5BD2-4448-985C-BEE03F253D0E}" xr6:coauthVersionLast="47" xr6:coauthVersionMax="47" xr10:uidLastSave="{00000000-0000-0000-0000-000000000000}"/>
  <bookViews>
    <workbookView xWindow="-108" yWindow="-108" windowWidth="23256" windowHeight="12456" tabRatio="729" activeTab="5" xr2:uid="{00000000-000D-0000-FFFF-FFFF00000000}"/>
  </bookViews>
  <sheets>
    <sheet name="loadcase_1" sheetId="1" r:id="rId1"/>
    <sheet name="loadcase_2" sheetId="2" r:id="rId2"/>
    <sheet name="loadcase_3" sheetId="3" r:id="rId3"/>
    <sheet name="average stresses" sheetId="7" r:id="rId4"/>
    <sheet name="iteration (1)" sheetId="8" r:id="rId5"/>
    <sheet name="iteration (2)" sheetId="10" r:id="rId6"/>
    <sheet name="skin and stringer comb" sheetId="9" r:id="rId7"/>
    <sheet name="loadcase_1 (2)" sheetId="4" state="hidden" r:id="rId8"/>
    <sheet name="loadcase_2 (2)" sheetId="5" state="hidden" r:id="rId9"/>
    <sheet name="loadcase_3 (2)" sheetId="6" state="hidden" r:id="rId10"/>
  </sheets>
  <calcPr calcId="191029"/>
</workbook>
</file>

<file path=xl/calcChain.xml><?xml version="1.0" encoding="utf-8"?>
<calcChain xmlns="http://schemas.openxmlformats.org/spreadsheetml/2006/main">
  <c r="O3" i="9" l="1"/>
  <c r="C38" i="10"/>
  <c r="C36" i="10" s="1"/>
  <c r="C34" i="10" s="1"/>
  <c r="C32" i="10" s="1"/>
  <c r="B17" i="10" s="1"/>
  <c r="B25" i="10"/>
  <c r="C13" i="10"/>
  <c r="B12" i="10"/>
  <c r="C12" i="10"/>
  <c r="E12" i="10" s="1"/>
  <c r="B11" i="10"/>
  <c r="C11" i="10"/>
  <c r="B10" i="10"/>
  <c r="D11" i="10" l="1"/>
  <c r="H13" i="10"/>
  <c r="E11" i="10"/>
  <c r="H11" i="10"/>
  <c r="D13" i="10"/>
  <c r="E13" i="10"/>
  <c r="D12" i="10"/>
  <c r="H12" i="10"/>
  <c r="B30" i="8"/>
  <c r="B26" i="8"/>
  <c r="B25" i="8"/>
  <c r="B24" i="8"/>
  <c r="C13" i="8"/>
  <c r="E13" i="8" s="1"/>
  <c r="C12" i="8"/>
  <c r="C11" i="8"/>
  <c r="B13" i="8"/>
  <c r="B12" i="8"/>
  <c r="B11" i="8"/>
  <c r="J2" i="9"/>
  <c r="K2" i="9"/>
  <c r="L2" i="9"/>
  <c r="M2" i="9"/>
  <c r="J3" i="9"/>
  <c r="K3" i="9"/>
  <c r="L3" i="9"/>
  <c r="M3" i="9" s="1"/>
  <c r="J4" i="9"/>
  <c r="K4" i="9"/>
  <c r="L4" i="9"/>
  <c r="M4" i="9"/>
  <c r="J5" i="9"/>
  <c r="M5" i="9" s="1"/>
  <c r="K5" i="9"/>
  <c r="L5" i="9"/>
  <c r="J7" i="9"/>
  <c r="K7" i="9"/>
  <c r="L7" i="9"/>
  <c r="M7" i="9"/>
  <c r="J8" i="9"/>
  <c r="K8" i="9"/>
  <c r="L8" i="9"/>
  <c r="M8" i="9"/>
  <c r="J9" i="9"/>
  <c r="K9" i="9"/>
  <c r="M9" i="9" s="1"/>
  <c r="L9" i="9"/>
  <c r="J10" i="9"/>
  <c r="K10" i="9"/>
  <c r="L10" i="9"/>
  <c r="M10" i="9"/>
  <c r="J12" i="9"/>
  <c r="K12" i="9"/>
  <c r="L12" i="9"/>
  <c r="M12" i="9"/>
  <c r="J13" i="9"/>
  <c r="K13" i="9"/>
  <c r="M13" i="9" s="1"/>
  <c r="L13" i="9"/>
  <c r="J14" i="9"/>
  <c r="K14" i="9"/>
  <c r="L14" i="9"/>
  <c r="M14" i="9"/>
  <c r="J15" i="9"/>
  <c r="K15" i="9"/>
  <c r="L15" i="9"/>
  <c r="M15" i="9"/>
  <c r="M10" i="7"/>
  <c r="N10" i="7"/>
  <c r="O10" i="7"/>
  <c r="I10" i="7" s="1"/>
  <c r="P10" i="7"/>
  <c r="J10" i="7" s="1"/>
  <c r="M11" i="7"/>
  <c r="N11" i="7" s="1"/>
  <c r="O11" i="7"/>
  <c r="P11" i="7"/>
  <c r="V11" i="7"/>
  <c r="M12" i="7"/>
  <c r="N12" i="7"/>
  <c r="O12" i="7"/>
  <c r="P12" i="7"/>
  <c r="V13" i="7" s="1"/>
  <c r="M13" i="7"/>
  <c r="N13" i="7"/>
  <c r="O13" i="7"/>
  <c r="P13" i="7"/>
  <c r="M14" i="7"/>
  <c r="N14" i="7"/>
  <c r="O14" i="7"/>
  <c r="P14" i="7"/>
  <c r="M15" i="7"/>
  <c r="N15" i="7"/>
  <c r="O15" i="7"/>
  <c r="P15" i="7"/>
  <c r="M16" i="7"/>
  <c r="N16" i="7"/>
  <c r="O16" i="7"/>
  <c r="P16" i="7"/>
  <c r="M17" i="7"/>
  <c r="N17" i="7"/>
  <c r="O17" i="7"/>
  <c r="P17" i="7"/>
  <c r="M18" i="7"/>
  <c r="N18" i="7"/>
  <c r="O18" i="7"/>
  <c r="P18" i="7"/>
  <c r="M19" i="7"/>
  <c r="N19" i="7" s="1"/>
  <c r="O19" i="7"/>
  <c r="P19" i="7"/>
  <c r="M20" i="7"/>
  <c r="N20" i="7" s="1"/>
  <c r="M21" i="7"/>
  <c r="N21" i="7"/>
  <c r="O21" i="7"/>
  <c r="P21" i="7"/>
  <c r="M22" i="7"/>
  <c r="N22" i="7"/>
  <c r="O22" i="7"/>
  <c r="P22" i="7"/>
  <c r="M23" i="7"/>
  <c r="N23" i="7"/>
  <c r="O23" i="7"/>
  <c r="P23" i="7"/>
  <c r="M24" i="7"/>
  <c r="N24" i="7"/>
  <c r="O24" i="7"/>
  <c r="P24" i="7"/>
  <c r="M25" i="7"/>
  <c r="N25" i="7"/>
  <c r="O25" i="7"/>
  <c r="P25" i="7"/>
  <c r="M26" i="7"/>
  <c r="N26" i="7" s="1"/>
  <c r="H22" i="7" s="1"/>
  <c r="M27" i="7"/>
  <c r="N27" i="7"/>
  <c r="O27" i="7"/>
  <c r="P27" i="7"/>
  <c r="M28" i="7"/>
  <c r="N28" i="7"/>
  <c r="O28" i="7"/>
  <c r="P28" i="7"/>
  <c r="M29" i="7"/>
  <c r="O29" i="7" s="1"/>
  <c r="I28" i="7" s="1"/>
  <c r="N29" i="7"/>
  <c r="M30" i="7"/>
  <c r="N30" i="7"/>
  <c r="O30" i="7"/>
  <c r="P30" i="7"/>
  <c r="M31" i="7"/>
  <c r="N31" i="7"/>
  <c r="H28" i="7" s="1"/>
  <c r="O31" i="7"/>
  <c r="P31" i="7"/>
  <c r="M32" i="7"/>
  <c r="N32" i="7"/>
  <c r="O32" i="7"/>
  <c r="P32" i="7"/>
  <c r="M33" i="7"/>
  <c r="O33" i="7" s="1"/>
  <c r="N33" i="7"/>
  <c r="M34" i="7"/>
  <c r="N34" i="7"/>
  <c r="O34" i="7"/>
  <c r="P34" i="7"/>
  <c r="M35" i="7"/>
  <c r="N35" i="7" s="1"/>
  <c r="M36" i="7"/>
  <c r="N36" i="7"/>
  <c r="O36" i="7"/>
  <c r="P36" i="7"/>
  <c r="M37" i="7"/>
  <c r="N37" i="7"/>
  <c r="O37" i="7"/>
  <c r="P37" i="7"/>
  <c r="M38" i="7"/>
  <c r="N38" i="7"/>
  <c r="O38" i="7"/>
  <c r="P38" i="7"/>
  <c r="M39" i="7"/>
  <c r="N39" i="7" s="1"/>
  <c r="M40" i="7"/>
  <c r="N40" i="7"/>
  <c r="H40" i="7" s="1"/>
  <c r="O40" i="7"/>
  <c r="P40" i="7"/>
  <c r="M41" i="7"/>
  <c r="N41" i="7"/>
  <c r="O41" i="7"/>
  <c r="P41" i="7"/>
  <c r="M42" i="7"/>
  <c r="O42" i="7" s="1"/>
  <c r="N42" i="7"/>
  <c r="M43" i="7"/>
  <c r="N43" i="7"/>
  <c r="O43" i="7"/>
  <c r="P43" i="7"/>
  <c r="M44" i="7"/>
  <c r="N44" i="7"/>
  <c r="O44" i="7"/>
  <c r="P44" i="7"/>
  <c r="M45" i="7"/>
  <c r="N45" i="7"/>
  <c r="O45" i="7"/>
  <c r="P45" i="7"/>
  <c r="M46" i="7"/>
  <c r="N46" i="7"/>
  <c r="O46" i="7"/>
  <c r="P46" i="7"/>
  <c r="M47" i="7"/>
  <c r="N47" i="7" s="1"/>
  <c r="H46" i="7" s="1"/>
  <c r="M48" i="7"/>
  <c r="N48" i="7"/>
  <c r="O48" i="7"/>
  <c r="P48" i="7"/>
  <c r="M49" i="7"/>
  <c r="P49" i="7" s="1"/>
  <c r="N49" i="7"/>
  <c r="O49" i="7"/>
  <c r="M50" i="7"/>
  <c r="N50" i="7"/>
  <c r="O50" i="7"/>
  <c r="P50" i="7"/>
  <c r="M51" i="7"/>
  <c r="N51" i="7" s="1"/>
  <c r="M52" i="7"/>
  <c r="N52" i="7"/>
  <c r="H52" i="7" s="1"/>
  <c r="O52" i="7"/>
  <c r="P52" i="7"/>
  <c r="M53" i="7"/>
  <c r="N53" i="7"/>
  <c r="O53" i="7"/>
  <c r="P53" i="7"/>
  <c r="M54" i="7"/>
  <c r="O54" i="7" s="1"/>
  <c r="N54" i="7"/>
  <c r="M55" i="7"/>
  <c r="N55" i="7"/>
  <c r="O55" i="7"/>
  <c r="P55" i="7"/>
  <c r="M56" i="7"/>
  <c r="N56" i="7"/>
  <c r="O56" i="7"/>
  <c r="P56" i="7"/>
  <c r="M57" i="7"/>
  <c r="N57" i="7"/>
  <c r="O57" i="7"/>
  <c r="P57" i="7"/>
  <c r="M58" i="7"/>
  <c r="N58" i="7"/>
  <c r="O58" i="7"/>
  <c r="P58" i="7"/>
  <c r="M59" i="7"/>
  <c r="N59" i="7"/>
  <c r="H58" i="7" s="1"/>
  <c r="O59" i="7"/>
  <c r="P59" i="7"/>
  <c r="M60" i="7"/>
  <c r="N60" i="7" s="1"/>
  <c r="M61" i="7"/>
  <c r="N61" i="7"/>
  <c r="O61" i="7"/>
  <c r="P61" i="7"/>
  <c r="M62" i="7"/>
  <c r="N62" i="7"/>
  <c r="O62" i="7"/>
  <c r="P62" i="7"/>
  <c r="M63" i="7"/>
  <c r="N63" i="7"/>
  <c r="O63" i="7"/>
  <c r="P63" i="7"/>
  <c r="M64" i="7"/>
  <c r="N64" i="7"/>
  <c r="O64" i="7"/>
  <c r="P64" i="7"/>
  <c r="M65" i="7"/>
  <c r="N65" i="7"/>
  <c r="O65" i="7"/>
  <c r="P65" i="7"/>
  <c r="M66" i="7"/>
  <c r="N66" i="7"/>
  <c r="O66" i="7"/>
  <c r="P66" i="7"/>
  <c r="M67" i="7"/>
  <c r="O67" i="7" s="1"/>
  <c r="N67" i="7"/>
  <c r="H64" i="7" s="1"/>
  <c r="M68" i="7"/>
  <c r="N68" i="7"/>
  <c r="O68" i="7"/>
  <c r="P68" i="7"/>
  <c r="M69" i="7"/>
  <c r="N69" i="7"/>
  <c r="O69" i="7"/>
  <c r="P69" i="7"/>
  <c r="M70" i="7"/>
  <c r="P70" i="7" s="1"/>
  <c r="N70" i="7"/>
  <c r="O70" i="7"/>
  <c r="M71" i="7"/>
  <c r="N71" i="7"/>
  <c r="O71" i="7"/>
  <c r="P71" i="7"/>
  <c r="M72" i="7"/>
  <c r="N72" i="7" s="1"/>
  <c r="M73" i="7"/>
  <c r="N73" i="7"/>
  <c r="O73" i="7"/>
  <c r="P73" i="7"/>
  <c r="M74" i="7"/>
  <c r="P74" i="7" s="1"/>
  <c r="N74" i="7"/>
  <c r="O74" i="7"/>
  <c r="M75" i="7"/>
  <c r="N75" i="7"/>
  <c r="O75" i="7"/>
  <c r="P75" i="7"/>
  <c r="M76" i="7"/>
  <c r="N76" i="7"/>
  <c r="O76" i="7"/>
  <c r="I76" i="7" s="1"/>
  <c r="P76" i="7"/>
  <c r="M77" i="7"/>
  <c r="N77" i="7"/>
  <c r="H76" i="7" s="1"/>
  <c r="O77" i="7"/>
  <c r="P77" i="7"/>
  <c r="M78" i="7"/>
  <c r="N78" i="7"/>
  <c r="O78" i="7"/>
  <c r="P78" i="7"/>
  <c r="M79" i="7"/>
  <c r="O79" i="7" s="1"/>
  <c r="N79" i="7"/>
  <c r="M80" i="7"/>
  <c r="N80" i="7"/>
  <c r="O80" i="7"/>
  <c r="P80" i="7"/>
  <c r="M81" i="7"/>
  <c r="N81" i="7"/>
  <c r="O81" i="7"/>
  <c r="P81" i="7"/>
  <c r="M82" i="7"/>
  <c r="N82" i="7"/>
  <c r="H82" i="7" s="1"/>
  <c r="O82" i="7"/>
  <c r="P82" i="7"/>
  <c r="M83" i="7"/>
  <c r="N83" i="7"/>
  <c r="O83" i="7"/>
  <c r="P83" i="7"/>
  <c r="M84" i="7"/>
  <c r="N84" i="7"/>
  <c r="O84" i="7"/>
  <c r="P84" i="7"/>
  <c r="M85" i="7"/>
  <c r="N85" i="7" s="1"/>
  <c r="M86" i="7"/>
  <c r="N86" i="7"/>
  <c r="O86" i="7"/>
  <c r="P86" i="7"/>
  <c r="M87" i="7"/>
  <c r="N87" i="7"/>
  <c r="O87" i="7"/>
  <c r="P87" i="7"/>
  <c r="M88" i="7"/>
  <c r="O88" i="7" s="1"/>
  <c r="I88" i="7" s="1"/>
  <c r="N88" i="7"/>
  <c r="H88" i="7" s="1"/>
  <c r="M89" i="7"/>
  <c r="N89" i="7"/>
  <c r="O89" i="7"/>
  <c r="P89" i="7"/>
  <c r="M90" i="7"/>
  <c r="N90" i="7"/>
  <c r="O90" i="7"/>
  <c r="P90" i="7"/>
  <c r="M91" i="7"/>
  <c r="N91" i="7"/>
  <c r="O91" i="7"/>
  <c r="P91" i="7"/>
  <c r="M92" i="7"/>
  <c r="O92" i="7" s="1"/>
  <c r="N92" i="7"/>
  <c r="M93" i="7"/>
  <c r="N93" i="7"/>
  <c r="O93" i="7"/>
  <c r="P93" i="7"/>
  <c r="M94" i="7"/>
  <c r="N94" i="7"/>
  <c r="H94" i="7" s="1"/>
  <c r="O94" i="7"/>
  <c r="P94" i="7"/>
  <c r="M95" i="7"/>
  <c r="P95" i="7" s="1"/>
  <c r="N95" i="7"/>
  <c r="O95" i="7"/>
  <c r="M96" i="7"/>
  <c r="N96" i="7"/>
  <c r="O96" i="7"/>
  <c r="P96" i="7"/>
  <c r="M97" i="7"/>
  <c r="N97" i="7" s="1"/>
  <c r="M98" i="7"/>
  <c r="N98" i="7"/>
  <c r="O98" i="7"/>
  <c r="P98" i="7"/>
  <c r="M99" i="7"/>
  <c r="P99" i="7" s="1"/>
  <c r="N99" i="7"/>
  <c r="O99" i="7"/>
  <c r="G6" i="6"/>
  <c r="H6" i="6" s="1"/>
  <c r="G5" i="6"/>
  <c r="H5" i="6" s="1"/>
  <c r="G4" i="6"/>
  <c r="H4" i="6" s="1"/>
  <c r="G3" i="6"/>
  <c r="H3" i="6" s="1"/>
  <c r="G2" i="6"/>
  <c r="H2" i="6" s="1"/>
  <c r="G6" i="5"/>
  <c r="H6" i="5" s="1"/>
  <c r="G5" i="5"/>
  <c r="H5" i="5" s="1"/>
  <c r="G4" i="5"/>
  <c r="H4" i="5" s="1"/>
  <c r="G3" i="5"/>
  <c r="H3" i="5" s="1"/>
  <c r="G2" i="5"/>
  <c r="H2" i="5" s="1"/>
  <c r="B23" i="10" l="1"/>
  <c r="B24" i="10" s="1"/>
  <c r="B22" i="10"/>
  <c r="B26" i="10" s="1"/>
  <c r="B20" i="10"/>
  <c r="H11" i="8"/>
  <c r="D11" i="8"/>
  <c r="E11" i="8"/>
  <c r="D12" i="8"/>
  <c r="H12" i="8"/>
  <c r="E12" i="8"/>
  <c r="D13" i="8"/>
  <c r="H13" i="8"/>
  <c r="J34" i="7"/>
  <c r="H34" i="7"/>
  <c r="J76" i="7"/>
  <c r="H16" i="7"/>
  <c r="I94" i="7"/>
  <c r="V24" i="7"/>
  <c r="I70" i="7"/>
  <c r="J52" i="7"/>
  <c r="H10" i="7"/>
  <c r="H70" i="7"/>
  <c r="I52" i="7"/>
  <c r="I40" i="7"/>
  <c r="J82" i="7"/>
  <c r="I64" i="7"/>
  <c r="V22" i="7"/>
  <c r="V23" i="7"/>
  <c r="P97" i="7"/>
  <c r="J94" i="7" s="1"/>
  <c r="P72" i="7"/>
  <c r="J70" i="7" s="1"/>
  <c r="P51" i="7"/>
  <c r="P47" i="7"/>
  <c r="J46" i="7" s="1"/>
  <c r="P26" i="7"/>
  <c r="J22" i="7" s="1"/>
  <c r="O97" i="7"/>
  <c r="P79" i="7"/>
  <c r="O72" i="7"/>
  <c r="P54" i="7"/>
  <c r="O51" i="7"/>
  <c r="O47" i="7"/>
  <c r="I46" i="7" s="1"/>
  <c r="P33" i="7"/>
  <c r="P29" i="7"/>
  <c r="J28" i="7" s="1"/>
  <c r="O26" i="7"/>
  <c r="I22" i="7" s="1"/>
  <c r="P20" i="7"/>
  <c r="V19" i="7" s="1"/>
  <c r="V14" i="7"/>
  <c r="O20" i="7"/>
  <c r="I16" i="7" s="1"/>
  <c r="V15" i="7"/>
  <c r="P85" i="7"/>
  <c r="P60" i="7"/>
  <c r="J58" i="7" s="1"/>
  <c r="P39" i="7"/>
  <c r="P35" i="7"/>
  <c r="O60" i="7"/>
  <c r="I58" i="7" s="1"/>
  <c r="P92" i="7"/>
  <c r="P88" i="7"/>
  <c r="J88" i="7" s="1"/>
  <c r="O85" i="7"/>
  <c r="I82" i="7" s="1"/>
  <c r="P67" i="7"/>
  <c r="J64" i="7" s="1"/>
  <c r="P42" i="7"/>
  <c r="J40" i="7" s="1"/>
  <c r="O39" i="7"/>
  <c r="O35" i="7"/>
  <c r="I34" i="7" s="1"/>
  <c r="J16" i="7"/>
  <c r="F12" i="10" l="1"/>
  <c r="G12" i="10" s="1"/>
  <c r="I12" i="10" s="1"/>
  <c r="F13" i="10"/>
  <c r="G13" i="10" s="1"/>
  <c r="I13" i="10" s="1"/>
  <c r="F11" i="10"/>
  <c r="G11" i="10" s="1"/>
  <c r="I11" i="10" s="1"/>
  <c r="B21" i="8"/>
  <c r="B23" i="8"/>
  <c r="B8" i="8" s="1"/>
  <c r="F12" i="8" s="1"/>
  <c r="G12" i="8" s="1"/>
  <c r="I12" i="8" s="1"/>
  <c r="V17" i="7"/>
  <c r="V20" i="7"/>
  <c r="V21" i="7"/>
  <c r="V12" i="7"/>
  <c r="V18" i="7"/>
  <c r="V16" i="7"/>
  <c r="V25" i="7"/>
  <c r="B14" i="10" l="1"/>
  <c r="B15" i="10" s="1"/>
  <c r="B16" i="10" s="1"/>
  <c r="B18" i="10" s="1"/>
  <c r="F13" i="8"/>
  <c r="G13" i="8" s="1"/>
  <c r="I13" i="8" s="1"/>
  <c r="F11" i="8"/>
  <c r="G11" i="8" s="1"/>
  <c r="I11" i="8" s="1"/>
  <c r="B15" i="8" l="1"/>
  <c r="B16" i="8" s="1"/>
  <c r="B17" i="8" l="1"/>
  <c r="B19" i="8" s="1"/>
  <c r="O14" i="9" l="1"/>
  <c r="O15" i="9"/>
  <c r="O8" i="9"/>
  <c r="O4" i="9"/>
  <c r="O5" i="9"/>
  <c r="O2" i="9"/>
  <c r="O12" i="9"/>
  <c r="O7" i="9"/>
  <c r="O13" i="9"/>
  <c r="O9" i="9"/>
  <c r="O10" i="9"/>
</calcChain>
</file>

<file path=xl/sharedStrings.xml><?xml version="1.0" encoding="utf-8"?>
<sst xmlns="http://schemas.openxmlformats.org/spreadsheetml/2006/main" count="314" uniqueCount="102">
  <si>
    <t>panel id</t>
  </si>
  <si>
    <t>sig_xx_avg</t>
  </si>
  <si>
    <t>sig_yy_avg</t>
  </si>
  <si>
    <t>sig_xy_avg</t>
  </si>
  <si>
    <t>sig_effective</t>
  </si>
  <si>
    <t>k_shear</t>
  </si>
  <si>
    <t>sig_crit_shear</t>
  </si>
  <si>
    <t>RF_shear</t>
  </si>
  <si>
    <t>beta</t>
  </si>
  <si>
    <t>k_biaxial</t>
  </si>
  <si>
    <t>sig_crit_biaxial</t>
  </si>
  <si>
    <t>RF_biaxial</t>
  </si>
  <si>
    <t>RF_combined</t>
  </si>
  <si>
    <t>sig_e</t>
  </si>
  <si>
    <t>sig_crit</t>
  </si>
  <si>
    <t>Mid</t>
  </si>
  <si>
    <t>5</t>
  </si>
  <si>
    <t>4</t>
  </si>
  <si>
    <t>3</t>
  </si>
  <si>
    <t>2</t>
  </si>
  <si>
    <t>1</t>
  </si>
  <si>
    <t>Beta</t>
  </si>
  <si>
    <t>sig_yy,avg</t>
  </si>
  <si>
    <t>sig_xx,avg</t>
  </si>
  <si>
    <t>panel ID</t>
  </si>
  <si>
    <t/>
  </si>
  <si>
    <t>tau_XY * V</t>
  </si>
  <si>
    <t>sig_YY * V</t>
  </si>
  <si>
    <t>sig_XX * V</t>
  </si>
  <si>
    <t xml:space="preserve">volume (V) </t>
  </si>
  <si>
    <t>Thickness (t)</t>
  </si>
  <si>
    <t>Area(200x200)</t>
  </si>
  <si>
    <t>tau_xy_avg</t>
  </si>
  <si>
    <t>XY</t>
  </si>
  <si>
    <t>YY</t>
  </si>
  <si>
    <t>XX</t>
  </si>
  <si>
    <t>Layer</t>
  </si>
  <si>
    <t>Elements</t>
  </si>
  <si>
    <t>Panel</t>
  </si>
  <si>
    <t>load case</t>
  </si>
  <si>
    <t>method=Results Query</t>
  </si>
  <si>
    <t>System=</t>
  </si>
  <si>
    <t>Element Stresses (2D &amp; 3D)</t>
  </si>
  <si>
    <t>Static Analysis</t>
  </si>
  <si>
    <t>Subcase 1 (LC1)</t>
  </si>
  <si>
    <t>ID</t>
  </si>
  <si>
    <t>Step</t>
  </si>
  <si>
    <t>Loadcase</t>
  </si>
  <si>
    <t>E:/SIDDHU/Aerospace Masters Studies/Semester 4/AEROSPACE STRUCTURES/AS Project/Analysis_3.h3d</t>
  </si>
  <si>
    <t>File</t>
  </si>
  <si>
    <t>sig_critical</t>
  </si>
  <si>
    <t>lamda</t>
  </si>
  <si>
    <t>radius of gyration</t>
  </si>
  <si>
    <t>FLANGE</t>
  </si>
  <si>
    <t>WEB</t>
  </si>
  <si>
    <t>SKIN</t>
  </si>
  <si>
    <t>Iy_i</t>
  </si>
  <si>
    <t>Area x (z_i)^2</t>
  </si>
  <si>
    <t>z_i</t>
  </si>
  <si>
    <t>z_i_bar</t>
  </si>
  <si>
    <t>Area</t>
  </si>
  <si>
    <t>THICK</t>
  </si>
  <si>
    <t>WIDTH</t>
  </si>
  <si>
    <t>z_ec</t>
  </si>
  <si>
    <t>RF_columnbuckl_comb</t>
  </si>
  <si>
    <t>sig_crip</t>
  </si>
  <si>
    <t>sig_axial,comb,avg,</t>
  </si>
  <si>
    <t>vol. panel</t>
  </si>
  <si>
    <t>vol. stringer</t>
  </si>
  <si>
    <t>avg</t>
  </si>
  <si>
    <t>avg axial stress on stringer</t>
  </si>
  <si>
    <t>stringer id</t>
  </si>
  <si>
    <t>z_ec_stringer</t>
  </si>
  <si>
    <t>flange width</t>
  </si>
  <si>
    <t>stringer height</t>
  </si>
  <si>
    <t>flange thickness</t>
  </si>
  <si>
    <t>web thickness</t>
  </si>
  <si>
    <t>total skin width</t>
  </si>
  <si>
    <t>skin thickness</t>
  </si>
  <si>
    <t>cL/r_gyr</t>
  </si>
  <si>
    <t>sqrt(I/A)</t>
  </si>
  <si>
    <t>panel length</t>
  </si>
  <si>
    <t>density(kg/mm^3)</t>
  </si>
  <si>
    <t>total mass(kg)</t>
  </si>
  <si>
    <t>total area</t>
  </si>
  <si>
    <t>stringer area</t>
  </si>
  <si>
    <t>MOI skin stringer comb</t>
  </si>
  <si>
    <t>Iy_i + Area x (z_i)^2</t>
  </si>
  <si>
    <t>z_offs(t_skin/2)</t>
  </si>
  <si>
    <t>E</t>
  </si>
  <si>
    <t>nu</t>
  </si>
  <si>
    <t>yeiild strength</t>
  </si>
  <si>
    <t>ultimate strength</t>
  </si>
  <si>
    <t>sig_crippling</t>
  </si>
  <si>
    <t>alpha_i x yield strength</t>
  </si>
  <si>
    <t>alpha_i</t>
  </si>
  <si>
    <t>0.69/(x_i)^0.75</t>
  </si>
  <si>
    <t>x_i</t>
  </si>
  <si>
    <t>b_i/t_2*sqrt(yeild/K_i*E)</t>
  </si>
  <si>
    <t>b_i</t>
  </si>
  <si>
    <t>webheight-(flangethick/webthicknes))(2-0.5(webthick/flagethick))</t>
  </si>
  <si>
    <t>lambda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</si>
</sst>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2" borderId="0"/>
  </cellStyleXfs>
  <cellXfs count="32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164" fontId="2" fillId="0" borderId="0" xfId="0" applyNumberFormat="1" applyFon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0" fillId="0" borderId="4" xfId="0" applyNumberFormat="1" applyBorder="1"/>
    <xf numFmtId="164" fontId="3" fillId="0" borderId="0" xfId="0" applyNumberFormat="1" applyFont="1"/>
    <xf numFmtId="164" fontId="0" fillId="0" borderId="6" xfId="0" applyNumberFormat="1" applyBorder="1"/>
    <xf numFmtId="1" fontId="1" fillId="0" borderId="5" xfId="0" applyNumberFormat="1" applyFont="1" applyBorder="1" applyAlignment="1">
      <alignment horizontal="center" vertical="top"/>
    </xf>
    <xf numFmtId="164" fontId="1" fillId="0" borderId="5" xfId="0" applyNumberFormat="1" applyFont="1" applyBorder="1" applyAlignment="1">
      <alignment horizontal="center" vertical="top"/>
    </xf>
    <xf numFmtId="164" fontId="3" fillId="0" borderId="5" xfId="0" applyNumberFormat="1" applyFont="1" applyBorder="1"/>
    <xf numFmtId="0" fontId="4" fillId="3" borderId="7" xfId="1" applyFill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top"/>
    </xf>
    <xf numFmtId="0" fontId="4" fillId="3" borderId="0" xfId="1" applyFill="1"/>
    <xf numFmtId="0" fontId="0" fillId="3" borderId="0" xfId="0" applyFill="1"/>
    <xf numFmtId="164" fontId="6" fillId="0" borderId="9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10" xfId="0" applyBorder="1"/>
    <xf numFmtId="164" fontId="0" fillId="4" borderId="4" xfId="0" applyNumberFormat="1" applyFill="1" applyBorder="1"/>
    <xf numFmtId="0" fontId="0" fillId="4" borderId="10" xfId="0" applyFill="1" applyBorder="1"/>
    <xf numFmtId="164" fontId="0" fillId="4" borderId="0" xfId="0" applyNumberFormat="1" applyFill="1"/>
    <xf numFmtId="0" fontId="3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164" fontId="3" fillId="0" borderId="0" xfId="0" applyNumberFormat="1" applyFont="1" applyAlignment="1">
      <alignment wrapText="1"/>
    </xf>
    <xf numFmtId="164" fontId="0" fillId="0" borderId="0" xfId="0" applyNumberForma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0" fillId="0" borderId="0" xfId="0" applyNumberFormat="1" applyAlignment="1">
      <alignment wrapText="1"/>
    </xf>
    <xf numFmtId="165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954800</xdr:colOff>
      <xdr:row>0</xdr:row>
      <xdr:rowOff>28951</xdr:rowOff>
    </xdr:from>
    <xdr:ext cx="1081613" cy="1115954"/>
    <xdr:pic>
      <xdr:nvPicPr>
        <xdr:cNvPr id="2" name="Picture 1">
          <a:extLst>
            <a:ext uri="{FF2B5EF4-FFF2-40B4-BE49-F238E27FC236}">
              <a16:creationId xmlns:a16="http://schemas.microsoft.com/office/drawing/2014/main" id="{414F5403-BD8E-4454-82D8-D057004E9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1100" y="27046"/>
          <a:ext cx="1081613" cy="111595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954800</xdr:colOff>
      <xdr:row>0</xdr:row>
      <xdr:rowOff>28951</xdr:rowOff>
    </xdr:from>
    <xdr:ext cx="1081613" cy="1115954"/>
    <xdr:pic>
      <xdr:nvPicPr>
        <xdr:cNvPr id="2" name="Picture 1">
          <a:extLst>
            <a:ext uri="{FF2B5EF4-FFF2-40B4-BE49-F238E27FC236}">
              <a16:creationId xmlns:a16="http://schemas.microsoft.com/office/drawing/2014/main" id="{28D94FDD-6B30-431E-81A4-2723AAC4E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5640" y="28951"/>
          <a:ext cx="1081613" cy="1115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M7" sqref="M7"/>
    </sheetView>
  </sheetViews>
  <sheetFormatPr defaultRowHeight="14.4" x14ac:dyDescent="0.3"/>
  <cols>
    <col min="1" max="1" width="7.6640625" style="7" bestFit="1" customWidth="1"/>
    <col min="2" max="2" width="16.33203125" style="1" bestFit="1" customWidth="1"/>
    <col min="3" max="4" width="15.6640625" style="1" bestFit="1" customWidth="1"/>
    <col min="5" max="6" width="14.6640625" style="1" bestFit="1" customWidth="1"/>
    <col min="7" max="7" width="15.6640625" style="1" bestFit="1" customWidth="1"/>
    <col min="8" max="8" width="14.6640625" style="1" bestFit="1" customWidth="1"/>
    <col min="9" max="9" width="15.33203125" style="1" bestFit="1" customWidth="1"/>
    <col min="10" max="10" width="14.6640625" style="1" bestFit="1" customWidth="1"/>
    <col min="11" max="11" width="15.6640625" style="1" bestFit="1" customWidth="1"/>
    <col min="12" max="13" width="14.6640625" style="1" bestFit="1" customWidth="1"/>
    <col min="14" max="16384" width="8.88671875" style="1"/>
  </cols>
  <sheetData>
    <row r="1" spans="1:13" s="9" customFormat="1" x14ac:dyDescent="0.3">
      <c r="A1" s="11" t="s">
        <v>0</v>
      </c>
      <c r="B1" s="12" t="s">
        <v>1</v>
      </c>
      <c r="C1" s="12" t="s">
        <v>2</v>
      </c>
      <c r="D1" s="13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</row>
    <row r="2" spans="1:13" x14ac:dyDescent="0.3">
      <c r="A2" s="7">
        <v>1</v>
      </c>
      <c r="B2" s="1">
        <v>-92.528077443440836</v>
      </c>
      <c r="C2" s="1">
        <v>23.549984773000329</v>
      </c>
      <c r="D2" s="10">
        <v>39.019215901692839</v>
      </c>
      <c r="E2" s="1">
        <v>6.1427257931588573</v>
      </c>
      <c r="F2" s="1">
        <v>7.1177777777777784</v>
      </c>
      <c r="G2" s="1">
        <v>43.722557145528476</v>
      </c>
      <c r="H2" s="1">
        <v>0.74702606797097959</v>
      </c>
      <c r="I2" s="1">
        <v>-0.25451717385347822</v>
      </c>
      <c r="J2" s="1">
        <v>5.0654821393250637</v>
      </c>
      <c r="K2" s="1">
        <v>31.115867792017578</v>
      </c>
      <c r="L2" s="1">
        <v>0.22419045585406311</v>
      </c>
      <c r="M2" s="1">
        <v>0.15993720471954759</v>
      </c>
    </row>
    <row r="3" spans="1:13" x14ac:dyDescent="0.3">
      <c r="A3" s="7">
        <v>2</v>
      </c>
      <c r="B3" s="1">
        <v>-94.228469848632997</v>
      </c>
      <c r="C3" s="1">
        <v>23.549985090891671</v>
      </c>
      <c r="D3" s="8">
        <v>38.802043279011997</v>
      </c>
      <c r="E3" s="1">
        <v>6.1427257931588573</v>
      </c>
      <c r="F3" s="1">
        <v>7.1177777777777784</v>
      </c>
      <c r="G3" s="1">
        <v>43.722557145528476</v>
      </c>
      <c r="H3" s="1">
        <v>0.75120712640714615</v>
      </c>
      <c r="I3" s="1">
        <v>-0.24992430768240179</v>
      </c>
      <c r="J3" s="1">
        <v>5.0502548403639622</v>
      </c>
      <c r="K3" s="1">
        <v>31.02233066992908</v>
      </c>
      <c r="L3" s="1">
        <v>0.2194830693226284</v>
      </c>
      <c r="M3" s="1">
        <v>0.15802209491180319</v>
      </c>
    </row>
    <row r="4" spans="1:13" x14ac:dyDescent="0.3">
      <c r="A4" s="7">
        <v>3</v>
      </c>
      <c r="B4" s="1">
        <v>-94.217650095621664</v>
      </c>
      <c r="C4" s="1">
        <v>23.54999987284333</v>
      </c>
      <c r="D4" s="8">
        <v>38.81558672587083</v>
      </c>
      <c r="E4" s="1">
        <v>6.1427257931588573</v>
      </c>
      <c r="F4" s="1">
        <v>7.1177777777777784</v>
      </c>
      <c r="G4" s="1">
        <v>43.722557145528476</v>
      </c>
      <c r="H4" s="1">
        <v>0.75094501691313487</v>
      </c>
      <c r="I4" s="1">
        <v>-0.24995316534579659</v>
      </c>
      <c r="J4" s="1">
        <v>5.0503502299479859</v>
      </c>
      <c r="K4" s="1">
        <v>31.02291662198726</v>
      </c>
      <c r="L4" s="1">
        <v>0.21951242037630991</v>
      </c>
      <c r="M4" s="1">
        <v>0.15800641332010329</v>
      </c>
    </row>
    <row r="5" spans="1:13" x14ac:dyDescent="0.3">
      <c r="A5" s="7">
        <v>4</v>
      </c>
      <c r="B5" s="1">
        <v>-94.228468577066977</v>
      </c>
      <c r="C5" s="1">
        <v>23.550014813741171</v>
      </c>
      <c r="D5" s="8">
        <v>38.8019014994305</v>
      </c>
      <c r="E5" s="1">
        <v>6.1427257931588573</v>
      </c>
      <c r="F5" s="1">
        <v>7.1177777777777784</v>
      </c>
      <c r="G5" s="1">
        <v>43.722557145528476</v>
      </c>
      <c r="H5" s="1">
        <v>0.75120987126829686</v>
      </c>
      <c r="I5" s="1">
        <v>-0.24992462648886449</v>
      </c>
      <c r="J5" s="1">
        <v>5.0502558941654234</v>
      </c>
      <c r="K5" s="1">
        <v>31.02233714314249</v>
      </c>
      <c r="L5" s="1">
        <v>0.21948311808244481</v>
      </c>
      <c r="M5" s="1">
        <v>0.15802244356140241</v>
      </c>
    </row>
    <row r="6" spans="1:13" x14ac:dyDescent="0.3">
      <c r="A6" s="7">
        <v>5</v>
      </c>
      <c r="B6" s="1">
        <v>-92.528074900309321</v>
      </c>
      <c r="C6" s="1">
        <v>23.550015131632328</v>
      </c>
      <c r="D6" s="8">
        <v>39.019137700398673</v>
      </c>
      <c r="E6" s="1">
        <v>6.1427257931588573</v>
      </c>
      <c r="F6" s="1">
        <v>7.1177777777777784</v>
      </c>
      <c r="G6" s="1">
        <v>43.722557145528476</v>
      </c>
      <c r="H6" s="1">
        <v>0.74702756514412938</v>
      </c>
      <c r="I6" s="1">
        <v>-0.25451750895071962</v>
      </c>
      <c r="J6" s="1">
        <v>5.0654832536645671</v>
      </c>
      <c r="K6" s="1">
        <v>31.115874637099591</v>
      </c>
      <c r="L6" s="1">
        <v>0.2241905113348869</v>
      </c>
      <c r="M6" s="1">
        <v>0.15993741669134959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M2" activeCellId="1" sqref="J2:J6 M2:M6"/>
    </sheetView>
  </sheetViews>
  <sheetFormatPr defaultRowHeight="14.4" x14ac:dyDescent="0.3"/>
  <cols>
    <col min="1" max="1" width="7.6640625" style="7" bestFit="1" customWidth="1"/>
    <col min="2" max="3" width="16.33203125" style="1" bestFit="1" customWidth="1"/>
    <col min="4" max="4" width="15.6640625" style="1" bestFit="1" customWidth="1"/>
    <col min="5" max="6" width="14.6640625" style="1" bestFit="1" customWidth="1"/>
    <col min="7" max="7" width="15.6640625" style="1" bestFit="1" customWidth="1"/>
    <col min="8" max="10" width="14.6640625" style="1" bestFit="1" customWidth="1"/>
    <col min="11" max="11" width="15.6640625" style="1" bestFit="1" customWidth="1"/>
    <col min="12" max="13" width="14.6640625" style="1" bestFit="1" customWidth="1"/>
    <col min="14" max="15" width="8.88671875" style="1" customWidth="1"/>
    <col min="16" max="16384" width="8.88671875" style="1"/>
  </cols>
  <sheetData>
    <row r="1" spans="1:13" x14ac:dyDescent="0.3">
      <c r="A1" s="6" t="s">
        <v>0</v>
      </c>
      <c r="B1" s="2" t="s">
        <v>1</v>
      </c>
      <c r="C1" s="2" t="s">
        <v>2</v>
      </c>
      <c r="D1" s="4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</row>
    <row r="2" spans="1:13" x14ac:dyDescent="0.3">
      <c r="A2" s="7">
        <v>1</v>
      </c>
      <c r="B2" s="1">
        <v>-94.516096750895329</v>
      </c>
      <c r="C2" s="1">
        <v>-23.55001449584983</v>
      </c>
      <c r="D2" s="1">
        <v>39.019215265909999</v>
      </c>
      <c r="E2" s="1">
        <v>6.1427257931588573</v>
      </c>
      <c r="F2" s="1">
        <v>7.1177777777777784</v>
      </c>
      <c r="G2" s="1">
        <v>43.722557145528476</v>
      </c>
      <c r="H2" s="1">
        <v>0.74702608014309402</v>
      </c>
      <c r="I2" s="1">
        <v>0.24916406099500449</v>
      </c>
      <c r="J2" s="1">
        <v>3.0080654097004311</v>
      </c>
      <c r="K2" s="1">
        <v>18.477720979675809</v>
      </c>
      <c r="L2" s="1">
        <v>0.1303320923798148</v>
      </c>
      <c r="M2" s="1">
        <v>0.1056561097791313</v>
      </c>
    </row>
    <row r="3" spans="1:13" x14ac:dyDescent="0.3">
      <c r="A3" s="7">
        <v>2</v>
      </c>
      <c r="B3" s="1">
        <v>-95.273977915445826</v>
      </c>
      <c r="C3" s="1">
        <v>-23.55001449584967</v>
      </c>
      <c r="D3" s="1">
        <v>38.802043279012167</v>
      </c>
      <c r="E3" s="1">
        <v>6.1427257931588573</v>
      </c>
      <c r="F3" s="1">
        <v>7.1177777777777784</v>
      </c>
      <c r="G3" s="1">
        <v>43.722557145528476</v>
      </c>
      <c r="H3" s="1">
        <v>0.75120712640714293</v>
      </c>
      <c r="I3" s="1">
        <v>0.24718202190266411</v>
      </c>
      <c r="J3" s="1">
        <v>3.0166858190173742</v>
      </c>
      <c r="K3" s="1">
        <v>18.530673790334578</v>
      </c>
      <c r="L3" s="1">
        <v>0.12966586257008719</v>
      </c>
      <c r="M3" s="1">
        <v>0.10543853016202311</v>
      </c>
    </row>
    <row r="4" spans="1:13" x14ac:dyDescent="0.3">
      <c r="A4" s="7">
        <v>3</v>
      </c>
      <c r="B4" s="1">
        <v>-95.758464813232663</v>
      </c>
      <c r="C4" s="1">
        <v>-23.550000190734998</v>
      </c>
      <c r="D4" s="1">
        <v>38.81558672587083</v>
      </c>
      <c r="E4" s="1">
        <v>6.1427257931588573</v>
      </c>
      <c r="F4" s="1">
        <v>7.1177777777777784</v>
      </c>
      <c r="G4" s="1">
        <v>43.722557145528476</v>
      </c>
      <c r="H4" s="1">
        <v>0.75094501691313487</v>
      </c>
      <c r="I4" s="1">
        <v>0.24593126296110659</v>
      </c>
      <c r="J4" s="1">
        <v>3.0221511717543428</v>
      </c>
      <c r="K4" s="1">
        <v>18.564245953560661</v>
      </c>
      <c r="L4" s="1">
        <v>0.12924355035535409</v>
      </c>
      <c r="M4" s="1">
        <v>0.1051454375610127</v>
      </c>
    </row>
    <row r="5" spans="1:13" x14ac:dyDescent="0.3">
      <c r="A5" s="7">
        <v>4</v>
      </c>
      <c r="B5" s="1">
        <v>-95.273976643880175</v>
      </c>
      <c r="C5" s="1">
        <v>-23.549985249837501</v>
      </c>
      <c r="D5" s="1">
        <v>38.801901499430343</v>
      </c>
      <c r="E5" s="1">
        <v>6.1427257931588573</v>
      </c>
      <c r="F5" s="1">
        <v>7.1177777777777784</v>
      </c>
      <c r="G5" s="1">
        <v>43.722557145528476</v>
      </c>
      <c r="H5" s="1">
        <v>0.75120987126829997</v>
      </c>
      <c r="I5" s="1">
        <v>0.2471817182341807</v>
      </c>
      <c r="J5" s="1">
        <v>3.0166871435369731</v>
      </c>
      <c r="K5" s="1">
        <v>18.53068192649528</v>
      </c>
      <c r="L5" s="1">
        <v>0.12966592123233669</v>
      </c>
      <c r="M5" s="1">
        <v>0.1054387129196349</v>
      </c>
    </row>
    <row r="6" spans="1:13" x14ac:dyDescent="0.3">
      <c r="A6" s="7">
        <v>5</v>
      </c>
      <c r="B6" s="1">
        <v>-94.516094207763501</v>
      </c>
      <c r="C6" s="1">
        <v>-23.549985249837171</v>
      </c>
      <c r="D6" s="1">
        <v>39.019138336181499</v>
      </c>
      <c r="E6" s="1">
        <v>6.1427257931588573</v>
      </c>
      <c r="F6" s="1">
        <v>7.1177777777777784</v>
      </c>
      <c r="G6" s="1">
        <v>43.722557145528476</v>
      </c>
      <c r="H6" s="1">
        <v>0.74702755297196677</v>
      </c>
      <c r="I6" s="1">
        <v>0.24916375827031151</v>
      </c>
      <c r="J6" s="1">
        <v>3.0080667225679458</v>
      </c>
      <c r="K6" s="1">
        <v>18.477729044260951</v>
      </c>
      <c r="L6" s="1">
        <v>0.13033215276997201</v>
      </c>
      <c r="M6" s="1">
        <v>0.10565622834592731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21" sqref="G21"/>
    </sheetView>
  </sheetViews>
  <sheetFormatPr defaultRowHeight="14.4" x14ac:dyDescent="0.3"/>
  <cols>
    <col min="1" max="1" width="7.6640625" style="7" bestFit="1" customWidth="1"/>
    <col min="2" max="2" width="16.33203125" style="1" bestFit="1" customWidth="1"/>
    <col min="3" max="3" width="14.6640625" style="1" bestFit="1" customWidth="1"/>
    <col min="4" max="4" width="16.6640625" style="1" bestFit="1" customWidth="1"/>
    <col min="5" max="6" width="14.6640625" style="1" bestFit="1" customWidth="1"/>
    <col min="7" max="7" width="15.6640625" style="1" bestFit="1" customWidth="1"/>
    <col min="8" max="8" width="14.6640625" style="1" bestFit="1" customWidth="1"/>
    <col min="9" max="9" width="15.33203125" style="1" bestFit="1" customWidth="1"/>
    <col min="10" max="10" width="14.6640625" style="1" bestFit="1" customWidth="1"/>
    <col min="11" max="11" width="15.6640625" style="1" bestFit="1" customWidth="1"/>
    <col min="12" max="12" width="15.33203125" style="1" bestFit="1" customWidth="1"/>
    <col min="13" max="13" width="14.6640625" style="1" bestFit="1" customWidth="1"/>
    <col min="14" max="14" width="8.88671875" style="1" customWidth="1"/>
    <col min="15" max="16384" width="8.88671875" style="1"/>
  </cols>
  <sheetData>
    <row r="1" spans="1:13" s="9" customFormat="1" x14ac:dyDescent="0.3">
      <c r="A1" s="6" t="s">
        <v>0</v>
      </c>
      <c r="B1" s="2" t="s">
        <v>1</v>
      </c>
      <c r="C1" s="2" t="s">
        <v>2</v>
      </c>
      <c r="D1" s="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</row>
    <row r="2" spans="1:13" x14ac:dyDescent="0.3">
      <c r="A2" s="7">
        <v>1</v>
      </c>
      <c r="B2" s="1">
        <v>-30.646249771118161</v>
      </c>
      <c r="C2" s="1">
        <v>7.7999415496985014</v>
      </c>
      <c r="D2" s="1">
        <v>155.08260091145851</v>
      </c>
      <c r="E2" s="1">
        <v>6.1427257931588573</v>
      </c>
      <c r="F2" s="1">
        <v>7.1177777777777784</v>
      </c>
      <c r="G2" s="1">
        <v>43.722557145528476</v>
      </c>
      <c r="H2" s="1">
        <v>0.18795384691151801</v>
      </c>
      <c r="I2" s="1">
        <v>-0.25451536837141397</v>
      </c>
      <c r="J2" s="1">
        <v>5.0654761353449924</v>
      </c>
      <c r="K2" s="1">
        <v>31.115830911214331</v>
      </c>
      <c r="L2" s="1">
        <v>0.67688175320206645</v>
      </c>
      <c r="M2" s="1">
        <v>3.3574391650774589E-2</v>
      </c>
    </row>
    <row r="3" spans="1:13" x14ac:dyDescent="0.3">
      <c r="A3" s="7">
        <v>2</v>
      </c>
      <c r="B3" s="1">
        <v>-31.209430058797331</v>
      </c>
      <c r="C3" s="1">
        <v>7.7999416589736663</v>
      </c>
      <c r="D3" s="1">
        <v>154.21932983398469</v>
      </c>
      <c r="E3" s="1">
        <v>6.1427257931588573</v>
      </c>
      <c r="F3" s="1">
        <v>7.1177777777777784</v>
      </c>
      <c r="G3" s="1">
        <v>43.722557145528476</v>
      </c>
      <c r="H3" s="1">
        <v>0.18900595315600319</v>
      </c>
      <c r="I3" s="1">
        <v>-0.249922592122922</v>
      </c>
      <c r="J3" s="1">
        <v>5.0502491696612362</v>
      </c>
      <c r="K3" s="1">
        <v>31.022295836357181</v>
      </c>
      <c r="L3" s="1">
        <v>0.66266928036200168</v>
      </c>
      <c r="M3" s="1">
        <v>3.3895981911370769E-2</v>
      </c>
    </row>
    <row r="4" spans="1:13" x14ac:dyDescent="0.3">
      <c r="A4" s="7">
        <v>3</v>
      </c>
      <c r="B4" s="1">
        <v>-31.205845832824501</v>
      </c>
      <c r="C4" s="1">
        <v>7.8000000317890006</v>
      </c>
      <c r="D4" s="1">
        <v>154.27341206868499</v>
      </c>
      <c r="E4" s="1">
        <v>6.1427257931588573</v>
      </c>
      <c r="F4" s="1">
        <v>7.1177777777777784</v>
      </c>
      <c r="G4" s="1">
        <v>43.722557145528476</v>
      </c>
      <c r="H4" s="1">
        <v>0.18893969504852201</v>
      </c>
      <c r="I4" s="1">
        <v>-0.24995316818441801</v>
      </c>
      <c r="J4" s="1">
        <v>5.0503502393312827</v>
      </c>
      <c r="K4" s="1">
        <v>31.022916679626281</v>
      </c>
      <c r="L4" s="1">
        <v>0.66275865630693676</v>
      </c>
      <c r="M4" s="1">
        <v>3.3873668948308053E-2</v>
      </c>
    </row>
    <row r="5" spans="1:13" x14ac:dyDescent="0.3">
      <c r="A5" s="7">
        <v>4</v>
      </c>
      <c r="B5" s="1">
        <v>-31.209428151448328</v>
      </c>
      <c r="C5" s="1">
        <v>7.800058523813834</v>
      </c>
      <c r="D5" s="1">
        <v>154.2192789713543</v>
      </c>
      <c r="E5" s="1">
        <v>6.1427257931588573</v>
      </c>
      <c r="F5" s="1">
        <v>7.1177777777777784</v>
      </c>
      <c r="G5" s="1">
        <v>43.722557145528476</v>
      </c>
      <c r="H5" s="1">
        <v>0.18900601549152959</v>
      </c>
      <c r="I5" s="1">
        <v>-0.24992635193323329</v>
      </c>
      <c r="J5" s="1">
        <v>5.0502615975574194</v>
      </c>
      <c r="K5" s="1">
        <v>31.02237217751561</v>
      </c>
      <c r="L5" s="1">
        <v>0.66267095158926537</v>
      </c>
      <c r="M5" s="1">
        <v>3.3896007498591188E-2</v>
      </c>
    </row>
    <row r="6" spans="1:13" x14ac:dyDescent="0.3">
      <c r="A6" s="7">
        <v>5</v>
      </c>
      <c r="B6" s="1">
        <v>-30.64623483022033</v>
      </c>
      <c r="C6" s="1">
        <v>7.8000586132206662</v>
      </c>
      <c r="D6" s="1">
        <v>155.08257802327489</v>
      </c>
      <c r="E6" s="1">
        <v>6.1427257931588573</v>
      </c>
      <c r="F6" s="1">
        <v>7.1177777777777784</v>
      </c>
      <c r="G6" s="1">
        <v>43.722557145528476</v>
      </c>
      <c r="H6" s="1">
        <v>0.18795387465107599</v>
      </c>
      <c r="I6" s="1">
        <v>-0.2545193122885363</v>
      </c>
      <c r="J6" s="1">
        <v>5.0654892505309679</v>
      </c>
      <c r="K6" s="1">
        <v>31.1159114742055</v>
      </c>
      <c r="L6" s="1">
        <v>0.67688383573789024</v>
      </c>
      <c r="M6" s="1">
        <v>3.3574406193183227E-2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3471-305F-48BB-94E9-A9B0F4D359C9}">
  <dimension ref="A1:V99"/>
  <sheetViews>
    <sheetView topLeftCell="A7" zoomScale="70" zoomScaleNormal="70" workbookViewId="0">
      <pane xSplit="2" ySplit="3" topLeftCell="C10" activePane="bottomRight" state="frozen"/>
      <selection activeCell="O14" sqref="O14"/>
      <selection pane="topRight" activeCell="O14" sqref="O14"/>
      <selection pane="bottomLeft" activeCell="O14" sqref="O14"/>
      <selection pane="bottomRight" activeCell="O14" sqref="O14"/>
    </sheetView>
  </sheetViews>
  <sheetFormatPr defaultColWidth="9.5546875" defaultRowHeight="14.4" x14ac:dyDescent="0.3"/>
  <cols>
    <col min="1" max="1" width="10.21875" bestFit="1" customWidth="1"/>
    <col min="2" max="2" width="26.5546875" customWidth="1"/>
    <col min="3" max="3" width="9.6640625" bestFit="1" customWidth="1"/>
    <col min="4" max="4" width="14.5546875" bestFit="1" customWidth="1"/>
    <col min="5" max="5" width="20.109375" style="1" bestFit="1" customWidth="1"/>
    <col min="6" max="6" width="19.5546875" style="1" bestFit="1" customWidth="1"/>
    <col min="7" max="8" width="19.6640625" style="1" bestFit="1" customWidth="1"/>
    <col min="9" max="9" width="19.5546875" style="1" bestFit="1" customWidth="1"/>
    <col min="10" max="10" width="19.6640625" style="1" bestFit="1" customWidth="1"/>
    <col min="11" max="11" width="15" style="19" bestFit="1" customWidth="1"/>
    <col min="12" max="12" width="12.77734375" style="19" bestFit="1" customWidth="1"/>
    <col min="13" max="13" width="11.21875" style="19" bestFit="1" customWidth="1"/>
    <col min="14" max="14" width="26.88671875" style="1" bestFit="1" customWidth="1"/>
    <col min="15" max="15" width="26.33203125" style="1" bestFit="1" customWidth="1"/>
    <col min="16" max="16" width="26.109375" style="1" bestFit="1" customWidth="1"/>
    <col min="18" max="18" width="8.5546875" bestFit="1" customWidth="1"/>
    <col min="19" max="19" width="19.6640625" style="1" bestFit="1" customWidth="1"/>
    <col min="20" max="20" width="19.5546875" style="1" bestFit="1" customWidth="1"/>
    <col min="21" max="21" width="18.5546875" style="1" bestFit="1" customWidth="1"/>
    <col min="22" max="22" width="24.5546875" bestFit="1" customWidth="1"/>
  </cols>
  <sheetData>
    <row r="1" spans="1:22" x14ac:dyDescent="0.3">
      <c r="B1" t="s">
        <v>49</v>
      </c>
      <c r="C1" t="s">
        <v>45</v>
      </c>
    </row>
    <row r="2" spans="1:22" x14ac:dyDescent="0.3">
      <c r="B2" t="s">
        <v>48</v>
      </c>
      <c r="C2">
        <v>2</v>
      </c>
    </row>
    <row r="3" spans="1:22" x14ac:dyDescent="0.3">
      <c r="B3" t="s">
        <v>47</v>
      </c>
      <c r="C3" t="s">
        <v>45</v>
      </c>
      <c r="D3" t="s">
        <v>46</v>
      </c>
      <c r="E3" s="1" t="s">
        <v>45</v>
      </c>
    </row>
    <row r="4" spans="1:22" x14ac:dyDescent="0.3">
      <c r="B4" t="s">
        <v>44</v>
      </c>
      <c r="C4">
        <v>1</v>
      </c>
      <c r="D4" t="s">
        <v>43</v>
      </c>
      <c r="E4" s="1">
        <v>0</v>
      </c>
    </row>
    <row r="5" spans="1:22" x14ac:dyDescent="0.3">
      <c r="B5" t="s">
        <v>42</v>
      </c>
    </row>
    <row r="6" spans="1:22" x14ac:dyDescent="0.3">
      <c r="B6" t="s">
        <v>41</v>
      </c>
    </row>
    <row r="7" spans="1:22" x14ac:dyDescent="0.3">
      <c r="B7" t="s">
        <v>40</v>
      </c>
    </row>
    <row r="9" spans="1:22" x14ac:dyDescent="0.3">
      <c r="A9" t="s">
        <v>39</v>
      </c>
      <c r="B9" t="s">
        <v>38</v>
      </c>
      <c r="C9" t="s">
        <v>37</v>
      </c>
      <c r="D9" t="s">
        <v>36</v>
      </c>
      <c r="E9" s="1" t="s">
        <v>35</v>
      </c>
      <c r="F9" s="1" t="s">
        <v>34</v>
      </c>
      <c r="G9" s="1" t="s">
        <v>33</v>
      </c>
      <c r="H9" s="1" t="s">
        <v>1</v>
      </c>
      <c r="I9" s="1" t="s">
        <v>2</v>
      </c>
      <c r="J9" s="1" t="s">
        <v>32</v>
      </c>
      <c r="K9" s="19" t="s">
        <v>31</v>
      </c>
      <c r="L9" s="19" t="s">
        <v>30</v>
      </c>
      <c r="M9" s="19" t="s">
        <v>29</v>
      </c>
      <c r="N9" s="1" t="s">
        <v>28</v>
      </c>
      <c r="O9" s="1" t="s">
        <v>27</v>
      </c>
      <c r="P9" s="1" t="s">
        <v>26</v>
      </c>
      <c r="R9" s="20"/>
      <c r="S9" s="8" t="s">
        <v>25</v>
      </c>
      <c r="T9" s="8" t="s">
        <v>25</v>
      </c>
    </row>
    <row r="10" spans="1:22" x14ac:dyDescent="0.3">
      <c r="A10" s="28">
        <v>1</v>
      </c>
      <c r="B10" s="29">
        <v>1</v>
      </c>
      <c r="C10">
        <v>1</v>
      </c>
      <c r="D10" t="s">
        <v>15</v>
      </c>
      <c r="E10" s="1">
        <v>-87.945823669434006</v>
      </c>
      <c r="F10" s="1">
        <v>13.339676856995</v>
      </c>
      <c r="G10" s="1">
        <v>38.714458465576001</v>
      </c>
      <c r="H10" s="27">
        <f>SUM(N10:N15)/SUM(M10:M15)</f>
        <v>-92.528077443440836</v>
      </c>
      <c r="I10" s="27">
        <f>SUM(O10:O15)/SUM(M10:M15)</f>
        <v>23.549984773000332</v>
      </c>
      <c r="J10" s="27">
        <f>SUM(P10:P15)/SUM(M10:M15)</f>
        <v>39.019215901692831</v>
      </c>
      <c r="K10" s="19">
        <v>40000</v>
      </c>
      <c r="L10" s="19">
        <v>4</v>
      </c>
      <c r="M10" s="19">
        <f t="shared" ref="M10:M41" si="0">L10*K10</f>
        <v>160000</v>
      </c>
      <c r="N10" s="1">
        <f t="shared" ref="N10:N41" si="1">M10*E10</f>
        <v>-14071331.78710944</v>
      </c>
      <c r="O10" s="1">
        <f t="shared" ref="O10:O41" si="2">F10*M10</f>
        <v>2134348.2971192002</v>
      </c>
      <c r="P10" s="1">
        <f t="shared" ref="P10:P41" si="3">G10*M10</f>
        <v>6194313.3544921605</v>
      </c>
      <c r="R10" s="22" t="s">
        <v>24</v>
      </c>
      <c r="S10" s="21" t="s">
        <v>23</v>
      </c>
      <c r="T10" s="21" t="s">
        <v>22</v>
      </c>
      <c r="U10" s="23" t="s">
        <v>21</v>
      </c>
      <c r="V10" s="23" t="s">
        <v>3</v>
      </c>
    </row>
    <row r="11" spans="1:22" x14ac:dyDescent="0.3">
      <c r="A11" s="28"/>
      <c r="B11" s="29"/>
      <c r="C11">
        <v>2</v>
      </c>
      <c r="D11" t="s">
        <v>15</v>
      </c>
      <c r="E11" s="1">
        <v>-98.242691040039006</v>
      </c>
      <c r="F11" s="1">
        <v>23.680265426636002</v>
      </c>
      <c r="G11" s="1">
        <v>37.383640289307003</v>
      </c>
      <c r="H11" s="27"/>
      <c r="I11" s="27"/>
      <c r="J11" s="27"/>
      <c r="K11" s="19">
        <v>40000</v>
      </c>
      <c r="L11" s="19">
        <v>4</v>
      </c>
      <c r="M11" s="19">
        <f t="shared" si="0"/>
        <v>160000</v>
      </c>
      <c r="N11" s="1">
        <f t="shared" si="1"/>
        <v>-15718830.566406241</v>
      </c>
      <c r="O11" s="1">
        <f t="shared" si="2"/>
        <v>3788842.4682617602</v>
      </c>
      <c r="P11" s="1">
        <f t="shared" si="3"/>
        <v>5981382.4462891202</v>
      </c>
      <c r="R11" s="20" t="s">
        <v>20</v>
      </c>
      <c r="S11" s="8">
        <v>-92.528077443440836</v>
      </c>
      <c r="T11" s="8">
        <v>23.549984773000332</v>
      </c>
      <c r="U11" s="1">
        <v>-0.25451717385347827</v>
      </c>
      <c r="V11" s="1">
        <f>AVERAGE(G10:G15)</f>
        <v>39.019215901692839</v>
      </c>
    </row>
    <row r="12" spans="1:22" x14ac:dyDescent="0.3">
      <c r="A12" s="28"/>
      <c r="B12" s="29"/>
      <c r="C12">
        <v>3</v>
      </c>
      <c r="D12" t="s">
        <v>15</v>
      </c>
      <c r="E12" s="1">
        <v>-82.934753417969006</v>
      </c>
      <c r="F12" s="1">
        <v>33.630016326903998</v>
      </c>
      <c r="G12" s="1">
        <v>41.644840240478999</v>
      </c>
      <c r="H12" s="27"/>
      <c r="I12" s="27"/>
      <c r="J12" s="27"/>
      <c r="K12" s="19">
        <v>40000</v>
      </c>
      <c r="L12" s="19">
        <v>4</v>
      </c>
      <c r="M12" s="19">
        <f t="shared" si="0"/>
        <v>160000</v>
      </c>
      <c r="N12" s="1">
        <f t="shared" si="1"/>
        <v>-13269560.546875041</v>
      </c>
      <c r="O12" s="1">
        <f t="shared" si="2"/>
        <v>5380802.61230464</v>
      </c>
      <c r="P12" s="1">
        <f t="shared" si="3"/>
        <v>6663174.4384766398</v>
      </c>
      <c r="R12" s="22" t="s">
        <v>19</v>
      </c>
      <c r="S12" s="21">
        <v>-94.228469848632997</v>
      </c>
      <c r="T12" s="21">
        <v>23.549985090891667</v>
      </c>
      <c r="U12" s="1">
        <v>-0.24992430768240173</v>
      </c>
      <c r="V12" s="1">
        <f>AVERAGE(P16:P21)</f>
        <v>6208326.9246419193</v>
      </c>
    </row>
    <row r="13" spans="1:22" x14ac:dyDescent="0.3">
      <c r="A13" s="28"/>
      <c r="B13" s="29"/>
      <c r="C13">
        <v>4</v>
      </c>
      <c r="D13" t="s">
        <v>15</v>
      </c>
      <c r="E13" s="1">
        <v>-97.071189880370994</v>
      </c>
      <c r="F13" s="1">
        <v>20.804466247558999</v>
      </c>
      <c r="G13" s="1">
        <v>40.410556793212997</v>
      </c>
      <c r="H13" s="27"/>
      <c r="I13" s="27"/>
      <c r="J13" s="27"/>
      <c r="K13" s="19">
        <v>40000</v>
      </c>
      <c r="L13" s="19">
        <v>4</v>
      </c>
      <c r="M13" s="19">
        <f t="shared" si="0"/>
        <v>160000</v>
      </c>
      <c r="N13" s="1">
        <f t="shared" si="1"/>
        <v>-15531390.380859358</v>
      </c>
      <c r="O13" s="1">
        <f t="shared" si="2"/>
        <v>3328714.5996094397</v>
      </c>
      <c r="P13" s="1">
        <f t="shared" si="3"/>
        <v>6465689.0869140793</v>
      </c>
      <c r="R13" s="20" t="s">
        <v>18</v>
      </c>
      <c r="S13" s="8">
        <v>-94.217650095621664</v>
      </c>
      <c r="T13" s="8">
        <v>23.549999872843337</v>
      </c>
      <c r="U13" s="1">
        <v>-0.24995316534579667</v>
      </c>
      <c r="V13" s="1">
        <f t="shared" ref="V13:V25" si="4">AVERAGE(P12:P17)</f>
        <v>6255664.5711263204</v>
      </c>
    </row>
    <row r="14" spans="1:22" x14ac:dyDescent="0.3">
      <c r="A14" s="28"/>
      <c r="B14" s="29"/>
      <c r="C14">
        <v>5</v>
      </c>
      <c r="D14" t="s">
        <v>15</v>
      </c>
      <c r="E14" s="1">
        <v>-90.252021789550994</v>
      </c>
      <c r="F14" s="1">
        <v>25.41742515564</v>
      </c>
      <c r="G14" s="1">
        <v>39.506717681885</v>
      </c>
      <c r="H14" s="27"/>
      <c r="I14" s="27"/>
      <c r="J14" s="27"/>
      <c r="K14" s="19">
        <v>40000</v>
      </c>
      <c r="L14" s="19">
        <v>4</v>
      </c>
      <c r="M14" s="19">
        <f t="shared" si="0"/>
        <v>160000</v>
      </c>
      <c r="N14" s="1">
        <f t="shared" si="1"/>
        <v>-14440323.486328159</v>
      </c>
      <c r="O14" s="1">
        <f t="shared" si="2"/>
        <v>4066788.0249024001</v>
      </c>
      <c r="P14" s="1">
        <f t="shared" si="3"/>
        <v>6321074.8291015998</v>
      </c>
      <c r="R14" s="22" t="s">
        <v>17</v>
      </c>
      <c r="S14" s="21">
        <v>-94.228468577066991</v>
      </c>
      <c r="T14" s="21">
        <v>23.550014813741164</v>
      </c>
      <c r="U14" s="1">
        <v>-0.2499246264888644</v>
      </c>
      <c r="V14" s="1">
        <f t="shared" si="4"/>
        <v>6206348.8769531185</v>
      </c>
    </row>
    <row r="15" spans="1:22" x14ac:dyDescent="0.3">
      <c r="A15" s="28"/>
      <c r="B15" s="29"/>
      <c r="C15">
        <v>6</v>
      </c>
      <c r="D15" t="s">
        <v>15</v>
      </c>
      <c r="E15" s="1">
        <v>-98.721984863280994</v>
      </c>
      <c r="F15" s="1">
        <v>24.428058624268001</v>
      </c>
      <c r="G15" s="1">
        <v>36.455081939697003</v>
      </c>
      <c r="H15" s="27"/>
      <c r="I15" s="27"/>
      <c r="J15" s="27"/>
      <c r="K15" s="19">
        <v>40000</v>
      </c>
      <c r="L15" s="19">
        <v>4</v>
      </c>
      <c r="M15" s="19">
        <f t="shared" si="0"/>
        <v>160000</v>
      </c>
      <c r="N15" s="1">
        <f t="shared" si="1"/>
        <v>-15795517.578124959</v>
      </c>
      <c r="O15" s="1">
        <f t="shared" si="2"/>
        <v>3908489.37988288</v>
      </c>
      <c r="P15" s="1">
        <f t="shared" si="3"/>
        <v>5832813.1103515206</v>
      </c>
      <c r="R15" s="20" t="s">
        <v>16</v>
      </c>
      <c r="S15" s="8">
        <v>-92.528074900309321</v>
      </c>
      <c r="T15" s="8">
        <v>23.550015131632332</v>
      </c>
      <c r="U15" s="1">
        <v>-0.25451750895071962</v>
      </c>
      <c r="V15" s="1">
        <f t="shared" si="4"/>
        <v>6194346.415201813</v>
      </c>
    </row>
    <row r="16" spans="1:22" x14ac:dyDescent="0.3">
      <c r="A16" s="28"/>
      <c r="B16" s="29">
        <v>2</v>
      </c>
      <c r="C16">
        <v>7</v>
      </c>
      <c r="D16" t="s">
        <v>15</v>
      </c>
      <c r="E16" s="1">
        <v>-96.265647888184006</v>
      </c>
      <c r="F16" s="1">
        <v>15.802819252014</v>
      </c>
      <c r="G16" s="1">
        <v>37.049095153808999</v>
      </c>
      <c r="H16" s="27">
        <f>SUM(N16:N21)/SUM(M16:M21)</f>
        <v>-94.228469848632997</v>
      </c>
      <c r="I16" s="27">
        <f>SUM(O16:O21)/SUM(M16:M21)</f>
        <v>23.549985090891667</v>
      </c>
      <c r="J16" s="27">
        <f>SUM(P16:P21)/SUM(M16:M21)</f>
        <v>38.802043279011997</v>
      </c>
      <c r="K16" s="19">
        <v>40000</v>
      </c>
      <c r="L16" s="19">
        <v>4</v>
      </c>
      <c r="M16" s="19">
        <f t="shared" si="0"/>
        <v>160000</v>
      </c>
      <c r="N16" s="1">
        <f t="shared" si="1"/>
        <v>-15402503.66210944</v>
      </c>
      <c r="O16" s="1">
        <f t="shared" si="2"/>
        <v>2528451.08032224</v>
      </c>
      <c r="P16" s="1">
        <f t="shared" si="3"/>
        <v>5927855.2246094402</v>
      </c>
      <c r="R16" t="s">
        <v>20</v>
      </c>
      <c r="S16" s="1">
        <v>-94.516096750895315</v>
      </c>
      <c r="T16" s="1">
        <v>39.019215265909999</v>
      </c>
      <c r="U16" s="1">
        <v>-0.41283142879617896</v>
      </c>
      <c r="V16" s="1">
        <f t="shared" si="4"/>
        <v>6195406.4941406129</v>
      </c>
    </row>
    <row r="17" spans="1:22" x14ac:dyDescent="0.3">
      <c r="A17" s="28"/>
      <c r="B17" s="29"/>
      <c r="C17">
        <v>8</v>
      </c>
      <c r="D17" t="s">
        <v>15</v>
      </c>
      <c r="E17" s="1">
        <v>-92.669143676757997</v>
      </c>
      <c r="F17" s="1">
        <v>24.253814697266002</v>
      </c>
      <c r="G17" s="1">
        <v>39.521129608153998</v>
      </c>
      <c r="H17" s="27"/>
      <c r="I17" s="27"/>
      <c r="J17" s="27"/>
      <c r="K17" s="19">
        <v>40000</v>
      </c>
      <c r="L17" s="19">
        <v>4</v>
      </c>
      <c r="M17" s="19">
        <f t="shared" si="0"/>
        <v>160000</v>
      </c>
      <c r="N17" s="1">
        <f t="shared" si="1"/>
        <v>-14827062.98828128</v>
      </c>
      <c r="O17" s="1">
        <f t="shared" si="2"/>
        <v>3880610.3515625601</v>
      </c>
      <c r="P17" s="1">
        <f t="shared" si="3"/>
        <v>6323380.73730464</v>
      </c>
      <c r="R17" t="s">
        <v>19</v>
      </c>
      <c r="S17" s="1">
        <v>-95.27397791544584</v>
      </c>
      <c r="T17" s="1">
        <v>38.802043279012167</v>
      </c>
      <c r="U17" s="1">
        <v>-0.40726800883078873</v>
      </c>
      <c r="V17" s="1">
        <f t="shared" si="4"/>
        <v>6208326.9246419193</v>
      </c>
    </row>
    <row r="18" spans="1:22" x14ac:dyDescent="0.3">
      <c r="A18" s="28"/>
      <c r="B18" s="29"/>
      <c r="C18">
        <v>9</v>
      </c>
      <c r="D18" t="s">
        <v>15</v>
      </c>
      <c r="E18" s="1">
        <v>-93.662231445312997</v>
      </c>
      <c r="F18" s="1">
        <v>30.593326568603999</v>
      </c>
      <c r="G18" s="1">
        <v>39.795501708983998</v>
      </c>
      <c r="H18" s="27"/>
      <c r="I18" s="27"/>
      <c r="J18" s="27"/>
      <c r="K18" s="19">
        <v>40000</v>
      </c>
      <c r="L18" s="19">
        <v>4</v>
      </c>
      <c r="M18" s="19">
        <f t="shared" si="0"/>
        <v>160000</v>
      </c>
      <c r="N18" s="1">
        <f t="shared" si="1"/>
        <v>-14985957.03125008</v>
      </c>
      <c r="O18" s="1">
        <f t="shared" si="2"/>
        <v>4894932.2509766398</v>
      </c>
      <c r="P18" s="1">
        <f t="shared" si="3"/>
        <v>6367280.2734374395</v>
      </c>
      <c r="R18" t="s">
        <v>18</v>
      </c>
      <c r="S18" s="1">
        <v>-95.758464813232663</v>
      </c>
      <c r="T18" s="1">
        <v>38.81558672587083</v>
      </c>
      <c r="U18" s="1">
        <v>-0.40534888274970532</v>
      </c>
      <c r="V18" s="1">
        <f t="shared" si="4"/>
        <v>6206059.9772135196</v>
      </c>
    </row>
    <row r="19" spans="1:22" x14ac:dyDescent="0.3">
      <c r="A19" s="28"/>
      <c r="B19" s="29"/>
      <c r="C19">
        <v>10</v>
      </c>
      <c r="D19" t="s">
        <v>15</v>
      </c>
      <c r="E19" s="1">
        <v>-94.164665222167997</v>
      </c>
      <c r="F19" s="1">
        <v>24.449440002441001</v>
      </c>
      <c r="G19" s="1">
        <v>39.960464477538999</v>
      </c>
      <c r="H19" s="27"/>
      <c r="I19" s="27"/>
      <c r="J19" s="27"/>
      <c r="K19" s="19">
        <v>40000</v>
      </c>
      <c r="L19" s="19">
        <v>4</v>
      </c>
      <c r="M19" s="19">
        <f t="shared" si="0"/>
        <v>160000</v>
      </c>
      <c r="N19" s="1">
        <f t="shared" si="1"/>
        <v>-15066346.435546879</v>
      </c>
      <c r="O19" s="1">
        <f t="shared" si="2"/>
        <v>3911910.4003905603</v>
      </c>
      <c r="P19" s="1">
        <f t="shared" si="3"/>
        <v>6393674.3164062398</v>
      </c>
      <c r="R19" t="s">
        <v>17</v>
      </c>
      <c r="S19" s="1">
        <v>-95.273976643880161</v>
      </c>
      <c r="T19" s="1">
        <v>38.801901499430329</v>
      </c>
      <c r="U19" s="1">
        <v>-0.40726652614140396</v>
      </c>
      <c r="V19" s="1">
        <f t="shared" si="4"/>
        <v>6205820.8211262934</v>
      </c>
    </row>
    <row r="20" spans="1:22" x14ac:dyDescent="0.3">
      <c r="A20" s="28"/>
      <c r="B20" s="29"/>
      <c r="C20">
        <v>11</v>
      </c>
      <c r="D20" t="s">
        <v>15</v>
      </c>
      <c r="E20" s="1">
        <v>-92.108299255370994</v>
      </c>
      <c r="F20" s="1">
        <v>24.264951705933001</v>
      </c>
      <c r="G20" s="1">
        <v>39.54647064209</v>
      </c>
      <c r="H20" s="27"/>
      <c r="I20" s="27"/>
      <c r="J20" s="27"/>
      <c r="K20" s="19">
        <v>40000</v>
      </c>
      <c r="L20" s="19">
        <v>4</v>
      </c>
      <c r="M20" s="19">
        <f t="shared" si="0"/>
        <v>160000</v>
      </c>
      <c r="N20" s="1">
        <f t="shared" si="1"/>
        <v>-14737327.880859358</v>
      </c>
      <c r="O20" s="1">
        <f t="shared" si="2"/>
        <v>3882392.2729492802</v>
      </c>
      <c r="P20" s="1">
        <f t="shared" si="3"/>
        <v>6327435.3027344001</v>
      </c>
      <c r="R20" t="s">
        <v>16</v>
      </c>
      <c r="S20" s="1">
        <v>-94.516094207763487</v>
      </c>
      <c r="T20" s="1">
        <v>39.019138336181491</v>
      </c>
      <c r="U20" s="1">
        <v>-0.41283062597159759</v>
      </c>
      <c r="V20" s="1">
        <f t="shared" si="4"/>
        <v>6210489.5019531203</v>
      </c>
    </row>
    <row r="21" spans="1:22" x14ac:dyDescent="0.3">
      <c r="A21" s="28"/>
      <c r="B21" s="29"/>
      <c r="C21">
        <v>12</v>
      </c>
      <c r="D21" t="s">
        <v>15</v>
      </c>
      <c r="E21" s="1">
        <v>-96.500831604004006</v>
      </c>
      <c r="F21" s="1">
        <v>21.935558319091999</v>
      </c>
      <c r="G21" s="1">
        <v>36.939598083496001</v>
      </c>
      <c r="H21" s="27"/>
      <c r="I21" s="27"/>
      <c r="J21" s="27"/>
      <c r="K21" s="19">
        <v>40000</v>
      </c>
      <c r="L21" s="19">
        <v>4</v>
      </c>
      <c r="M21" s="19">
        <f t="shared" si="0"/>
        <v>160000</v>
      </c>
      <c r="N21" s="1">
        <f t="shared" si="1"/>
        <v>-15440133.056640642</v>
      </c>
      <c r="O21" s="1">
        <f t="shared" si="2"/>
        <v>3509689.3310547201</v>
      </c>
      <c r="P21" s="1">
        <f t="shared" si="3"/>
        <v>5910335.6933593601</v>
      </c>
      <c r="R21" t="s">
        <v>20</v>
      </c>
      <c r="S21" s="1">
        <v>-30.646249771118168</v>
      </c>
      <c r="T21" s="1">
        <v>155.08260091145848</v>
      </c>
      <c r="U21" s="1">
        <v>-5.0604103950628376</v>
      </c>
      <c r="V21" s="1">
        <f t="shared" si="4"/>
        <v>6210758.7687174408</v>
      </c>
    </row>
    <row r="22" spans="1:22" x14ac:dyDescent="0.3">
      <c r="A22" s="28"/>
      <c r="B22" s="29">
        <v>3</v>
      </c>
      <c r="C22">
        <v>13</v>
      </c>
      <c r="D22" t="s">
        <v>15</v>
      </c>
      <c r="E22" s="1">
        <v>-96.539283752440994</v>
      </c>
      <c r="F22" s="1">
        <v>18.868995666503999</v>
      </c>
      <c r="G22" s="1">
        <v>36.964084625243999</v>
      </c>
      <c r="H22" s="27">
        <f>SUM(N22:N27)/SUM(M22:M27)</f>
        <v>-94.217650095621664</v>
      </c>
      <c r="I22" s="27">
        <f>SUM(O22:O27)/SUM(M22:M27)</f>
        <v>23.549999872843337</v>
      </c>
      <c r="J22" s="27">
        <f>SUM(P22:P27)/SUM(M22:M27)</f>
        <v>38.81558672587083</v>
      </c>
      <c r="K22" s="19">
        <v>40000</v>
      </c>
      <c r="L22" s="19">
        <v>4</v>
      </c>
      <c r="M22" s="19">
        <f t="shared" si="0"/>
        <v>160000</v>
      </c>
      <c r="N22" s="1">
        <f t="shared" si="1"/>
        <v>-15446285.40039056</v>
      </c>
      <c r="O22" s="1">
        <f t="shared" si="2"/>
        <v>3019039.3066406399</v>
      </c>
      <c r="P22" s="1">
        <f t="shared" si="3"/>
        <v>5914253.5400390401</v>
      </c>
      <c r="R22" t="s">
        <v>19</v>
      </c>
      <c r="S22" s="1">
        <v>-31.209430058797331</v>
      </c>
      <c r="T22" s="1">
        <v>154.21932983398466</v>
      </c>
      <c r="U22" s="1">
        <v>-4.9414337122927767</v>
      </c>
      <c r="V22" s="1">
        <f t="shared" si="4"/>
        <v>6209841.8172200536</v>
      </c>
    </row>
    <row r="23" spans="1:22" x14ac:dyDescent="0.3">
      <c r="A23" s="28"/>
      <c r="B23" s="29"/>
      <c r="C23">
        <v>14</v>
      </c>
      <c r="D23" t="s">
        <v>15</v>
      </c>
      <c r="E23" s="1">
        <v>-92.103675842285</v>
      </c>
      <c r="F23" s="1">
        <v>24.264358520508001</v>
      </c>
      <c r="G23" s="1">
        <v>39.512161254882997</v>
      </c>
      <c r="H23" s="27"/>
      <c r="I23" s="27"/>
      <c r="J23" s="27"/>
      <c r="K23" s="19">
        <v>40000</v>
      </c>
      <c r="L23" s="19">
        <v>4</v>
      </c>
      <c r="M23" s="19">
        <f t="shared" si="0"/>
        <v>160000</v>
      </c>
      <c r="N23" s="1">
        <f t="shared" si="1"/>
        <v>-14736588.134765601</v>
      </c>
      <c r="O23" s="1">
        <f t="shared" si="2"/>
        <v>3882297.3632812803</v>
      </c>
      <c r="P23" s="1">
        <f t="shared" si="3"/>
        <v>6321945.8007812798</v>
      </c>
      <c r="R23" t="s">
        <v>18</v>
      </c>
      <c r="S23" s="1">
        <v>-31.205845832824501</v>
      </c>
      <c r="T23" s="1">
        <v>154.27341206868499</v>
      </c>
      <c r="U23" s="1">
        <v>-4.9437343533373923</v>
      </c>
      <c r="V23" s="1">
        <f t="shared" si="4"/>
        <v>6210493.8761393325</v>
      </c>
    </row>
    <row r="24" spans="1:22" x14ac:dyDescent="0.3">
      <c r="A24" s="28"/>
      <c r="B24" s="29"/>
      <c r="C24">
        <v>15</v>
      </c>
      <c r="D24" t="s">
        <v>15</v>
      </c>
      <c r="E24" s="1">
        <v>-94.009986877440994</v>
      </c>
      <c r="F24" s="1">
        <v>27.516635894775</v>
      </c>
      <c r="G24" s="1">
        <v>39.97057723999</v>
      </c>
      <c r="H24" s="27"/>
      <c r="I24" s="27"/>
      <c r="J24" s="27"/>
      <c r="K24" s="19">
        <v>40000</v>
      </c>
      <c r="L24" s="19">
        <v>4</v>
      </c>
      <c r="M24" s="19">
        <f t="shared" si="0"/>
        <v>160000</v>
      </c>
      <c r="N24" s="1">
        <f t="shared" si="1"/>
        <v>-15041597.90039056</v>
      </c>
      <c r="O24" s="1">
        <f t="shared" si="2"/>
        <v>4402661.7431640001</v>
      </c>
      <c r="P24" s="1">
        <f t="shared" si="3"/>
        <v>6395292.3583984002</v>
      </c>
      <c r="R24" t="s">
        <v>17</v>
      </c>
      <c r="S24" s="1">
        <v>-31.209428151448328</v>
      </c>
      <c r="T24" s="1">
        <v>154.21927897135436</v>
      </c>
      <c r="U24" s="1">
        <v>-4.941432384566057</v>
      </c>
      <c r="V24" s="1">
        <f t="shared" si="4"/>
        <v>6209837.1378580807</v>
      </c>
    </row>
    <row r="25" spans="1:22" x14ac:dyDescent="0.3">
      <c r="A25" s="28"/>
      <c r="B25" s="29"/>
      <c r="C25">
        <v>16</v>
      </c>
      <c r="D25" t="s">
        <v>15</v>
      </c>
      <c r="E25" s="1">
        <v>-94.010063171387003</v>
      </c>
      <c r="F25" s="1">
        <v>27.517255783081001</v>
      </c>
      <c r="G25" s="1">
        <v>39.970561981201001</v>
      </c>
      <c r="H25" s="27"/>
      <c r="I25" s="27"/>
      <c r="J25" s="27"/>
      <c r="K25" s="19">
        <v>40000</v>
      </c>
      <c r="L25" s="19">
        <v>4</v>
      </c>
      <c r="M25" s="19">
        <f t="shared" si="0"/>
        <v>160000</v>
      </c>
      <c r="N25" s="1">
        <f t="shared" si="1"/>
        <v>-15041610.10742192</v>
      </c>
      <c r="O25" s="1">
        <f t="shared" si="2"/>
        <v>4402760.9252929604</v>
      </c>
      <c r="P25" s="1">
        <f t="shared" si="3"/>
        <v>6395289.9169921605</v>
      </c>
      <c r="R25" t="s">
        <v>16</v>
      </c>
      <c r="S25" s="1">
        <v>-30.64623483022033</v>
      </c>
      <c r="T25" s="1">
        <v>155.08257802327483</v>
      </c>
      <c r="U25" s="1">
        <v>-5.0604121153032313</v>
      </c>
      <c r="V25" s="1">
        <f t="shared" si="4"/>
        <v>6210746.5616862141</v>
      </c>
    </row>
    <row r="26" spans="1:22" x14ac:dyDescent="0.3">
      <c r="A26" s="28"/>
      <c r="B26" s="29"/>
      <c r="C26">
        <v>17</v>
      </c>
      <c r="D26" t="s">
        <v>15</v>
      </c>
      <c r="E26" s="1">
        <v>-92.103675842285</v>
      </c>
      <c r="F26" s="1">
        <v>24.264371871948001</v>
      </c>
      <c r="G26" s="1">
        <v>39.512084960937997</v>
      </c>
      <c r="H26" s="27"/>
      <c r="I26" s="27"/>
      <c r="J26" s="27"/>
      <c r="K26" s="19">
        <v>40000</v>
      </c>
      <c r="L26" s="19">
        <v>4</v>
      </c>
      <c r="M26" s="19">
        <f t="shared" si="0"/>
        <v>160000</v>
      </c>
      <c r="N26" s="1">
        <f t="shared" si="1"/>
        <v>-14736588.134765601</v>
      </c>
      <c r="O26" s="1">
        <f t="shared" si="2"/>
        <v>3882299.4995116801</v>
      </c>
      <c r="P26" s="1">
        <f t="shared" si="3"/>
        <v>6321933.5937500792</v>
      </c>
    </row>
    <row r="27" spans="1:22" x14ac:dyDescent="0.3">
      <c r="A27" s="28"/>
      <c r="B27" s="29"/>
      <c r="C27">
        <v>18</v>
      </c>
      <c r="D27" t="s">
        <v>15</v>
      </c>
      <c r="E27" s="1">
        <v>-96.539215087890994</v>
      </c>
      <c r="F27" s="1">
        <v>18.868381500243999</v>
      </c>
      <c r="G27" s="1">
        <v>36.964050292968999</v>
      </c>
      <c r="H27" s="27"/>
      <c r="I27" s="27"/>
      <c r="J27" s="27"/>
      <c r="K27" s="19">
        <v>40000</v>
      </c>
      <c r="L27" s="19">
        <v>4</v>
      </c>
      <c r="M27" s="19">
        <f t="shared" si="0"/>
        <v>160000</v>
      </c>
      <c r="N27" s="1">
        <f t="shared" si="1"/>
        <v>-15446274.41406256</v>
      </c>
      <c r="O27" s="1">
        <f t="shared" si="2"/>
        <v>3018941.0400390397</v>
      </c>
      <c r="P27" s="1">
        <f t="shared" si="3"/>
        <v>5914248.04687504</v>
      </c>
    </row>
    <row r="28" spans="1:22" x14ac:dyDescent="0.3">
      <c r="A28" s="28"/>
      <c r="B28" s="29">
        <v>4</v>
      </c>
      <c r="C28">
        <v>19</v>
      </c>
      <c r="D28" t="s">
        <v>15</v>
      </c>
      <c r="E28" s="1">
        <v>-96.500869750977003</v>
      </c>
      <c r="F28" s="1">
        <v>21.936067581176999</v>
      </c>
      <c r="G28" s="1">
        <v>36.939456939697003</v>
      </c>
      <c r="H28" s="27">
        <f>SUM(N28:N33)/SUM(M28:M33)</f>
        <v>-94.228468577066991</v>
      </c>
      <c r="I28" s="27">
        <f>SUM(O28:O33)/SUM(M28:M33)</f>
        <v>23.550014813741164</v>
      </c>
      <c r="J28" s="27">
        <f>SUM(P28:P33)/SUM(M28:M33)</f>
        <v>38.8019014994305</v>
      </c>
      <c r="K28" s="19">
        <v>40000</v>
      </c>
      <c r="L28" s="19">
        <v>4</v>
      </c>
      <c r="M28" s="19">
        <f t="shared" si="0"/>
        <v>160000</v>
      </c>
      <c r="N28" s="1">
        <f t="shared" si="1"/>
        <v>-15440139.160156321</v>
      </c>
      <c r="O28" s="1">
        <f t="shared" si="2"/>
        <v>3509770.8129883199</v>
      </c>
      <c r="P28" s="1">
        <f t="shared" si="3"/>
        <v>5910313.1103515206</v>
      </c>
    </row>
    <row r="29" spans="1:22" x14ac:dyDescent="0.3">
      <c r="A29" s="28"/>
      <c r="B29" s="29"/>
      <c r="C29">
        <v>20</v>
      </c>
      <c r="D29" t="s">
        <v>15</v>
      </c>
      <c r="E29" s="1">
        <v>-92.108299255370994</v>
      </c>
      <c r="F29" s="1">
        <v>24.264986038208001</v>
      </c>
      <c r="G29" s="1">
        <v>39.546264648437997</v>
      </c>
      <c r="H29" s="27"/>
      <c r="I29" s="27"/>
      <c r="J29" s="27"/>
      <c r="K29" s="19">
        <v>40000</v>
      </c>
      <c r="L29" s="19">
        <v>4</v>
      </c>
      <c r="M29" s="19">
        <f t="shared" si="0"/>
        <v>160000</v>
      </c>
      <c r="N29" s="1">
        <f t="shared" si="1"/>
        <v>-14737327.880859358</v>
      </c>
      <c r="O29" s="1">
        <f t="shared" si="2"/>
        <v>3882397.7661132803</v>
      </c>
      <c r="P29" s="1">
        <f t="shared" si="3"/>
        <v>6327402.3437500792</v>
      </c>
    </row>
    <row r="30" spans="1:22" x14ac:dyDescent="0.3">
      <c r="A30" s="28"/>
      <c r="B30" s="29"/>
      <c r="C30">
        <v>21</v>
      </c>
      <c r="D30" t="s">
        <v>15</v>
      </c>
      <c r="E30" s="1">
        <v>-94.164627075195</v>
      </c>
      <c r="F30" s="1">
        <v>24.44899559021</v>
      </c>
      <c r="G30" s="1">
        <v>39.960315704346002</v>
      </c>
      <c r="H30" s="27"/>
      <c r="I30" s="27"/>
      <c r="J30" s="27"/>
      <c r="K30" s="19">
        <v>40000</v>
      </c>
      <c r="L30" s="19">
        <v>4</v>
      </c>
      <c r="M30" s="19">
        <f t="shared" si="0"/>
        <v>160000</v>
      </c>
      <c r="N30" s="1">
        <f t="shared" si="1"/>
        <v>-15066340.3320312</v>
      </c>
      <c r="O30" s="1">
        <f t="shared" si="2"/>
        <v>3911839.2944335998</v>
      </c>
      <c r="P30" s="1">
        <f t="shared" si="3"/>
        <v>6393650.51269536</v>
      </c>
    </row>
    <row r="31" spans="1:22" x14ac:dyDescent="0.3">
      <c r="A31" s="28"/>
      <c r="B31" s="29"/>
      <c r="C31">
        <v>22</v>
      </c>
      <c r="D31" t="s">
        <v>15</v>
      </c>
      <c r="E31" s="1">
        <v>-93.662254333495994</v>
      </c>
      <c r="F31" s="1">
        <v>30.593637466431002</v>
      </c>
      <c r="G31" s="1">
        <v>39.795417785645</v>
      </c>
      <c r="H31" s="27"/>
      <c r="I31" s="27"/>
      <c r="J31" s="27"/>
      <c r="K31" s="19">
        <v>40000</v>
      </c>
      <c r="L31" s="19">
        <v>4</v>
      </c>
      <c r="M31" s="19">
        <f t="shared" si="0"/>
        <v>160000</v>
      </c>
      <c r="N31" s="1">
        <f t="shared" si="1"/>
        <v>-14985960.693359358</v>
      </c>
      <c r="O31" s="1">
        <f t="shared" si="2"/>
        <v>4894981.9946289603</v>
      </c>
      <c r="P31" s="1">
        <f t="shared" si="3"/>
        <v>6367266.8457032004</v>
      </c>
    </row>
    <row r="32" spans="1:22" x14ac:dyDescent="0.3">
      <c r="A32" s="28"/>
      <c r="B32" s="29"/>
      <c r="C32">
        <v>23</v>
      </c>
      <c r="D32" t="s">
        <v>15</v>
      </c>
      <c r="E32" s="1">
        <v>-92.669136047362997</v>
      </c>
      <c r="F32" s="1">
        <v>24.253849029541001</v>
      </c>
      <c r="G32" s="1">
        <v>39.520950317382997</v>
      </c>
      <c r="H32" s="27"/>
      <c r="I32" s="27"/>
      <c r="J32" s="27"/>
      <c r="K32" s="19">
        <v>40000</v>
      </c>
      <c r="L32" s="19">
        <v>4</v>
      </c>
      <c r="M32" s="19">
        <f t="shared" si="0"/>
        <v>160000</v>
      </c>
      <c r="N32" s="1">
        <f t="shared" si="1"/>
        <v>-14827061.76757808</v>
      </c>
      <c r="O32" s="1">
        <f t="shared" si="2"/>
        <v>3880615.8447265602</v>
      </c>
      <c r="P32" s="1">
        <f t="shared" si="3"/>
        <v>6323352.0507812798</v>
      </c>
    </row>
    <row r="33" spans="1:16" x14ac:dyDescent="0.3">
      <c r="A33" s="28"/>
      <c r="B33" s="29"/>
      <c r="C33">
        <v>24</v>
      </c>
      <c r="D33" t="s">
        <v>15</v>
      </c>
      <c r="E33" s="1">
        <v>-96.265625</v>
      </c>
      <c r="F33" s="1">
        <v>15.80255317688</v>
      </c>
      <c r="G33" s="1">
        <v>37.049003601073998</v>
      </c>
      <c r="H33" s="27"/>
      <c r="I33" s="27"/>
      <c r="J33" s="27"/>
      <c r="K33" s="19">
        <v>40000</v>
      </c>
      <c r="L33" s="19">
        <v>4</v>
      </c>
      <c r="M33" s="19">
        <f t="shared" si="0"/>
        <v>160000</v>
      </c>
      <c r="N33" s="1">
        <f t="shared" si="1"/>
        <v>-15402500</v>
      </c>
      <c r="O33" s="1">
        <f t="shared" si="2"/>
        <v>2528408.5083007999</v>
      </c>
      <c r="P33" s="1">
        <f t="shared" si="3"/>
        <v>5927840.5761718396</v>
      </c>
    </row>
    <row r="34" spans="1:16" x14ac:dyDescent="0.3">
      <c r="A34" s="28"/>
      <c r="B34" s="29">
        <v>5</v>
      </c>
      <c r="C34">
        <v>25</v>
      </c>
      <c r="D34" t="s">
        <v>15</v>
      </c>
      <c r="E34" s="1">
        <v>-98.722007751465</v>
      </c>
      <c r="F34" s="1">
        <v>24.428237915038999</v>
      </c>
      <c r="G34" s="1">
        <v>36.455001831055</v>
      </c>
      <c r="H34" s="27">
        <f>SUM(N34:N39)/SUM(M34:M39)</f>
        <v>-92.528074900309321</v>
      </c>
      <c r="I34" s="27">
        <f>SUM(O34:O39)/SUM(M34:M39)</f>
        <v>23.550015131632332</v>
      </c>
      <c r="J34" s="27">
        <f>SUM(P34:P39)/SUM(M34:M39)</f>
        <v>39.019137700398673</v>
      </c>
      <c r="K34" s="19">
        <v>40000</v>
      </c>
      <c r="L34" s="19">
        <v>4</v>
      </c>
      <c r="M34" s="19">
        <f t="shared" si="0"/>
        <v>160000</v>
      </c>
      <c r="N34" s="1">
        <f t="shared" si="1"/>
        <v>-15795521.240234399</v>
      </c>
      <c r="O34" s="1">
        <f t="shared" si="2"/>
        <v>3908518.0664062398</v>
      </c>
      <c r="P34" s="1">
        <f t="shared" si="3"/>
        <v>5832800.2929688003</v>
      </c>
    </row>
    <row r="35" spans="1:16" x14ac:dyDescent="0.3">
      <c r="A35" s="28"/>
      <c r="B35" s="29"/>
      <c r="C35">
        <v>26</v>
      </c>
      <c r="D35" t="s">
        <v>15</v>
      </c>
      <c r="E35" s="1">
        <v>-90.252006530762003</v>
      </c>
      <c r="F35" s="1">
        <v>25.417442321776999</v>
      </c>
      <c r="G35" s="1">
        <v>39.50658416748</v>
      </c>
      <c r="H35" s="27"/>
      <c r="I35" s="27"/>
      <c r="J35" s="27"/>
      <c r="K35" s="19">
        <v>40000</v>
      </c>
      <c r="L35" s="19">
        <v>4</v>
      </c>
      <c r="M35" s="19">
        <f t="shared" si="0"/>
        <v>160000</v>
      </c>
      <c r="N35" s="1">
        <f t="shared" si="1"/>
        <v>-14440321.04492192</v>
      </c>
      <c r="O35" s="1">
        <f t="shared" si="2"/>
        <v>4066790.7714843201</v>
      </c>
      <c r="P35" s="1">
        <f t="shared" si="3"/>
        <v>6321053.4667967996</v>
      </c>
    </row>
    <row r="36" spans="1:16" x14ac:dyDescent="0.3">
      <c r="A36" s="28"/>
      <c r="B36" s="29"/>
      <c r="C36">
        <v>27</v>
      </c>
      <c r="D36" t="s">
        <v>15</v>
      </c>
      <c r="E36" s="1">
        <v>-97.071159362792997</v>
      </c>
      <c r="F36" s="1">
        <v>20.804368972778001</v>
      </c>
      <c r="G36" s="1">
        <v>40.410457611083999</v>
      </c>
      <c r="H36" s="27"/>
      <c r="I36" s="27"/>
      <c r="J36" s="27"/>
      <c r="K36" s="19">
        <v>40000</v>
      </c>
      <c r="L36" s="19">
        <v>4</v>
      </c>
      <c r="M36" s="19">
        <f t="shared" si="0"/>
        <v>160000</v>
      </c>
      <c r="N36" s="1">
        <f t="shared" si="1"/>
        <v>-15531385.498046879</v>
      </c>
      <c r="O36" s="1">
        <f t="shared" si="2"/>
        <v>3328699.03564448</v>
      </c>
      <c r="P36" s="1">
        <f t="shared" si="3"/>
        <v>6465673.2177734394</v>
      </c>
    </row>
    <row r="37" spans="1:16" x14ac:dyDescent="0.3">
      <c r="A37" s="28"/>
      <c r="B37" s="29"/>
      <c r="C37">
        <v>28</v>
      </c>
      <c r="D37" t="s">
        <v>15</v>
      </c>
      <c r="E37" s="1">
        <v>-82.934814453125</v>
      </c>
      <c r="F37" s="1">
        <v>33.630096435547003</v>
      </c>
      <c r="G37" s="1">
        <v>41.644821166992003</v>
      </c>
      <c r="H37" s="27"/>
      <c r="I37" s="27"/>
      <c r="J37" s="27"/>
      <c r="K37" s="19">
        <v>40000</v>
      </c>
      <c r="L37" s="19">
        <v>4</v>
      </c>
      <c r="M37" s="19">
        <f t="shared" si="0"/>
        <v>160000</v>
      </c>
      <c r="N37" s="1">
        <f t="shared" si="1"/>
        <v>-13269570.3125</v>
      </c>
      <c r="O37" s="1">
        <f t="shared" si="2"/>
        <v>5380815.4296875205</v>
      </c>
      <c r="P37" s="1">
        <f t="shared" si="3"/>
        <v>6663171.3867187202</v>
      </c>
    </row>
    <row r="38" spans="1:16" x14ac:dyDescent="0.3">
      <c r="A38" s="28"/>
      <c r="B38" s="29"/>
      <c r="C38">
        <v>29</v>
      </c>
      <c r="D38" t="s">
        <v>15</v>
      </c>
      <c r="E38" s="1">
        <v>-98.242698669434006</v>
      </c>
      <c r="F38" s="1">
        <v>23.68025970459</v>
      </c>
      <c r="G38" s="1">
        <v>37.383560180663999</v>
      </c>
      <c r="H38" s="27"/>
      <c r="I38" s="27"/>
      <c r="J38" s="27"/>
      <c r="K38" s="19">
        <v>40000</v>
      </c>
      <c r="L38" s="19">
        <v>4</v>
      </c>
      <c r="M38" s="19">
        <f t="shared" si="0"/>
        <v>160000</v>
      </c>
      <c r="N38" s="1">
        <f t="shared" si="1"/>
        <v>-15718831.78710944</v>
      </c>
      <c r="O38" s="1">
        <f t="shared" si="2"/>
        <v>3788841.5527344001</v>
      </c>
      <c r="P38" s="1">
        <f t="shared" si="3"/>
        <v>5981369.6289062398</v>
      </c>
    </row>
    <row r="39" spans="1:16" x14ac:dyDescent="0.3">
      <c r="A39" s="28"/>
      <c r="B39" s="29"/>
      <c r="C39">
        <v>30</v>
      </c>
      <c r="D39" t="s">
        <v>15</v>
      </c>
      <c r="E39" s="1">
        <v>-87.945762634277003</v>
      </c>
      <c r="F39" s="1">
        <v>13.339685440063</v>
      </c>
      <c r="G39" s="1">
        <v>38.714401245117003</v>
      </c>
      <c r="H39" s="27"/>
      <c r="I39" s="27"/>
      <c r="J39" s="27"/>
      <c r="K39" s="19">
        <v>40000</v>
      </c>
      <c r="L39" s="19">
        <v>4</v>
      </c>
      <c r="M39" s="19">
        <f t="shared" si="0"/>
        <v>160000</v>
      </c>
      <c r="N39" s="1">
        <f t="shared" si="1"/>
        <v>-14071322.021484321</v>
      </c>
      <c r="O39" s="1">
        <f t="shared" si="2"/>
        <v>2134349.6704100799</v>
      </c>
      <c r="P39" s="1">
        <f t="shared" si="3"/>
        <v>6194304.1992187202</v>
      </c>
    </row>
    <row r="40" spans="1:16" x14ac:dyDescent="0.3">
      <c r="A40" s="28">
        <v>2</v>
      </c>
      <c r="B40" s="29">
        <v>1</v>
      </c>
      <c r="C40">
        <v>1</v>
      </c>
      <c r="D40" t="s">
        <v>15</v>
      </c>
      <c r="E40" s="1">
        <v>-91.622337341309006</v>
      </c>
      <c r="F40" s="1">
        <v>39.529655456542997</v>
      </c>
      <c r="G40" s="1">
        <v>-33.336978912353999</v>
      </c>
      <c r="H40" s="27">
        <f>SUM(N40:N45)/SUM(M40:M45)</f>
        <v>-94.516096750895315</v>
      </c>
      <c r="I40" s="27">
        <f>SUM(O40:O45)/SUM(M40:M45)</f>
        <v>39.019215265909999</v>
      </c>
      <c r="J40" s="27">
        <f>SUM(P40:P45)/SUM(M40:M45)</f>
        <v>-23.55001449584983</v>
      </c>
      <c r="K40" s="19">
        <v>40000</v>
      </c>
      <c r="L40" s="19">
        <v>4</v>
      </c>
      <c r="M40" s="19">
        <f t="shared" si="0"/>
        <v>160000</v>
      </c>
      <c r="N40" s="1">
        <f t="shared" si="1"/>
        <v>-14659573.97460944</v>
      </c>
      <c r="O40" s="1">
        <f t="shared" si="2"/>
        <v>6324744.8730468797</v>
      </c>
      <c r="P40" s="1">
        <f t="shared" si="3"/>
        <v>-5333916.6259766398</v>
      </c>
    </row>
    <row r="41" spans="1:16" x14ac:dyDescent="0.3">
      <c r="A41" s="28"/>
      <c r="B41" s="29"/>
      <c r="C41">
        <v>2</v>
      </c>
      <c r="D41" t="s">
        <v>15</v>
      </c>
      <c r="E41" s="1">
        <v>-101.674758911133</v>
      </c>
      <c r="F41" s="1">
        <v>37.383640289307003</v>
      </c>
      <c r="G41" s="1">
        <v>-24.26642036438</v>
      </c>
      <c r="H41" s="27"/>
      <c r="I41" s="27"/>
      <c r="J41" s="27"/>
      <c r="K41" s="19">
        <v>40000</v>
      </c>
      <c r="L41" s="19">
        <v>4</v>
      </c>
      <c r="M41" s="19">
        <f t="shared" si="0"/>
        <v>160000</v>
      </c>
      <c r="N41" s="1">
        <f t="shared" si="1"/>
        <v>-16267961.42578128</v>
      </c>
      <c r="O41" s="1">
        <f t="shared" si="2"/>
        <v>5981382.4462891202</v>
      </c>
      <c r="P41" s="1">
        <f t="shared" si="3"/>
        <v>-3882627.2583007999</v>
      </c>
    </row>
    <row r="42" spans="1:16" x14ac:dyDescent="0.3">
      <c r="A42" s="28"/>
      <c r="B42" s="29"/>
      <c r="C42">
        <v>3</v>
      </c>
      <c r="D42" t="s">
        <v>15</v>
      </c>
      <c r="E42" s="1">
        <v>-86.611267089844006</v>
      </c>
      <c r="F42" s="1">
        <v>40.829643249512003</v>
      </c>
      <c r="G42" s="1">
        <v>-13.04663848877</v>
      </c>
      <c r="H42" s="27"/>
      <c r="I42" s="27"/>
      <c r="J42" s="27"/>
      <c r="K42" s="19">
        <v>40000</v>
      </c>
      <c r="L42" s="19">
        <v>4</v>
      </c>
      <c r="M42" s="19">
        <f t="shared" ref="M42:M73" si="5">L42*K42</f>
        <v>160000</v>
      </c>
      <c r="N42" s="1">
        <f t="shared" ref="N42:N73" si="6">M42*E42</f>
        <v>-13857802.734375041</v>
      </c>
      <c r="O42" s="1">
        <f t="shared" ref="O42:O73" si="7">F42*M42</f>
        <v>6532742.9199219206</v>
      </c>
      <c r="P42" s="1">
        <f t="shared" ref="P42:P73" si="8">G42*M42</f>
        <v>-2087462.1582032</v>
      </c>
    </row>
    <row r="43" spans="1:16" x14ac:dyDescent="0.3">
      <c r="A43" s="28"/>
      <c r="B43" s="29"/>
      <c r="C43">
        <v>4</v>
      </c>
      <c r="D43" t="s">
        <v>15</v>
      </c>
      <c r="E43" s="1">
        <v>-97.448936462402003</v>
      </c>
      <c r="F43" s="1">
        <v>39.408973693847997</v>
      </c>
      <c r="G43" s="1">
        <v>-25.869230270386002</v>
      </c>
      <c r="H43" s="27"/>
      <c r="I43" s="27"/>
      <c r="J43" s="27"/>
      <c r="K43" s="19">
        <v>40000</v>
      </c>
      <c r="L43" s="19">
        <v>4</v>
      </c>
      <c r="M43" s="19">
        <f t="shared" si="5"/>
        <v>160000</v>
      </c>
      <c r="N43" s="1">
        <f t="shared" si="6"/>
        <v>-15591829.833984321</v>
      </c>
      <c r="O43" s="1">
        <f t="shared" si="7"/>
        <v>6305435.7910156799</v>
      </c>
      <c r="P43" s="1">
        <f t="shared" si="8"/>
        <v>-4139076.8432617602</v>
      </c>
    </row>
    <row r="44" spans="1:16" x14ac:dyDescent="0.3">
      <c r="A44" s="28"/>
      <c r="B44" s="29"/>
      <c r="C44">
        <v>5</v>
      </c>
      <c r="D44" t="s">
        <v>15</v>
      </c>
      <c r="E44" s="1">
        <v>-90.639549255370994</v>
      </c>
      <c r="F44" s="1">
        <v>39.506717681885</v>
      </c>
      <c r="G44" s="1">
        <v>-22.535179138183999</v>
      </c>
      <c r="H44" s="27"/>
      <c r="I44" s="27"/>
      <c r="J44" s="27"/>
      <c r="K44" s="19">
        <v>40000</v>
      </c>
      <c r="L44" s="19">
        <v>4</v>
      </c>
      <c r="M44" s="19">
        <f t="shared" si="5"/>
        <v>160000</v>
      </c>
      <c r="N44" s="1">
        <f t="shared" si="6"/>
        <v>-14502327.880859358</v>
      </c>
      <c r="O44" s="1">
        <f t="shared" si="7"/>
        <v>6321074.8291015998</v>
      </c>
      <c r="P44" s="1">
        <f t="shared" si="8"/>
        <v>-3605628.6621094397</v>
      </c>
    </row>
    <row r="45" spans="1:16" x14ac:dyDescent="0.3">
      <c r="A45" s="28"/>
      <c r="B45" s="29"/>
      <c r="C45">
        <v>6</v>
      </c>
      <c r="D45" t="s">
        <v>15</v>
      </c>
      <c r="E45" s="1">
        <v>-99.099731445312997</v>
      </c>
      <c r="F45" s="1">
        <v>37.456661224365</v>
      </c>
      <c r="G45" s="1">
        <v>-22.245639801025</v>
      </c>
      <c r="H45" s="27"/>
      <c r="I45" s="27"/>
      <c r="J45" s="27"/>
      <c r="K45" s="19">
        <v>40000</v>
      </c>
      <c r="L45" s="19">
        <v>4</v>
      </c>
      <c r="M45" s="19">
        <f t="shared" si="5"/>
        <v>160000</v>
      </c>
      <c r="N45" s="1">
        <f t="shared" si="6"/>
        <v>-15855957.03125008</v>
      </c>
      <c r="O45" s="1">
        <f t="shared" si="7"/>
        <v>5993065.7958984002</v>
      </c>
      <c r="P45" s="1">
        <f t="shared" si="8"/>
        <v>-3559302.3681640001</v>
      </c>
    </row>
    <row r="46" spans="1:16" x14ac:dyDescent="0.3">
      <c r="A46" s="28"/>
      <c r="B46" s="29">
        <v>2</v>
      </c>
      <c r="C46">
        <v>7</v>
      </c>
      <c r="D46" t="s">
        <v>15</v>
      </c>
      <c r="E46" s="1">
        <v>-97.093849182129006</v>
      </c>
      <c r="F46" s="1">
        <v>37.044971466063998</v>
      </c>
      <c r="G46" s="1">
        <v>-31.137561798096002</v>
      </c>
      <c r="H46" s="27">
        <f>SUM(N46:N51)/SUM(M46:M51)</f>
        <v>-95.27397791544584</v>
      </c>
      <c r="I46" s="27">
        <f>SUM(O46:O51)/SUM(M46:M51)</f>
        <v>38.802043279012167</v>
      </c>
      <c r="J46" s="27">
        <f>SUM(P46:P51)/SUM(M46:M51)</f>
        <v>-23.550014495849663</v>
      </c>
      <c r="K46" s="19">
        <v>40000</v>
      </c>
      <c r="L46" s="19">
        <v>4</v>
      </c>
      <c r="M46" s="19">
        <f t="shared" si="5"/>
        <v>160000</v>
      </c>
      <c r="N46" s="1">
        <f t="shared" si="6"/>
        <v>-15535015.869140642</v>
      </c>
      <c r="O46" s="1">
        <f t="shared" si="7"/>
        <v>5927195.4345702399</v>
      </c>
      <c r="P46" s="1">
        <f t="shared" si="8"/>
        <v>-4982009.88769536</v>
      </c>
    </row>
    <row r="47" spans="1:16" x14ac:dyDescent="0.3">
      <c r="A47" s="28"/>
      <c r="B47" s="29"/>
      <c r="C47">
        <v>8</v>
      </c>
      <c r="D47" t="s">
        <v>15</v>
      </c>
      <c r="E47" s="1">
        <v>-92.939743041992003</v>
      </c>
      <c r="F47" s="1">
        <v>39.521129608153998</v>
      </c>
      <c r="G47" s="1">
        <v>-23.165422439575</v>
      </c>
      <c r="H47" s="27"/>
      <c r="I47" s="27"/>
      <c r="J47" s="27"/>
      <c r="K47" s="19">
        <v>40000</v>
      </c>
      <c r="L47" s="19">
        <v>4</v>
      </c>
      <c r="M47" s="19">
        <f t="shared" si="5"/>
        <v>160000</v>
      </c>
      <c r="N47" s="1">
        <f t="shared" si="6"/>
        <v>-14870358.88671872</v>
      </c>
      <c r="O47" s="1">
        <f t="shared" si="7"/>
        <v>6323380.73730464</v>
      </c>
      <c r="P47" s="1">
        <f t="shared" si="8"/>
        <v>-3706467.5903320001</v>
      </c>
    </row>
    <row r="48" spans="1:16" x14ac:dyDescent="0.3">
      <c r="A48" s="28"/>
      <c r="B48" s="29"/>
      <c r="C48">
        <v>9</v>
      </c>
      <c r="D48" t="s">
        <v>15</v>
      </c>
      <c r="E48" s="1">
        <v>-94.490425109862997</v>
      </c>
      <c r="F48" s="1">
        <v>39.799625396728999</v>
      </c>
      <c r="G48" s="1">
        <v>-16.347053527831999</v>
      </c>
      <c r="H48" s="27"/>
      <c r="I48" s="27"/>
      <c r="J48" s="27"/>
      <c r="K48" s="19">
        <v>40000</v>
      </c>
      <c r="L48" s="19">
        <v>4</v>
      </c>
      <c r="M48" s="19">
        <f t="shared" si="5"/>
        <v>160000</v>
      </c>
      <c r="N48" s="1">
        <f t="shared" si="6"/>
        <v>-15118468.01757808</v>
      </c>
      <c r="O48" s="1">
        <f t="shared" si="7"/>
        <v>6367940.0634766398</v>
      </c>
      <c r="P48" s="1">
        <f t="shared" si="8"/>
        <v>-2615528.5644531199</v>
      </c>
    </row>
    <row r="49" spans="1:16" x14ac:dyDescent="0.3">
      <c r="A49" s="28"/>
      <c r="B49" s="29"/>
      <c r="C49">
        <v>10</v>
      </c>
      <c r="D49" t="s">
        <v>15</v>
      </c>
      <c r="E49" s="1">
        <v>-95.574691772460994</v>
      </c>
      <c r="F49" s="1">
        <v>39.321067810058999</v>
      </c>
      <c r="G49" s="1">
        <v>-22.691005706786999</v>
      </c>
      <c r="H49" s="27"/>
      <c r="I49" s="27"/>
      <c r="J49" s="27"/>
      <c r="K49" s="19">
        <v>40000</v>
      </c>
      <c r="L49" s="19">
        <v>4</v>
      </c>
      <c r="M49" s="19">
        <f t="shared" si="5"/>
        <v>160000</v>
      </c>
      <c r="N49" s="1">
        <f t="shared" si="6"/>
        <v>-15291950.683593759</v>
      </c>
      <c r="O49" s="1">
        <f t="shared" si="7"/>
        <v>6291370.8496094402</v>
      </c>
      <c r="P49" s="1">
        <f t="shared" si="8"/>
        <v>-3630560.9130859198</v>
      </c>
    </row>
    <row r="50" spans="1:16" x14ac:dyDescent="0.3">
      <c r="A50" s="28"/>
      <c r="B50" s="29"/>
      <c r="C50">
        <v>11</v>
      </c>
      <c r="D50" t="s">
        <v>15</v>
      </c>
      <c r="E50" s="1">
        <v>-93.634292602539006</v>
      </c>
      <c r="F50" s="1">
        <v>39.54647064209</v>
      </c>
      <c r="G50" s="1">
        <v>-22.754156112671001</v>
      </c>
      <c r="H50" s="27"/>
      <c r="I50" s="27"/>
      <c r="J50" s="27"/>
      <c r="K50" s="19">
        <v>40000</v>
      </c>
      <c r="L50" s="19">
        <v>4</v>
      </c>
      <c r="M50" s="19">
        <f t="shared" si="5"/>
        <v>160000</v>
      </c>
      <c r="N50" s="1">
        <f t="shared" si="6"/>
        <v>-14981486.816406241</v>
      </c>
      <c r="O50" s="1">
        <f t="shared" si="7"/>
        <v>6327435.3027344001</v>
      </c>
      <c r="P50" s="1">
        <f t="shared" si="8"/>
        <v>-3640664.97802736</v>
      </c>
    </row>
    <row r="51" spans="1:16" x14ac:dyDescent="0.3">
      <c r="A51" s="28"/>
      <c r="B51" s="29"/>
      <c r="C51">
        <v>12</v>
      </c>
      <c r="D51" t="s">
        <v>15</v>
      </c>
      <c r="E51" s="1">
        <v>-97.910865783690994</v>
      </c>
      <c r="F51" s="1">
        <v>37.578994750977003</v>
      </c>
      <c r="G51" s="1">
        <v>-25.204887390136999</v>
      </c>
      <c r="H51" s="27"/>
      <c r="I51" s="27"/>
      <c r="J51" s="27"/>
      <c r="K51" s="19">
        <v>40000</v>
      </c>
      <c r="L51" s="19">
        <v>4</v>
      </c>
      <c r="M51" s="19">
        <f t="shared" si="5"/>
        <v>160000</v>
      </c>
      <c r="N51" s="1">
        <f t="shared" si="6"/>
        <v>-15665738.52539056</v>
      </c>
      <c r="O51" s="1">
        <f t="shared" si="7"/>
        <v>6012639.1601563208</v>
      </c>
      <c r="P51" s="1">
        <f t="shared" si="8"/>
        <v>-4032781.9824219197</v>
      </c>
    </row>
    <row r="52" spans="1:16" x14ac:dyDescent="0.3">
      <c r="A52" s="28"/>
      <c r="B52" s="29">
        <v>3</v>
      </c>
      <c r="C52">
        <v>13</v>
      </c>
      <c r="D52" t="s">
        <v>15</v>
      </c>
      <c r="E52" s="1">
        <v>-98.007820129395</v>
      </c>
      <c r="F52" s="1">
        <v>37.689178466797003</v>
      </c>
      <c r="G52" s="1">
        <v>-28.236993789673001</v>
      </c>
      <c r="H52" s="27">
        <f>SUM(N52:N57)/SUM(M52:M57)</f>
        <v>-95.758464813232663</v>
      </c>
      <c r="I52" s="27">
        <f>SUM(O52:O57)/SUM(M52:M57)</f>
        <v>38.81558672587083</v>
      </c>
      <c r="J52" s="27">
        <f>SUM(P52:P57)/SUM(M52:M57)</f>
        <v>-23.550000190735002</v>
      </c>
      <c r="K52" s="19">
        <v>40000</v>
      </c>
      <c r="L52" s="19">
        <v>4</v>
      </c>
      <c r="M52" s="19">
        <f t="shared" si="5"/>
        <v>160000</v>
      </c>
      <c r="N52" s="1">
        <f t="shared" si="6"/>
        <v>-15681251.2207032</v>
      </c>
      <c r="O52" s="1">
        <f t="shared" si="7"/>
        <v>6030268.5546875205</v>
      </c>
      <c r="P52" s="1">
        <f t="shared" si="8"/>
        <v>-4517919.0063476805</v>
      </c>
    </row>
    <row r="53" spans="1:16" x14ac:dyDescent="0.3">
      <c r="A53" s="28"/>
      <c r="B53" s="29"/>
      <c r="C53">
        <v>14</v>
      </c>
      <c r="D53" t="s">
        <v>15</v>
      </c>
      <c r="E53" s="1">
        <v>-93.789047241210994</v>
      </c>
      <c r="F53" s="1">
        <v>39.512161254882997</v>
      </c>
      <c r="G53" s="1">
        <v>-22.823663711548001</v>
      </c>
      <c r="H53" s="27"/>
      <c r="I53" s="27"/>
      <c r="J53" s="27"/>
      <c r="K53" s="19">
        <v>40000</v>
      </c>
      <c r="L53" s="19">
        <v>4</v>
      </c>
      <c r="M53" s="19">
        <f t="shared" si="5"/>
        <v>160000</v>
      </c>
      <c r="N53" s="1">
        <f t="shared" si="6"/>
        <v>-15006247.558593759</v>
      </c>
      <c r="O53" s="1">
        <f t="shared" si="7"/>
        <v>6321945.8007812798</v>
      </c>
      <c r="P53" s="1">
        <f t="shared" si="8"/>
        <v>-3651786.19384768</v>
      </c>
    </row>
    <row r="54" spans="1:16" x14ac:dyDescent="0.3">
      <c r="A54" s="28"/>
      <c r="B54" s="29"/>
      <c r="C54">
        <v>15</v>
      </c>
      <c r="D54" t="s">
        <v>15</v>
      </c>
      <c r="E54" s="1">
        <v>-95.478523254395</v>
      </c>
      <c r="F54" s="1">
        <v>39.245483398437997</v>
      </c>
      <c r="G54" s="1">
        <v>-19.589353561401001</v>
      </c>
      <c r="H54" s="27"/>
      <c r="I54" s="27"/>
      <c r="J54" s="27"/>
      <c r="K54" s="19">
        <v>40000</v>
      </c>
      <c r="L54" s="19">
        <v>4</v>
      </c>
      <c r="M54" s="19">
        <f t="shared" si="5"/>
        <v>160000</v>
      </c>
      <c r="N54" s="1">
        <f t="shared" si="6"/>
        <v>-15276563.7207032</v>
      </c>
      <c r="O54" s="1">
        <f t="shared" si="7"/>
        <v>6279277.3437500792</v>
      </c>
      <c r="P54" s="1">
        <f t="shared" si="8"/>
        <v>-3134296.5698241601</v>
      </c>
    </row>
    <row r="55" spans="1:16" x14ac:dyDescent="0.3">
      <c r="A55" s="28"/>
      <c r="B55" s="29"/>
      <c r="C55">
        <v>16</v>
      </c>
      <c r="D55" t="s">
        <v>15</v>
      </c>
      <c r="E55" s="1">
        <v>-95.47859954834</v>
      </c>
      <c r="F55" s="1">
        <v>39.245468139647997</v>
      </c>
      <c r="G55" s="1">
        <v>-19.588733673096002</v>
      </c>
      <c r="H55" s="27"/>
      <c r="I55" s="27"/>
      <c r="J55" s="27"/>
      <c r="K55" s="19">
        <v>40000</v>
      </c>
      <c r="L55" s="19">
        <v>4</v>
      </c>
      <c r="M55" s="19">
        <f t="shared" si="5"/>
        <v>160000</v>
      </c>
      <c r="N55" s="1">
        <f t="shared" si="6"/>
        <v>-15276575.927734399</v>
      </c>
      <c r="O55" s="1">
        <f t="shared" si="7"/>
        <v>6279274.9023436792</v>
      </c>
      <c r="P55" s="1">
        <f t="shared" si="8"/>
        <v>-3134197.3876953605</v>
      </c>
    </row>
    <row r="56" spans="1:16" x14ac:dyDescent="0.3">
      <c r="A56" s="28"/>
      <c r="B56" s="29"/>
      <c r="C56">
        <v>17</v>
      </c>
      <c r="D56" t="s">
        <v>15</v>
      </c>
      <c r="E56" s="1">
        <v>-93.789047241210994</v>
      </c>
      <c r="F56" s="1">
        <v>39.512084960937997</v>
      </c>
      <c r="G56" s="1">
        <v>-22.823648452758999</v>
      </c>
      <c r="H56" s="27"/>
      <c r="I56" s="27"/>
      <c r="J56" s="27"/>
      <c r="K56" s="19">
        <v>40000</v>
      </c>
      <c r="L56" s="19">
        <v>4</v>
      </c>
      <c r="M56" s="19">
        <f t="shared" si="5"/>
        <v>160000</v>
      </c>
      <c r="N56" s="1">
        <f t="shared" si="6"/>
        <v>-15006247.558593759</v>
      </c>
      <c r="O56" s="1">
        <f t="shared" si="7"/>
        <v>6321933.5937500792</v>
      </c>
      <c r="P56" s="1">
        <f t="shared" si="8"/>
        <v>-3651783.7524414398</v>
      </c>
    </row>
    <row r="57" spans="1:16" x14ac:dyDescent="0.3">
      <c r="A57" s="28"/>
      <c r="B57" s="29"/>
      <c r="C57">
        <v>18</v>
      </c>
      <c r="D57" t="s">
        <v>15</v>
      </c>
      <c r="E57" s="1">
        <v>-98.007751464844006</v>
      </c>
      <c r="F57" s="1">
        <v>37.689144134521001</v>
      </c>
      <c r="G57" s="1">
        <v>-28.237607955933001</v>
      </c>
      <c r="H57" s="27"/>
      <c r="I57" s="27"/>
      <c r="J57" s="27"/>
      <c r="K57" s="19">
        <v>40000</v>
      </c>
      <c r="L57" s="19">
        <v>4</v>
      </c>
      <c r="M57" s="19">
        <f t="shared" si="5"/>
        <v>160000</v>
      </c>
      <c r="N57" s="1">
        <f t="shared" si="6"/>
        <v>-15681240.234375041</v>
      </c>
      <c r="O57" s="1">
        <f t="shared" si="7"/>
        <v>6030263.0615233602</v>
      </c>
      <c r="P57" s="1">
        <f t="shared" si="8"/>
        <v>-4518017.2729492802</v>
      </c>
    </row>
    <row r="58" spans="1:16" x14ac:dyDescent="0.3">
      <c r="A58" s="28"/>
      <c r="B58" s="29">
        <v>4</v>
      </c>
      <c r="C58">
        <v>19</v>
      </c>
      <c r="D58" t="s">
        <v>15</v>
      </c>
      <c r="E58" s="1">
        <v>-97.91089630127</v>
      </c>
      <c r="F58" s="1">
        <v>37.578853607177997</v>
      </c>
      <c r="G58" s="1">
        <v>-25.204378128051999</v>
      </c>
      <c r="H58" s="27">
        <f>SUM(N58:N63)/SUM(M58:M63)</f>
        <v>-95.273976643880161</v>
      </c>
      <c r="I58" s="27">
        <f>SUM(O58:O63)/SUM(M58:M63)</f>
        <v>38.801901499430329</v>
      </c>
      <c r="J58" s="27">
        <f>SUM(P58:P63)/SUM(M58:M63)</f>
        <v>-23.549985249837494</v>
      </c>
      <c r="K58" s="19">
        <v>40000</v>
      </c>
      <c r="L58" s="19">
        <v>4</v>
      </c>
      <c r="M58" s="19">
        <f t="shared" si="5"/>
        <v>160000</v>
      </c>
      <c r="N58" s="1">
        <f t="shared" si="6"/>
        <v>-15665743.4082032</v>
      </c>
      <c r="O58" s="1">
        <f t="shared" si="7"/>
        <v>6012616.5771484794</v>
      </c>
      <c r="P58" s="1">
        <f t="shared" si="8"/>
        <v>-4032700.5004883199</v>
      </c>
    </row>
    <row r="59" spans="1:16" x14ac:dyDescent="0.3">
      <c r="A59" s="28"/>
      <c r="B59" s="29"/>
      <c r="C59">
        <v>20</v>
      </c>
      <c r="D59" t="s">
        <v>15</v>
      </c>
      <c r="E59" s="1">
        <v>-93.634292602539006</v>
      </c>
      <c r="F59" s="1">
        <v>39.546264648437997</v>
      </c>
      <c r="G59" s="1">
        <v>-22.754121780396002</v>
      </c>
      <c r="H59" s="27"/>
      <c r="I59" s="27"/>
      <c r="J59" s="27"/>
      <c r="K59" s="19">
        <v>40000</v>
      </c>
      <c r="L59" s="19">
        <v>4</v>
      </c>
      <c r="M59" s="19">
        <f t="shared" si="5"/>
        <v>160000</v>
      </c>
      <c r="N59" s="1">
        <f t="shared" si="6"/>
        <v>-14981486.816406241</v>
      </c>
      <c r="O59" s="1">
        <f t="shared" si="7"/>
        <v>6327402.3437500792</v>
      </c>
      <c r="P59" s="1">
        <f t="shared" si="8"/>
        <v>-3640659.4848633604</v>
      </c>
    </row>
    <row r="60" spans="1:16" x14ac:dyDescent="0.3">
      <c r="A60" s="28"/>
      <c r="B60" s="29"/>
      <c r="C60">
        <v>21</v>
      </c>
      <c r="D60" t="s">
        <v>15</v>
      </c>
      <c r="E60" s="1">
        <v>-95.574653625487997</v>
      </c>
      <c r="F60" s="1">
        <v>39.320919036865</v>
      </c>
      <c r="G60" s="1">
        <v>-22.691450119018999</v>
      </c>
      <c r="H60" s="27"/>
      <c r="I60" s="27"/>
      <c r="J60" s="27"/>
      <c r="K60" s="19">
        <v>40000</v>
      </c>
      <c r="L60" s="19">
        <v>4</v>
      </c>
      <c r="M60" s="19">
        <f t="shared" si="5"/>
        <v>160000</v>
      </c>
      <c r="N60" s="1">
        <f t="shared" si="6"/>
        <v>-15291944.58007808</v>
      </c>
      <c r="O60" s="1">
        <f t="shared" si="7"/>
        <v>6291347.0458984002</v>
      </c>
      <c r="P60" s="1">
        <f t="shared" si="8"/>
        <v>-3630632.01904304</v>
      </c>
    </row>
    <row r="61" spans="1:16" x14ac:dyDescent="0.3">
      <c r="A61" s="28"/>
      <c r="B61" s="29"/>
      <c r="C61">
        <v>22</v>
      </c>
      <c r="D61" t="s">
        <v>15</v>
      </c>
      <c r="E61" s="1">
        <v>-94.490455627440994</v>
      </c>
      <c r="F61" s="1">
        <v>39.799537658691001</v>
      </c>
      <c r="G61" s="1">
        <v>-16.346744537353999</v>
      </c>
      <c r="H61" s="27"/>
      <c r="I61" s="27"/>
      <c r="J61" s="27"/>
      <c r="K61" s="19">
        <v>40000</v>
      </c>
      <c r="L61" s="19">
        <v>4</v>
      </c>
      <c r="M61" s="19">
        <f t="shared" si="5"/>
        <v>160000</v>
      </c>
      <c r="N61" s="1">
        <f t="shared" si="6"/>
        <v>-15118472.90039056</v>
      </c>
      <c r="O61" s="1">
        <f t="shared" si="7"/>
        <v>6367926.0253905598</v>
      </c>
      <c r="P61" s="1">
        <f t="shared" si="8"/>
        <v>-2615479.1259766398</v>
      </c>
    </row>
    <row r="62" spans="1:16" x14ac:dyDescent="0.3">
      <c r="A62" s="28"/>
      <c r="B62" s="29"/>
      <c r="C62">
        <v>23</v>
      </c>
      <c r="D62" t="s">
        <v>15</v>
      </c>
      <c r="E62" s="1">
        <v>-92.939743041992003</v>
      </c>
      <c r="F62" s="1">
        <v>39.520950317382997</v>
      </c>
      <c r="G62" s="1">
        <v>-23.1653881073</v>
      </c>
      <c r="H62" s="27"/>
      <c r="I62" s="27"/>
      <c r="J62" s="27"/>
      <c r="K62" s="19">
        <v>40000</v>
      </c>
      <c r="L62" s="19">
        <v>4</v>
      </c>
      <c r="M62" s="19">
        <f t="shared" si="5"/>
        <v>160000</v>
      </c>
      <c r="N62" s="1">
        <f t="shared" si="6"/>
        <v>-14870358.88671872</v>
      </c>
      <c r="O62" s="1">
        <f t="shared" si="7"/>
        <v>6323352.0507812798</v>
      </c>
      <c r="P62" s="1">
        <f t="shared" si="8"/>
        <v>-3706462.0971679999</v>
      </c>
    </row>
    <row r="63" spans="1:16" x14ac:dyDescent="0.3">
      <c r="A63" s="28"/>
      <c r="B63" s="29"/>
      <c r="C63">
        <v>24</v>
      </c>
      <c r="D63" t="s">
        <v>15</v>
      </c>
      <c r="E63" s="1">
        <v>-97.093818664550994</v>
      </c>
      <c r="F63" s="1">
        <v>37.044883728027003</v>
      </c>
      <c r="G63" s="1">
        <v>-31.137828826903998</v>
      </c>
      <c r="H63" s="27"/>
      <c r="I63" s="27"/>
      <c r="J63" s="27"/>
      <c r="K63" s="19">
        <v>40000</v>
      </c>
      <c r="L63" s="19">
        <v>4</v>
      </c>
      <c r="M63" s="19">
        <f t="shared" si="5"/>
        <v>160000</v>
      </c>
      <c r="N63" s="1">
        <f t="shared" si="6"/>
        <v>-15535010.986328159</v>
      </c>
      <c r="O63" s="1">
        <f t="shared" si="7"/>
        <v>5927181.3964843201</v>
      </c>
      <c r="P63" s="1">
        <f t="shared" si="8"/>
        <v>-4982052.61230464</v>
      </c>
    </row>
    <row r="64" spans="1:16" x14ac:dyDescent="0.3">
      <c r="A64" s="28"/>
      <c r="B64" s="29">
        <v>5</v>
      </c>
      <c r="C64">
        <v>25</v>
      </c>
      <c r="D64" t="s">
        <v>15</v>
      </c>
      <c r="E64" s="1">
        <v>-99.099754333495994</v>
      </c>
      <c r="F64" s="1">
        <v>37.45658493042</v>
      </c>
      <c r="G64" s="1">
        <v>-22.245458602905</v>
      </c>
      <c r="H64" s="27">
        <f>SUM(N64:N69)/SUM(M64:M69)</f>
        <v>-94.516094207763487</v>
      </c>
      <c r="I64" s="27">
        <f>SUM(O64:O69)/SUM(M64:M69)</f>
        <v>39.019138336181491</v>
      </c>
      <c r="J64" s="27">
        <f>SUM(P64:P69)/SUM(M64:M69)</f>
        <v>-23.54998524983716</v>
      </c>
      <c r="K64" s="19">
        <v>40000</v>
      </c>
      <c r="L64" s="19">
        <v>4</v>
      </c>
      <c r="M64" s="19">
        <f t="shared" si="5"/>
        <v>160000</v>
      </c>
      <c r="N64" s="1">
        <f t="shared" si="6"/>
        <v>-15855960.693359358</v>
      </c>
      <c r="O64" s="1">
        <f t="shared" si="7"/>
        <v>5993053.5888671996</v>
      </c>
      <c r="P64" s="1">
        <f t="shared" si="8"/>
        <v>-3559273.3764648</v>
      </c>
    </row>
    <row r="65" spans="1:16" x14ac:dyDescent="0.3">
      <c r="A65" s="28"/>
      <c r="B65" s="29"/>
      <c r="C65">
        <v>26</v>
      </c>
      <c r="D65" t="s">
        <v>15</v>
      </c>
      <c r="E65" s="1">
        <v>-90.639533996582003</v>
      </c>
      <c r="F65" s="1">
        <v>39.50658416748</v>
      </c>
      <c r="G65" s="1">
        <v>-22.535161972046001</v>
      </c>
      <c r="H65" s="27"/>
      <c r="I65" s="27"/>
      <c r="J65" s="27"/>
      <c r="K65" s="19">
        <v>40000</v>
      </c>
      <c r="L65" s="19">
        <v>4</v>
      </c>
      <c r="M65" s="19">
        <f t="shared" si="5"/>
        <v>160000</v>
      </c>
      <c r="N65" s="1">
        <f t="shared" si="6"/>
        <v>-14502325.439453121</v>
      </c>
      <c r="O65" s="1">
        <f t="shared" si="7"/>
        <v>6321053.4667967996</v>
      </c>
      <c r="P65" s="1">
        <f t="shared" si="8"/>
        <v>-3605625.91552736</v>
      </c>
    </row>
    <row r="66" spans="1:16" x14ac:dyDescent="0.3">
      <c r="A66" s="28"/>
      <c r="B66" s="29"/>
      <c r="C66">
        <v>27</v>
      </c>
      <c r="D66" t="s">
        <v>15</v>
      </c>
      <c r="E66" s="1">
        <v>-97.448905944824006</v>
      </c>
      <c r="F66" s="1">
        <v>39.408878326416001</v>
      </c>
      <c r="G66" s="1">
        <v>-25.869329452515</v>
      </c>
      <c r="H66" s="27"/>
      <c r="I66" s="27"/>
      <c r="J66" s="27"/>
      <c r="K66" s="19">
        <v>40000</v>
      </c>
      <c r="L66" s="19">
        <v>4</v>
      </c>
      <c r="M66" s="19">
        <f t="shared" si="5"/>
        <v>160000</v>
      </c>
      <c r="N66" s="1">
        <f t="shared" si="6"/>
        <v>-15591824.951171841</v>
      </c>
      <c r="O66" s="1">
        <f t="shared" si="7"/>
        <v>6305420.5322265606</v>
      </c>
      <c r="P66" s="1">
        <f t="shared" si="8"/>
        <v>-4139092.7124024001</v>
      </c>
    </row>
    <row r="67" spans="1:16" x14ac:dyDescent="0.3">
      <c r="A67" s="28"/>
      <c r="B67" s="29"/>
      <c r="C67">
        <v>28</v>
      </c>
      <c r="D67" t="s">
        <v>15</v>
      </c>
      <c r="E67" s="1">
        <v>-86.611328125</v>
      </c>
      <c r="F67" s="1">
        <v>40.829624176025</v>
      </c>
      <c r="G67" s="1">
        <v>-13.046562194824</v>
      </c>
      <c r="H67" s="27"/>
      <c r="I67" s="27"/>
      <c r="J67" s="27"/>
      <c r="K67" s="19">
        <v>40000</v>
      </c>
      <c r="L67" s="19">
        <v>4</v>
      </c>
      <c r="M67" s="19">
        <f t="shared" si="5"/>
        <v>160000</v>
      </c>
      <c r="N67" s="1">
        <f t="shared" si="6"/>
        <v>-13857812.5</v>
      </c>
      <c r="O67" s="1">
        <f t="shared" si="7"/>
        <v>6532739.8681640001</v>
      </c>
      <c r="P67" s="1">
        <f t="shared" si="8"/>
        <v>-2087449.9511718401</v>
      </c>
    </row>
    <row r="68" spans="1:16" x14ac:dyDescent="0.3">
      <c r="A68" s="28"/>
      <c r="B68" s="29"/>
      <c r="C68">
        <v>29</v>
      </c>
      <c r="D68" t="s">
        <v>15</v>
      </c>
      <c r="E68" s="1">
        <v>-101.674766540527</v>
      </c>
      <c r="F68" s="1">
        <v>37.383560180663999</v>
      </c>
      <c r="G68" s="1">
        <v>-24.266427993773998</v>
      </c>
      <c r="H68" s="27"/>
      <c r="I68" s="27"/>
      <c r="J68" s="27"/>
      <c r="K68" s="19">
        <v>40000</v>
      </c>
      <c r="L68" s="19">
        <v>4</v>
      </c>
      <c r="M68" s="19">
        <f t="shared" si="5"/>
        <v>160000</v>
      </c>
      <c r="N68" s="1">
        <f t="shared" si="6"/>
        <v>-16267962.646484321</v>
      </c>
      <c r="O68" s="1">
        <f t="shared" si="7"/>
        <v>5981369.6289062398</v>
      </c>
      <c r="P68" s="1">
        <f t="shared" si="8"/>
        <v>-3882628.4790038397</v>
      </c>
    </row>
    <row r="69" spans="1:16" x14ac:dyDescent="0.3">
      <c r="A69" s="28"/>
      <c r="B69" s="29"/>
      <c r="C69">
        <v>30</v>
      </c>
      <c r="D69" t="s">
        <v>15</v>
      </c>
      <c r="E69" s="1">
        <v>-91.622276306152003</v>
      </c>
      <c r="F69" s="1">
        <v>39.529598236083999</v>
      </c>
      <c r="G69" s="1">
        <v>-33.336971282958999</v>
      </c>
      <c r="H69" s="27"/>
      <c r="I69" s="27"/>
      <c r="J69" s="27"/>
      <c r="K69" s="19">
        <v>40000</v>
      </c>
      <c r="L69" s="19">
        <v>4</v>
      </c>
      <c r="M69" s="19">
        <f t="shared" si="5"/>
        <v>160000</v>
      </c>
      <c r="N69" s="1">
        <f t="shared" si="6"/>
        <v>-14659564.208984321</v>
      </c>
      <c r="O69" s="1">
        <f t="shared" si="7"/>
        <v>6324735.7177734394</v>
      </c>
      <c r="P69" s="1">
        <f t="shared" si="8"/>
        <v>-5333915.4052734394</v>
      </c>
    </row>
    <row r="70" spans="1:16" x14ac:dyDescent="0.3">
      <c r="A70" s="28">
        <v>3</v>
      </c>
      <c r="B70" s="29">
        <v>1</v>
      </c>
      <c r="C70">
        <v>1</v>
      </c>
      <c r="D70" t="s">
        <v>15</v>
      </c>
      <c r="E70" s="1">
        <v>-38.256893157958999</v>
      </c>
      <c r="F70" s="1">
        <v>159.20959472656301</v>
      </c>
      <c r="G70" s="1">
        <v>-32.543926239013999</v>
      </c>
      <c r="H70" s="27">
        <f>SUM(N70:N75)/SUM(M70:M75)</f>
        <v>-30.646249771118168</v>
      </c>
      <c r="I70" s="27">
        <f>SUM(O70:O75)/SUM(M70:M75)</f>
        <v>155.08260091145848</v>
      </c>
      <c r="J70" s="27">
        <f>SUM(P70:P75)/SUM(M70:M75)</f>
        <v>7.7999415496985005</v>
      </c>
      <c r="K70" s="19">
        <v>40000</v>
      </c>
      <c r="L70" s="19">
        <v>4</v>
      </c>
      <c r="M70" s="19">
        <f t="shared" si="5"/>
        <v>160000</v>
      </c>
      <c r="N70" s="1">
        <f t="shared" si="6"/>
        <v>-6121102.9052734394</v>
      </c>
      <c r="O70" s="1">
        <f t="shared" si="7"/>
        <v>25473535.156250082</v>
      </c>
      <c r="P70" s="1">
        <f t="shared" si="8"/>
        <v>-5207028.1982422397</v>
      </c>
    </row>
    <row r="71" spans="1:16" x14ac:dyDescent="0.3">
      <c r="A71" s="28"/>
      <c r="B71" s="29"/>
      <c r="C71">
        <v>2</v>
      </c>
      <c r="D71" t="s">
        <v>15</v>
      </c>
      <c r="E71" s="1">
        <v>-32.538967132567997</v>
      </c>
      <c r="F71" s="1">
        <v>148.58197021484401</v>
      </c>
      <c r="G71" s="1">
        <v>7.8431582450870003</v>
      </c>
      <c r="H71" s="27"/>
      <c r="I71" s="27"/>
      <c r="J71" s="27"/>
      <c r="K71" s="19">
        <v>40000</v>
      </c>
      <c r="L71" s="19">
        <v>4</v>
      </c>
      <c r="M71" s="19">
        <f t="shared" si="5"/>
        <v>160000</v>
      </c>
      <c r="N71" s="1">
        <f t="shared" si="6"/>
        <v>-5206234.7412108798</v>
      </c>
      <c r="O71" s="1">
        <f t="shared" si="7"/>
        <v>23773115.234375041</v>
      </c>
      <c r="P71" s="1">
        <f t="shared" si="8"/>
        <v>1254905.31921392</v>
      </c>
    </row>
    <row r="72" spans="1:16" x14ac:dyDescent="0.3">
      <c r="A72" s="28"/>
      <c r="B72" s="29"/>
      <c r="C72">
        <v>3</v>
      </c>
      <c r="D72" t="s">
        <v>15</v>
      </c>
      <c r="E72" s="1">
        <v>-18.340497970581001</v>
      </c>
      <c r="F72" s="1">
        <v>160.180099487305</v>
      </c>
      <c r="G72" s="1">
        <v>48.100612640381001</v>
      </c>
      <c r="H72" s="27"/>
      <c r="I72" s="27"/>
      <c r="J72" s="27"/>
      <c r="K72" s="19">
        <v>40000</v>
      </c>
      <c r="L72" s="19">
        <v>4</v>
      </c>
      <c r="M72" s="19">
        <f t="shared" si="5"/>
        <v>160000</v>
      </c>
      <c r="N72" s="1">
        <f t="shared" si="6"/>
        <v>-2934479.6752929604</v>
      </c>
      <c r="O72" s="1">
        <f t="shared" si="7"/>
        <v>25628815.917968798</v>
      </c>
      <c r="P72" s="1">
        <f t="shared" si="8"/>
        <v>7696098.0224609599</v>
      </c>
    </row>
    <row r="73" spans="1:16" x14ac:dyDescent="0.3">
      <c r="A73" s="28"/>
      <c r="B73" s="29"/>
      <c r="C73">
        <v>4</v>
      </c>
      <c r="D73" t="s">
        <v>15</v>
      </c>
      <c r="E73" s="1">
        <v>-29.143753051758001</v>
      </c>
      <c r="F73" s="1">
        <v>153.40699768066401</v>
      </c>
      <c r="G73" s="1">
        <v>0.28938728570900002</v>
      </c>
      <c r="H73" s="27"/>
      <c r="I73" s="27"/>
      <c r="J73" s="27"/>
      <c r="K73" s="19">
        <v>40000</v>
      </c>
      <c r="L73" s="19">
        <v>4</v>
      </c>
      <c r="M73" s="19">
        <f t="shared" si="5"/>
        <v>160000</v>
      </c>
      <c r="N73" s="1">
        <f t="shared" si="6"/>
        <v>-4663000.4882812798</v>
      </c>
      <c r="O73" s="1">
        <f t="shared" si="7"/>
        <v>24545119.628906243</v>
      </c>
      <c r="P73" s="1">
        <f t="shared" si="8"/>
        <v>46301.965713440004</v>
      </c>
    </row>
    <row r="74" spans="1:16" x14ac:dyDescent="0.3">
      <c r="A74" s="28"/>
      <c r="B74" s="29"/>
      <c r="C74">
        <v>5</v>
      </c>
      <c r="D74" t="s">
        <v>15</v>
      </c>
      <c r="E74" s="1">
        <v>-29.892416000366001</v>
      </c>
      <c r="F74" s="1">
        <v>157.02008056640599</v>
      </c>
      <c r="G74" s="1">
        <v>8.4184789657590002</v>
      </c>
      <c r="H74" s="27"/>
      <c r="I74" s="27"/>
      <c r="J74" s="27"/>
      <c r="K74" s="19">
        <v>40000</v>
      </c>
      <c r="L74" s="19">
        <v>4</v>
      </c>
      <c r="M74" s="19">
        <f t="shared" ref="M74:M99" si="9">L74*K74</f>
        <v>160000</v>
      </c>
      <c r="N74" s="1">
        <f t="shared" ref="N74:N99" si="10">M74*E74</f>
        <v>-4782786.5600585602</v>
      </c>
      <c r="O74" s="1">
        <f t="shared" ref="O74:O99" si="11">F74*M74</f>
        <v>25123212.890624959</v>
      </c>
      <c r="P74" s="1">
        <f t="shared" ref="P74:P99" si="12">G74*M74</f>
        <v>1346956.6345214401</v>
      </c>
    </row>
    <row r="75" spans="1:16" x14ac:dyDescent="0.3">
      <c r="A75" s="28"/>
      <c r="B75" s="29"/>
      <c r="C75">
        <v>6</v>
      </c>
      <c r="D75" t="s">
        <v>15</v>
      </c>
      <c r="E75" s="1">
        <v>-35.704971313477003</v>
      </c>
      <c r="F75" s="1">
        <v>152.09686279296901</v>
      </c>
      <c r="G75" s="1">
        <v>14.691938400269001</v>
      </c>
      <c r="H75" s="27"/>
      <c r="I75" s="27"/>
      <c r="J75" s="27"/>
      <c r="K75" s="19">
        <v>40000</v>
      </c>
      <c r="L75" s="19">
        <v>4</v>
      </c>
      <c r="M75" s="19">
        <f t="shared" si="9"/>
        <v>160000</v>
      </c>
      <c r="N75" s="1">
        <f t="shared" si="10"/>
        <v>-5712795.4101563208</v>
      </c>
      <c r="O75" s="1">
        <f t="shared" si="11"/>
        <v>24335498.046875041</v>
      </c>
      <c r="P75" s="1">
        <f t="shared" si="12"/>
        <v>2350710.14404304</v>
      </c>
    </row>
    <row r="76" spans="1:16" x14ac:dyDescent="0.3">
      <c r="A76" s="28"/>
      <c r="B76" s="29">
        <v>2</v>
      </c>
      <c r="C76">
        <v>7</v>
      </c>
      <c r="D76" t="s">
        <v>15</v>
      </c>
      <c r="E76" s="1">
        <v>-36.626647949218999</v>
      </c>
      <c r="F76" s="1">
        <v>152.25531005859401</v>
      </c>
      <c r="G76" s="1">
        <v>-21.709728240966999</v>
      </c>
      <c r="H76" s="27">
        <f>SUM(N76:N81)/SUM(M76:M81)</f>
        <v>-31.209430058797331</v>
      </c>
      <c r="I76" s="27">
        <f>SUM(O76:O81)/SUM(M76:M81)</f>
        <v>154.21932983398466</v>
      </c>
      <c r="J76" s="27">
        <f>SUM(P76:P81)/SUM(M76:M81)</f>
        <v>7.7999416589736663</v>
      </c>
      <c r="K76" s="19">
        <v>40000</v>
      </c>
      <c r="L76" s="19">
        <v>4</v>
      </c>
      <c r="M76" s="19">
        <f t="shared" si="9"/>
        <v>160000</v>
      </c>
      <c r="N76" s="1">
        <f t="shared" si="10"/>
        <v>-5860263.67187504</v>
      </c>
      <c r="O76" s="1">
        <f t="shared" si="11"/>
        <v>24360849.609375041</v>
      </c>
      <c r="P76" s="1">
        <f t="shared" si="12"/>
        <v>-3473556.5185547201</v>
      </c>
    </row>
    <row r="77" spans="1:16" x14ac:dyDescent="0.3">
      <c r="A77" s="28"/>
      <c r="B77" s="29"/>
      <c r="C77">
        <v>8</v>
      </c>
      <c r="D77" t="s">
        <v>15</v>
      </c>
      <c r="E77" s="1">
        <v>-30.69296836853</v>
      </c>
      <c r="F77" s="1">
        <v>157.07728576660199</v>
      </c>
      <c r="G77" s="1">
        <v>8.0330467224119992</v>
      </c>
      <c r="H77" s="27"/>
      <c r="I77" s="27"/>
      <c r="J77" s="27"/>
      <c r="K77" s="19">
        <v>40000</v>
      </c>
      <c r="L77" s="19">
        <v>4</v>
      </c>
      <c r="M77" s="19">
        <f t="shared" si="9"/>
        <v>160000</v>
      </c>
      <c r="N77" s="1">
        <f t="shared" si="10"/>
        <v>-4910874.9389648</v>
      </c>
      <c r="O77" s="1">
        <f t="shared" si="11"/>
        <v>25132365.722656317</v>
      </c>
      <c r="P77" s="1">
        <f t="shared" si="12"/>
        <v>1285287.4755859198</v>
      </c>
    </row>
    <row r="78" spans="1:16" x14ac:dyDescent="0.3">
      <c r="A78" s="28"/>
      <c r="B78" s="29"/>
      <c r="C78">
        <v>9</v>
      </c>
      <c r="D78" t="s">
        <v>15</v>
      </c>
      <c r="E78" s="1">
        <v>-26.279397964478001</v>
      </c>
      <c r="F78" s="1">
        <v>153.16493225097699</v>
      </c>
      <c r="G78" s="1">
        <v>37.076526641846002</v>
      </c>
      <c r="H78" s="27"/>
      <c r="I78" s="27"/>
      <c r="J78" s="27"/>
      <c r="K78" s="19">
        <v>40000</v>
      </c>
      <c r="L78" s="19">
        <v>4</v>
      </c>
      <c r="M78" s="19">
        <f t="shared" si="9"/>
        <v>160000</v>
      </c>
      <c r="N78" s="1">
        <f t="shared" si="10"/>
        <v>-4204703.6743164798</v>
      </c>
      <c r="O78" s="1">
        <f t="shared" si="11"/>
        <v>24506389.160156317</v>
      </c>
      <c r="P78" s="1">
        <f t="shared" si="12"/>
        <v>5932244.26269536</v>
      </c>
    </row>
    <row r="79" spans="1:16" x14ac:dyDescent="0.3">
      <c r="A79" s="28"/>
      <c r="B79" s="29"/>
      <c r="C79">
        <v>10</v>
      </c>
      <c r="D79" t="s">
        <v>15</v>
      </c>
      <c r="E79" s="1">
        <v>-26.932535171508999</v>
      </c>
      <c r="F79" s="1">
        <v>153.32052612304699</v>
      </c>
      <c r="G79" s="1">
        <v>12.676403999329001</v>
      </c>
      <c r="H79" s="27"/>
      <c r="I79" s="27"/>
      <c r="J79" s="27"/>
      <c r="K79" s="19">
        <v>40000</v>
      </c>
      <c r="L79" s="19">
        <v>4</v>
      </c>
      <c r="M79" s="19">
        <f t="shared" si="9"/>
        <v>160000</v>
      </c>
      <c r="N79" s="1">
        <f t="shared" si="10"/>
        <v>-4309205.6274414398</v>
      </c>
      <c r="O79" s="1">
        <f t="shared" si="11"/>
        <v>24531284.179687519</v>
      </c>
      <c r="P79" s="1">
        <f t="shared" si="12"/>
        <v>2028224.6398926401</v>
      </c>
    </row>
    <row r="80" spans="1:16" x14ac:dyDescent="0.3">
      <c r="A80" s="28"/>
      <c r="B80" s="29"/>
      <c r="C80">
        <v>11</v>
      </c>
      <c r="D80" t="s">
        <v>15</v>
      </c>
      <c r="E80" s="1">
        <v>-30.507204055786001</v>
      </c>
      <c r="F80" s="1">
        <v>157.17796325683599</v>
      </c>
      <c r="G80" s="1">
        <v>8.0367364883419992</v>
      </c>
      <c r="H80" s="27"/>
      <c r="I80" s="27"/>
      <c r="J80" s="27"/>
      <c r="K80" s="19">
        <v>40000</v>
      </c>
      <c r="L80" s="19">
        <v>4</v>
      </c>
      <c r="M80" s="19">
        <f t="shared" si="9"/>
        <v>160000</v>
      </c>
      <c r="N80" s="1">
        <f t="shared" si="10"/>
        <v>-4881152.6489257598</v>
      </c>
      <c r="O80" s="1">
        <f t="shared" si="11"/>
        <v>25148474.121093757</v>
      </c>
      <c r="P80" s="1">
        <f t="shared" si="12"/>
        <v>1285877.8381347198</v>
      </c>
    </row>
    <row r="81" spans="1:16" x14ac:dyDescent="0.3">
      <c r="A81" s="28"/>
      <c r="B81" s="29"/>
      <c r="C81">
        <v>12</v>
      </c>
      <c r="D81" t="s">
        <v>15</v>
      </c>
      <c r="E81" s="1">
        <v>-36.217826843262003</v>
      </c>
      <c r="F81" s="1">
        <v>152.31996154785199</v>
      </c>
      <c r="G81" s="1">
        <v>2.6866643428799999</v>
      </c>
      <c r="H81" s="27"/>
      <c r="I81" s="27"/>
      <c r="J81" s="27"/>
      <c r="K81" s="19">
        <v>40000</v>
      </c>
      <c r="L81" s="19">
        <v>4</v>
      </c>
      <c r="M81" s="19">
        <f t="shared" si="9"/>
        <v>160000</v>
      </c>
      <c r="N81" s="1">
        <f t="shared" si="10"/>
        <v>-5794852.2949219206</v>
      </c>
      <c r="O81" s="1">
        <f t="shared" si="11"/>
        <v>24371193.847656317</v>
      </c>
      <c r="P81" s="1">
        <f t="shared" si="12"/>
        <v>429866.29486079997</v>
      </c>
    </row>
    <row r="82" spans="1:16" x14ac:dyDescent="0.3">
      <c r="A82" s="28"/>
      <c r="B82" s="29">
        <v>3</v>
      </c>
      <c r="C82">
        <v>13</v>
      </c>
      <c r="D82" t="s">
        <v>15</v>
      </c>
      <c r="E82" s="1">
        <v>-36.582160949707003</v>
      </c>
      <c r="F82" s="1">
        <v>152.39134216308599</v>
      </c>
      <c r="G82" s="1">
        <v>-9.5045528411869995</v>
      </c>
      <c r="H82" s="27">
        <f>SUM(N82:N87)/SUM(M82:M87)</f>
        <v>-31.205845832824501</v>
      </c>
      <c r="I82" s="27">
        <f>SUM(O82:O87)/SUM(M82:M87)</f>
        <v>154.27341206868499</v>
      </c>
      <c r="J82" s="27">
        <f>SUM(P82:P87)/SUM(M82:M87)</f>
        <v>7.8000000317890006</v>
      </c>
      <c r="K82" s="19">
        <v>40000</v>
      </c>
      <c r="L82" s="19">
        <v>4</v>
      </c>
      <c r="M82" s="19">
        <f t="shared" si="9"/>
        <v>160000</v>
      </c>
      <c r="N82" s="1">
        <f t="shared" si="10"/>
        <v>-5853145.7519531203</v>
      </c>
      <c r="O82" s="1">
        <f t="shared" si="11"/>
        <v>24382614.746093757</v>
      </c>
      <c r="P82" s="1">
        <f t="shared" si="12"/>
        <v>-1520728.4545899199</v>
      </c>
    </row>
    <row r="83" spans="1:16" x14ac:dyDescent="0.3">
      <c r="A83" s="28"/>
      <c r="B83" s="29"/>
      <c r="C83">
        <v>14</v>
      </c>
      <c r="D83" t="s">
        <v>15</v>
      </c>
      <c r="E83" s="1">
        <v>-30.505676269531001</v>
      </c>
      <c r="F83" s="1">
        <v>157.04182434082</v>
      </c>
      <c r="G83" s="1">
        <v>8.0365762710569992</v>
      </c>
      <c r="H83" s="27"/>
      <c r="I83" s="27"/>
      <c r="J83" s="27"/>
      <c r="K83" s="19">
        <v>40000</v>
      </c>
      <c r="L83" s="19">
        <v>4</v>
      </c>
      <c r="M83" s="19">
        <f t="shared" si="9"/>
        <v>160000</v>
      </c>
      <c r="N83" s="1">
        <f t="shared" si="10"/>
        <v>-4880908.20312496</v>
      </c>
      <c r="O83" s="1">
        <f t="shared" si="11"/>
        <v>25126691.894531202</v>
      </c>
      <c r="P83" s="1">
        <f t="shared" si="12"/>
        <v>1285852.2033691199</v>
      </c>
    </row>
    <row r="84" spans="1:16" x14ac:dyDescent="0.3">
      <c r="A84" s="28"/>
      <c r="B84" s="29"/>
      <c r="C84">
        <v>15</v>
      </c>
      <c r="D84" t="s">
        <v>15</v>
      </c>
      <c r="E84" s="1">
        <v>-26.529689788818001</v>
      </c>
      <c r="F84" s="1">
        <v>153.38708496093801</v>
      </c>
      <c r="G84" s="1">
        <v>24.867937088013001</v>
      </c>
      <c r="H84" s="27"/>
      <c r="I84" s="27"/>
      <c r="J84" s="27"/>
      <c r="K84" s="19">
        <v>40000</v>
      </c>
      <c r="L84" s="19">
        <v>4</v>
      </c>
      <c r="M84" s="19">
        <f t="shared" si="9"/>
        <v>160000</v>
      </c>
      <c r="N84" s="1">
        <f t="shared" si="10"/>
        <v>-4244750.3662108798</v>
      </c>
      <c r="O84" s="1">
        <f t="shared" si="11"/>
        <v>24541933.593750082</v>
      </c>
      <c r="P84" s="1">
        <f t="shared" si="12"/>
        <v>3978869.9340820801</v>
      </c>
    </row>
    <row r="85" spans="1:16" x14ac:dyDescent="0.3">
      <c r="A85" s="28"/>
      <c r="B85" s="29"/>
      <c r="C85">
        <v>16</v>
      </c>
      <c r="D85" t="s">
        <v>15</v>
      </c>
      <c r="E85" s="1">
        <v>-26.529722213745</v>
      </c>
      <c r="F85" s="1">
        <v>153.38711547851599</v>
      </c>
      <c r="G85" s="1">
        <v>24.868152618408001</v>
      </c>
      <c r="H85" s="27"/>
      <c r="I85" s="27"/>
      <c r="J85" s="27"/>
      <c r="K85" s="19">
        <v>40000</v>
      </c>
      <c r="L85" s="19">
        <v>4</v>
      </c>
      <c r="M85" s="19">
        <f t="shared" si="9"/>
        <v>160000</v>
      </c>
      <c r="N85" s="1">
        <f t="shared" si="10"/>
        <v>-4244755.5541992001</v>
      </c>
      <c r="O85" s="1">
        <f t="shared" si="11"/>
        <v>24541938.47656256</v>
      </c>
      <c r="P85" s="1">
        <f t="shared" si="12"/>
        <v>3978904.4189452799</v>
      </c>
    </row>
    <row r="86" spans="1:16" x14ac:dyDescent="0.3">
      <c r="A86" s="28"/>
      <c r="B86" s="29"/>
      <c r="C86">
        <v>17</v>
      </c>
      <c r="D86" t="s">
        <v>15</v>
      </c>
      <c r="E86" s="1">
        <v>-30.505676269531001</v>
      </c>
      <c r="F86" s="1">
        <v>157.04180908203099</v>
      </c>
      <c r="G86" s="1">
        <v>8.0366344451899998</v>
      </c>
      <c r="H86" s="27"/>
      <c r="I86" s="27"/>
      <c r="J86" s="27"/>
      <c r="K86" s="19">
        <v>40000</v>
      </c>
      <c r="L86" s="19">
        <v>4</v>
      </c>
      <c r="M86" s="19">
        <f t="shared" si="9"/>
        <v>160000</v>
      </c>
      <c r="N86" s="1">
        <f t="shared" si="10"/>
        <v>-4880908.20312496</v>
      </c>
      <c r="O86" s="1">
        <f t="shared" si="11"/>
        <v>25126689.453124959</v>
      </c>
      <c r="P86" s="1">
        <f t="shared" si="12"/>
        <v>1285861.5112304001</v>
      </c>
    </row>
    <row r="87" spans="1:16" x14ac:dyDescent="0.3">
      <c r="A87" s="28"/>
      <c r="B87" s="29"/>
      <c r="C87">
        <v>18</v>
      </c>
      <c r="D87" t="s">
        <v>15</v>
      </c>
      <c r="E87" s="1">
        <v>-36.582149505615</v>
      </c>
      <c r="F87" s="1">
        <v>152.39129638671901</v>
      </c>
      <c r="G87" s="1">
        <v>-9.5047473907469993</v>
      </c>
      <c r="H87" s="27"/>
      <c r="I87" s="27"/>
      <c r="J87" s="27"/>
      <c r="K87" s="19">
        <v>40000</v>
      </c>
      <c r="L87" s="19">
        <v>4</v>
      </c>
      <c r="M87" s="19">
        <f t="shared" si="9"/>
        <v>160000</v>
      </c>
      <c r="N87" s="1">
        <f t="shared" si="10"/>
        <v>-5853143.9208984002</v>
      </c>
      <c r="O87" s="1">
        <f t="shared" si="11"/>
        <v>24382607.421875041</v>
      </c>
      <c r="P87" s="1">
        <f t="shared" si="12"/>
        <v>-1520759.5825195198</v>
      </c>
    </row>
    <row r="88" spans="1:16" x14ac:dyDescent="0.3">
      <c r="A88" s="28"/>
      <c r="B88" s="29">
        <v>4</v>
      </c>
      <c r="C88">
        <v>19</v>
      </c>
      <c r="D88" t="s">
        <v>15</v>
      </c>
      <c r="E88" s="1">
        <v>-36.217830657958999</v>
      </c>
      <c r="F88" s="1">
        <v>152.31993103027301</v>
      </c>
      <c r="G88" s="1">
        <v>2.6869487762449999</v>
      </c>
      <c r="H88" s="27">
        <f>SUM(N88:N93)/SUM(M88:M93)</f>
        <v>-31.209428151448328</v>
      </c>
      <c r="I88" s="27">
        <f>SUM(O88:O93)/SUM(M88:M93)</f>
        <v>154.21927897135436</v>
      </c>
      <c r="J88" s="27">
        <f>SUM(P88:P93)/SUM(M88:M93)</f>
        <v>7.8000585238138331</v>
      </c>
      <c r="K88" s="19">
        <v>40000</v>
      </c>
      <c r="L88" s="19">
        <v>4</v>
      </c>
      <c r="M88" s="19">
        <f t="shared" si="9"/>
        <v>160000</v>
      </c>
      <c r="N88" s="1">
        <f t="shared" si="10"/>
        <v>-5794852.9052734394</v>
      </c>
      <c r="O88" s="1">
        <f t="shared" si="11"/>
        <v>24371188.964843683</v>
      </c>
      <c r="P88" s="1">
        <f t="shared" si="12"/>
        <v>429911.80419920001</v>
      </c>
    </row>
    <row r="89" spans="1:16" x14ac:dyDescent="0.3">
      <c r="A89" s="28"/>
      <c r="B89" s="29"/>
      <c r="C89">
        <v>20</v>
      </c>
      <c r="D89" t="s">
        <v>15</v>
      </c>
      <c r="E89" s="1">
        <v>-30.507209777831999</v>
      </c>
      <c r="F89" s="1">
        <v>157.17788696289099</v>
      </c>
      <c r="G89" s="1">
        <v>8.0368738174440004</v>
      </c>
      <c r="H89" s="27"/>
      <c r="I89" s="27"/>
      <c r="J89" s="27"/>
      <c r="K89" s="19">
        <v>40000</v>
      </c>
      <c r="L89" s="19">
        <v>4</v>
      </c>
      <c r="M89" s="19">
        <f t="shared" si="9"/>
        <v>160000</v>
      </c>
      <c r="N89" s="1">
        <f t="shared" si="10"/>
        <v>-4881153.5644531203</v>
      </c>
      <c r="O89" s="1">
        <f t="shared" si="11"/>
        <v>25148461.91406256</v>
      </c>
      <c r="P89" s="1">
        <f t="shared" si="12"/>
        <v>1285899.8107910401</v>
      </c>
    </row>
    <row r="90" spans="1:16" x14ac:dyDescent="0.3">
      <c r="A90" s="28"/>
      <c r="B90" s="29"/>
      <c r="C90">
        <v>21</v>
      </c>
      <c r="D90" t="s">
        <v>15</v>
      </c>
      <c r="E90" s="1">
        <v>-26.932516098021999</v>
      </c>
      <c r="F90" s="1">
        <v>153.32044982910199</v>
      </c>
      <c r="G90" s="1">
        <v>12.676372528076</v>
      </c>
      <c r="H90" s="27"/>
      <c r="I90" s="27"/>
      <c r="J90" s="27"/>
      <c r="K90" s="19">
        <v>40000</v>
      </c>
      <c r="L90" s="19">
        <v>4</v>
      </c>
      <c r="M90" s="19">
        <f t="shared" si="9"/>
        <v>160000</v>
      </c>
      <c r="N90" s="1">
        <f t="shared" si="10"/>
        <v>-4309202.5756835202</v>
      </c>
      <c r="O90" s="1">
        <f t="shared" si="11"/>
        <v>24531271.972656317</v>
      </c>
      <c r="P90" s="1">
        <f t="shared" si="12"/>
        <v>2028219.60449216</v>
      </c>
    </row>
    <row r="91" spans="1:16" x14ac:dyDescent="0.3">
      <c r="A91" s="28"/>
      <c r="B91" s="29"/>
      <c r="C91">
        <v>22</v>
      </c>
      <c r="D91" t="s">
        <v>15</v>
      </c>
      <c r="E91" s="1">
        <v>-26.279409408568998</v>
      </c>
      <c r="F91" s="1">
        <v>153.16491699218801</v>
      </c>
      <c r="G91" s="1">
        <v>37.076705932617003</v>
      </c>
      <c r="H91" s="27"/>
      <c r="I91" s="27"/>
      <c r="J91" s="27"/>
      <c r="K91" s="19">
        <v>40000</v>
      </c>
      <c r="L91" s="19">
        <v>4</v>
      </c>
      <c r="M91" s="19">
        <f t="shared" si="9"/>
        <v>160000</v>
      </c>
      <c r="N91" s="1">
        <f t="shared" si="10"/>
        <v>-4204705.5053710397</v>
      </c>
      <c r="O91" s="1">
        <f t="shared" si="11"/>
        <v>24506386.718750082</v>
      </c>
      <c r="P91" s="1">
        <f t="shared" si="12"/>
        <v>5932272.9492187202</v>
      </c>
    </row>
    <row r="92" spans="1:16" x14ac:dyDescent="0.3">
      <c r="A92" s="28"/>
      <c r="B92" s="29"/>
      <c r="C92">
        <v>23</v>
      </c>
      <c r="D92" t="s">
        <v>15</v>
      </c>
      <c r="E92" s="1">
        <v>-30.692958831786999</v>
      </c>
      <c r="F92" s="1">
        <v>157.077224731445</v>
      </c>
      <c r="G92" s="1">
        <v>8.0331859588619992</v>
      </c>
      <c r="H92" s="27"/>
      <c r="I92" s="27"/>
      <c r="J92" s="27"/>
      <c r="K92" s="19">
        <v>40000</v>
      </c>
      <c r="L92" s="19">
        <v>4</v>
      </c>
      <c r="M92" s="19">
        <f t="shared" si="9"/>
        <v>160000</v>
      </c>
      <c r="N92" s="1">
        <f t="shared" si="10"/>
        <v>-4910873.4130859198</v>
      </c>
      <c r="O92" s="1">
        <f t="shared" si="11"/>
        <v>25132355.957031202</v>
      </c>
      <c r="P92" s="1">
        <f t="shared" si="12"/>
        <v>1285309.7534179199</v>
      </c>
    </row>
    <row r="93" spans="1:16" x14ac:dyDescent="0.3">
      <c r="A93" s="28"/>
      <c r="B93" s="29"/>
      <c r="C93">
        <v>24</v>
      </c>
      <c r="D93" t="s">
        <v>15</v>
      </c>
      <c r="E93" s="1">
        <v>-36.626644134521001</v>
      </c>
      <c r="F93" s="1">
        <v>152.25526428222699</v>
      </c>
      <c r="G93" s="1">
        <v>-21.709735870361001</v>
      </c>
      <c r="H93" s="27"/>
      <c r="I93" s="27"/>
      <c r="J93" s="27"/>
      <c r="K93" s="19">
        <v>40000</v>
      </c>
      <c r="L93" s="19">
        <v>4</v>
      </c>
      <c r="M93" s="19">
        <f t="shared" si="9"/>
        <v>160000</v>
      </c>
      <c r="N93" s="1">
        <f t="shared" si="10"/>
        <v>-5860263.0615233602</v>
      </c>
      <c r="O93" s="1">
        <f t="shared" si="11"/>
        <v>24360842.285156317</v>
      </c>
      <c r="P93" s="1">
        <f t="shared" si="12"/>
        <v>-3473557.7392577603</v>
      </c>
    </row>
    <row r="94" spans="1:16" x14ac:dyDescent="0.3">
      <c r="A94" s="28"/>
      <c r="B94" s="29">
        <v>5</v>
      </c>
      <c r="C94">
        <v>25</v>
      </c>
      <c r="D94" t="s">
        <v>15</v>
      </c>
      <c r="E94" s="1">
        <v>-35.70495223999</v>
      </c>
      <c r="F94" s="1">
        <v>152.09687805175801</v>
      </c>
      <c r="G94" s="1">
        <v>14.692145347595</v>
      </c>
      <c r="H94" s="27">
        <f>SUM(N94:N99)/SUM(M94:M99)</f>
        <v>-30.64623483022033</v>
      </c>
      <c r="I94" s="27">
        <f>SUM(O94:O99)/SUM(M94:M99)</f>
        <v>155.08257802327483</v>
      </c>
      <c r="J94" s="27">
        <f>SUM(P94:P99)/SUM(M94:M99)</f>
        <v>7.8000586132206671</v>
      </c>
      <c r="K94" s="19">
        <v>40000</v>
      </c>
      <c r="L94" s="19">
        <v>4</v>
      </c>
      <c r="M94" s="19">
        <f t="shared" si="9"/>
        <v>160000</v>
      </c>
      <c r="N94" s="1">
        <f t="shared" si="10"/>
        <v>-5712792.3583984002</v>
      </c>
      <c r="O94" s="1">
        <f t="shared" si="11"/>
        <v>24335500.488281284</v>
      </c>
      <c r="P94" s="1">
        <f t="shared" si="12"/>
        <v>2350743.2556151999</v>
      </c>
    </row>
    <row r="95" spans="1:16" x14ac:dyDescent="0.3">
      <c r="A95" s="28"/>
      <c r="B95" s="29"/>
      <c r="C95">
        <v>26</v>
      </c>
      <c r="D95" t="s">
        <v>15</v>
      </c>
      <c r="E95" s="1">
        <v>-29.892358779906999</v>
      </c>
      <c r="F95" s="1">
        <v>157.02005004882801</v>
      </c>
      <c r="G95" s="1">
        <v>8.41854763031</v>
      </c>
      <c r="H95" s="27"/>
      <c r="I95" s="27"/>
      <c r="J95" s="27"/>
      <c r="K95" s="19">
        <v>40000</v>
      </c>
      <c r="L95" s="19">
        <v>4</v>
      </c>
      <c r="M95" s="19">
        <f t="shared" si="9"/>
        <v>160000</v>
      </c>
      <c r="N95" s="1">
        <f t="shared" si="10"/>
        <v>-4782777.4047851199</v>
      </c>
      <c r="O95" s="1">
        <f t="shared" si="11"/>
        <v>25123208.007812481</v>
      </c>
      <c r="P95" s="1">
        <f t="shared" si="12"/>
        <v>1346967.6208496001</v>
      </c>
    </row>
    <row r="96" spans="1:16" x14ac:dyDescent="0.3">
      <c r="A96" s="28"/>
      <c r="B96" s="29"/>
      <c r="C96">
        <v>27</v>
      </c>
      <c r="D96" t="s">
        <v>15</v>
      </c>
      <c r="E96" s="1">
        <v>-29.143712997437</v>
      </c>
      <c r="F96" s="1">
        <v>153.40693664550801</v>
      </c>
      <c r="G96" s="1">
        <v>0.289502203465</v>
      </c>
      <c r="H96" s="27"/>
      <c r="I96" s="27"/>
      <c r="J96" s="27"/>
      <c r="K96" s="19">
        <v>40000</v>
      </c>
      <c r="L96" s="19">
        <v>4</v>
      </c>
      <c r="M96" s="19">
        <f t="shared" si="9"/>
        <v>160000</v>
      </c>
      <c r="N96" s="1">
        <f t="shared" si="10"/>
        <v>-4662994.0795899201</v>
      </c>
      <c r="O96" s="1">
        <f t="shared" si="11"/>
        <v>24545109.863281284</v>
      </c>
      <c r="P96" s="1">
        <f t="shared" si="12"/>
        <v>46320.3525544</v>
      </c>
    </row>
    <row r="97" spans="1:16" x14ac:dyDescent="0.3">
      <c r="A97" s="28"/>
      <c r="B97" s="29"/>
      <c r="C97">
        <v>28</v>
      </c>
      <c r="D97" t="s">
        <v>15</v>
      </c>
      <c r="E97" s="1">
        <v>-18.340517044066999</v>
      </c>
      <c r="F97" s="1">
        <v>160.18016052246099</v>
      </c>
      <c r="G97" s="1">
        <v>48.100791931152003</v>
      </c>
      <c r="H97" s="27"/>
      <c r="I97" s="27"/>
      <c r="J97" s="27"/>
      <c r="K97" s="19">
        <v>40000</v>
      </c>
      <c r="L97" s="19">
        <v>4</v>
      </c>
      <c r="M97" s="19">
        <f t="shared" si="9"/>
        <v>160000</v>
      </c>
      <c r="N97" s="1">
        <f t="shared" si="10"/>
        <v>-2934482.7270507198</v>
      </c>
      <c r="O97" s="1">
        <f t="shared" si="11"/>
        <v>25628825.683593757</v>
      </c>
      <c r="P97" s="1">
        <f t="shared" si="12"/>
        <v>7696126.7089843201</v>
      </c>
    </row>
    <row r="98" spans="1:16" x14ac:dyDescent="0.3">
      <c r="A98" s="28"/>
      <c r="B98" s="29"/>
      <c r="C98">
        <v>29</v>
      </c>
      <c r="D98" t="s">
        <v>15</v>
      </c>
      <c r="E98" s="1">
        <v>-32.538997650146001</v>
      </c>
      <c r="F98" s="1">
        <v>148.58193969726599</v>
      </c>
      <c r="G98" s="1">
        <v>7.8431305885310003</v>
      </c>
      <c r="H98" s="27"/>
      <c r="I98" s="27"/>
      <c r="J98" s="27"/>
      <c r="K98" s="19">
        <v>40000</v>
      </c>
      <c r="L98" s="19">
        <v>4</v>
      </c>
      <c r="M98" s="19">
        <f t="shared" si="9"/>
        <v>160000</v>
      </c>
      <c r="N98" s="1">
        <f t="shared" si="10"/>
        <v>-5206239.6240233602</v>
      </c>
      <c r="O98" s="1">
        <f t="shared" si="11"/>
        <v>23773110.35156256</v>
      </c>
      <c r="P98" s="1">
        <f t="shared" si="12"/>
        <v>1254900.8941649601</v>
      </c>
    </row>
    <row r="99" spans="1:16" x14ac:dyDescent="0.3">
      <c r="A99" s="28"/>
      <c r="B99" s="29"/>
      <c r="C99">
        <v>30</v>
      </c>
      <c r="D99" t="s">
        <v>15</v>
      </c>
      <c r="E99" s="1">
        <v>-38.256870269775</v>
      </c>
      <c r="F99" s="1">
        <v>159.20950317382801</v>
      </c>
      <c r="G99" s="1">
        <v>-32.543766021728999</v>
      </c>
      <c r="H99" s="27"/>
      <c r="I99" s="27"/>
      <c r="J99" s="27"/>
      <c r="K99" s="19">
        <v>40000</v>
      </c>
      <c r="L99" s="19">
        <v>4</v>
      </c>
      <c r="M99" s="19">
        <f t="shared" si="9"/>
        <v>160000</v>
      </c>
      <c r="N99" s="1">
        <f t="shared" si="10"/>
        <v>-6121099.2431640001</v>
      </c>
      <c r="O99" s="1">
        <f t="shared" si="11"/>
        <v>25473520.507812481</v>
      </c>
      <c r="P99" s="1">
        <f t="shared" si="12"/>
        <v>-5207002.5634766398</v>
      </c>
    </row>
  </sheetData>
  <mergeCells count="63">
    <mergeCell ref="H10:H15"/>
    <mergeCell ref="J40:J45"/>
    <mergeCell ref="J46:J51"/>
    <mergeCell ref="H16:H21"/>
    <mergeCell ref="H22:H27"/>
    <mergeCell ref="H28:H33"/>
    <mergeCell ref="I16:I21"/>
    <mergeCell ref="I22:I27"/>
    <mergeCell ref="I28:I33"/>
    <mergeCell ref="I70:I75"/>
    <mergeCell ref="J16:J21"/>
    <mergeCell ref="J22:J27"/>
    <mergeCell ref="J28:J33"/>
    <mergeCell ref="I10:I15"/>
    <mergeCell ref="J10:J15"/>
    <mergeCell ref="A10:A39"/>
    <mergeCell ref="A40:A69"/>
    <mergeCell ref="B10:B15"/>
    <mergeCell ref="B16:B21"/>
    <mergeCell ref="B22:B27"/>
    <mergeCell ref="B28:B33"/>
    <mergeCell ref="B34:B39"/>
    <mergeCell ref="J70:J75"/>
    <mergeCell ref="I40:I45"/>
    <mergeCell ref="J82:J87"/>
    <mergeCell ref="H88:H93"/>
    <mergeCell ref="J88:J93"/>
    <mergeCell ref="I76:I81"/>
    <mergeCell ref="I82:I87"/>
    <mergeCell ref="J52:J57"/>
    <mergeCell ref="J58:J63"/>
    <mergeCell ref="H64:H69"/>
    <mergeCell ref="H40:H45"/>
    <mergeCell ref="H70:H75"/>
    <mergeCell ref="H76:H81"/>
    <mergeCell ref="I46:I51"/>
    <mergeCell ref="I52:I57"/>
    <mergeCell ref="I58:I63"/>
    <mergeCell ref="J34:J39"/>
    <mergeCell ref="H34:H39"/>
    <mergeCell ref="I34:I39"/>
    <mergeCell ref="J64:J69"/>
    <mergeCell ref="H52:H57"/>
    <mergeCell ref="H58:H63"/>
    <mergeCell ref="I64:I69"/>
    <mergeCell ref="H46:H51"/>
    <mergeCell ref="A70:A99"/>
    <mergeCell ref="B40:B45"/>
    <mergeCell ref="B46:B51"/>
    <mergeCell ref="B52:B57"/>
    <mergeCell ref="B58:B63"/>
    <mergeCell ref="B64:B69"/>
    <mergeCell ref="B76:B81"/>
    <mergeCell ref="B82:B87"/>
    <mergeCell ref="B88:B93"/>
    <mergeCell ref="B94:B99"/>
    <mergeCell ref="B70:B75"/>
    <mergeCell ref="H82:H87"/>
    <mergeCell ref="J94:J99"/>
    <mergeCell ref="I88:I93"/>
    <mergeCell ref="I94:I99"/>
    <mergeCell ref="J76:J81"/>
    <mergeCell ref="H94:H9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CD19-40E0-4C4A-8E38-2BDF1054A5B7}">
  <dimension ref="A1:I30"/>
  <sheetViews>
    <sheetView zoomScale="85" zoomScaleNormal="85" workbookViewId="0">
      <selection activeCell="B19" sqref="B19"/>
    </sheetView>
  </sheetViews>
  <sheetFormatPr defaultRowHeight="14.4" x14ac:dyDescent="0.3"/>
  <cols>
    <col min="1" max="1" width="20.88671875" style="1" bestFit="1" customWidth="1"/>
    <col min="2" max="2" width="21.5546875" style="1" bestFit="1" customWidth="1"/>
    <col min="3" max="3" width="16.21875" style="1" bestFit="1" customWidth="1"/>
    <col min="4" max="4" width="18.44140625" style="1" bestFit="1" customWidth="1"/>
    <col min="5" max="6" width="16.21875" style="1" bestFit="1" customWidth="1"/>
    <col min="7" max="7" width="20.5546875" style="1" bestFit="1" customWidth="1"/>
    <col min="8" max="8" width="19.44140625" style="1" bestFit="1" customWidth="1"/>
    <col min="9" max="9" width="20.5546875" style="1" bestFit="1" customWidth="1"/>
    <col min="10" max="10" width="25.21875" style="1" bestFit="1" customWidth="1"/>
    <col min="11" max="16384" width="8.88671875" style="1"/>
  </cols>
  <sheetData>
    <row r="1" spans="1:9" x14ac:dyDescent="0.3">
      <c r="A1" s="1" t="s">
        <v>73</v>
      </c>
      <c r="B1" s="1">
        <v>160</v>
      </c>
    </row>
    <row r="2" spans="1:9" x14ac:dyDescent="0.3">
      <c r="A2" s="1" t="s">
        <v>74</v>
      </c>
      <c r="B2" s="1">
        <v>70</v>
      </c>
    </row>
    <row r="3" spans="1:9" x14ac:dyDescent="0.3">
      <c r="A3" s="1" t="s">
        <v>75</v>
      </c>
      <c r="B3" s="1">
        <v>6</v>
      </c>
    </row>
    <row r="4" spans="1:9" x14ac:dyDescent="0.3">
      <c r="A4" s="1" t="s">
        <v>76</v>
      </c>
      <c r="B4" s="1">
        <v>4</v>
      </c>
    </row>
    <row r="5" spans="1:9" x14ac:dyDescent="0.3">
      <c r="A5" s="1" t="s">
        <v>77</v>
      </c>
      <c r="B5" s="1">
        <v>400</v>
      </c>
    </row>
    <row r="6" spans="1:9" x14ac:dyDescent="0.3">
      <c r="A6" s="1" t="s">
        <v>78</v>
      </c>
      <c r="B6" s="1">
        <v>7</v>
      </c>
    </row>
    <row r="7" spans="1:9" x14ac:dyDescent="0.3">
      <c r="A7" s="1" t="s">
        <v>81</v>
      </c>
      <c r="B7" s="1">
        <v>600</v>
      </c>
    </row>
    <row r="8" spans="1:9" x14ac:dyDescent="0.3">
      <c r="A8" s="1" t="s">
        <v>63</v>
      </c>
      <c r="B8" s="1">
        <f>((B11*C11*E11)+(B12*C12*E12)+(B13*C13*E13))/B23</f>
        <v>0.69920318725099606</v>
      </c>
    </row>
    <row r="10" spans="1:9" x14ac:dyDescent="0.3">
      <c r="B10" s="1" t="s">
        <v>62</v>
      </c>
      <c r="C10" s="1" t="s">
        <v>61</v>
      </c>
      <c r="D10" s="1" t="s">
        <v>60</v>
      </c>
      <c r="E10" s="1" t="s">
        <v>59</v>
      </c>
      <c r="F10" s="1" t="s">
        <v>58</v>
      </c>
      <c r="G10" s="1" t="s">
        <v>57</v>
      </c>
      <c r="H10" s="1" t="s">
        <v>56</v>
      </c>
      <c r="I10" s="1" t="s">
        <v>87</v>
      </c>
    </row>
    <row r="11" spans="1:9" x14ac:dyDescent="0.3">
      <c r="A11" s="1" t="s">
        <v>55</v>
      </c>
      <c r="B11" s="1">
        <f>B5</f>
        <v>400</v>
      </c>
      <c r="C11" s="1">
        <f>B6</f>
        <v>7</v>
      </c>
      <c r="D11" s="1">
        <f>C11*B11</f>
        <v>2800</v>
      </c>
      <c r="E11" s="1">
        <f>-(C11/2)</f>
        <v>-3.5</v>
      </c>
      <c r="F11" s="1">
        <f>E11-$B$8</f>
        <v>-4.1992031872509958</v>
      </c>
      <c r="G11" s="1">
        <f>D11*((F11)^2)</f>
        <v>49373.260741892984</v>
      </c>
      <c r="H11" s="1">
        <f>(B11*C11^3)/12</f>
        <v>11433.333333333334</v>
      </c>
      <c r="I11" s="1">
        <f>H11+G11</f>
        <v>60806.59407522632</v>
      </c>
    </row>
    <row r="12" spans="1:9" x14ac:dyDescent="0.3">
      <c r="A12" s="1" t="s">
        <v>54</v>
      </c>
      <c r="B12" s="1">
        <f>B4</f>
        <v>4</v>
      </c>
      <c r="C12" s="1">
        <f>B2-B3</f>
        <v>64</v>
      </c>
      <c r="D12" s="1">
        <f>C12*B12</f>
        <v>256</v>
      </c>
      <c r="E12" s="1">
        <f>(C12/2)+B3</f>
        <v>38</v>
      </c>
      <c r="F12" s="1">
        <f>E12-$B$8</f>
        <v>37.300796812749006</v>
      </c>
      <c r="G12" s="1">
        <f>D12*((F12)^2)</f>
        <v>356185.45737369254</v>
      </c>
      <c r="H12" s="1">
        <f>(B12*C12^3)/12</f>
        <v>87381.333333333328</v>
      </c>
      <c r="I12" s="1">
        <f>H12+G12</f>
        <v>443566.79070702585</v>
      </c>
    </row>
    <row r="13" spans="1:9" x14ac:dyDescent="0.3">
      <c r="A13" s="1" t="s">
        <v>53</v>
      </c>
      <c r="B13" s="1">
        <f>B1</f>
        <v>160</v>
      </c>
      <c r="C13" s="1">
        <f>B3</f>
        <v>6</v>
      </c>
      <c r="D13" s="1">
        <f>C13*B13</f>
        <v>960</v>
      </c>
      <c r="E13" s="1">
        <f>C13/2</f>
        <v>3</v>
      </c>
      <c r="F13" s="1">
        <f>E13-$B$8</f>
        <v>2.3007968127490042</v>
      </c>
      <c r="G13" s="1">
        <f>D13*((F13)^2)</f>
        <v>5081.9193346137372</v>
      </c>
      <c r="H13" s="1">
        <f>(B13*C13^3)/12</f>
        <v>2880</v>
      </c>
      <c r="I13" s="1">
        <f>H13+G13</f>
        <v>7961.9193346137372</v>
      </c>
    </row>
    <row r="15" spans="1:9" x14ac:dyDescent="0.3">
      <c r="A15" s="1" t="s">
        <v>86</v>
      </c>
      <c r="B15" s="1">
        <f>SUM(I11:I13)</f>
        <v>512335.30411686591</v>
      </c>
    </row>
    <row r="16" spans="1:9" x14ac:dyDescent="0.3">
      <c r="A16" s="1" t="s">
        <v>52</v>
      </c>
      <c r="B16" s="1">
        <f>SQRT(B15/B23)</f>
        <v>11.294845368645381</v>
      </c>
      <c r="C16" s="1" t="s">
        <v>80</v>
      </c>
    </row>
    <row r="17" spans="1:3" x14ac:dyDescent="0.3">
      <c r="A17" s="1" t="s">
        <v>51</v>
      </c>
      <c r="B17" s="1">
        <f>B7/B16</f>
        <v>53.121577181180967</v>
      </c>
      <c r="C17" s="1" t="s">
        <v>79</v>
      </c>
    </row>
    <row r="19" spans="1:3" x14ac:dyDescent="0.3">
      <c r="A19" s="1" t="s">
        <v>50</v>
      </c>
      <c r="B19" s="1">
        <f>((PI()^2)*66052.82)/(B17^2)</f>
        <v>231.01979151124903</v>
      </c>
    </row>
    <row r="21" spans="1:3" x14ac:dyDescent="0.3">
      <c r="A21" s="1" t="s">
        <v>83</v>
      </c>
      <c r="B21" s="1">
        <f>((B5*B6*B7*5)+((D12+D13)*B7*4))*B22</f>
        <v>30.55968</v>
      </c>
    </row>
    <row r="22" spans="1:3" x14ac:dyDescent="0.3">
      <c r="A22" s="1" t="s">
        <v>82</v>
      </c>
      <c r="B22" s="1">
        <v>2.7E-6</v>
      </c>
    </row>
    <row r="23" spans="1:3" x14ac:dyDescent="0.3">
      <c r="A23" s="1" t="s">
        <v>84</v>
      </c>
      <c r="B23" s="1">
        <f>SUM(D11:D13)</f>
        <v>4016</v>
      </c>
    </row>
    <row r="24" spans="1:3" x14ac:dyDescent="0.3">
      <c r="A24" s="1" t="s">
        <v>85</v>
      </c>
      <c r="B24" s="1">
        <f>D12+D13</f>
        <v>1216</v>
      </c>
    </row>
    <row r="25" spans="1:3" x14ac:dyDescent="0.3">
      <c r="A25" s="1" t="s">
        <v>72</v>
      </c>
      <c r="B25" s="1">
        <f>((B12*C12*E12)+(B13*C13*E13))/B24</f>
        <v>10.368421052631579</v>
      </c>
    </row>
    <row r="26" spans="1:3" x14ac:dyDescent="0.3">
      <c r="A26" s="1" t="s">
        <v>88</v>
      </c>
      <c r="B26" s="1">
        <f>B6/2</f>
        <v>3.5</v>
      </c>
    </row>
    <row r="27" spans="1:3" x14ac:dyDescent="0.3">
      <c r="A27" s="1" t="s">
        <v>89</v>
      </c>
      <c r="B27" s="1">
        <v>66052.820000000007</v>
      </c>
    </row>
    <row r="28" spans="1:3" x14ac:dyDescent="0.3">
      <c r="A28" s="1" t="s">
        <v>90</v>
      </c>
      <c r="B28" s="1">
        <v>0.34</v>
      </c>
    </row>
    <row r="30" spans="1:3" x14ac:dyDescent="0.3">
      <c r="A30" s="1" t="s">
        <v>4</v>
      </c>
      <c r="B30" s="1">
        <f>(B27*PI()^2*B6^2)/(12*(1-(0.34)^2*(400)^2))</f>
        <v>-143.93009347500131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CABD-5B7B-49FC-90FD-769806833419}">
  <dimension ref="A1:I41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20.88671875" style="1" bestFit="1" customWidth="1"/>
    <col min="2" max="2" width="22.5546875" style="1" bestFit="1" customWidth="1"/>
    <col min="3" max="3" width="17.21875" style="1" bestFit="1" customWidth="1"/>
    <col min="4" max="4" width="9.77734375" style="1" bestFit="1" customWidth="1"/>
    <col min="5" max="6" width="7.6640625" style="1" bestFit="1" customWidth="1"/>
    <col min="7" max="8" width="20.5546875" style="1" bestFit="1" customWidth="1"/>
    <col min="9" max="9" width="21.5546875" style="1" bestFit="1" customWidth="1"/>
    <col min="10" max="10" width="25.21875" style="1" bestFit="1" customWidth="1"/>
    <col min="11" max="16384" width="8.88671875" style="1"/>
  </cols>
  <sheetData>
    <row r="1" spans="1:9" x14ac:dyDescent="0.3">
      <c r="A1" s="1" t="s">
        <v>73</v>
      </c>
      <c r="B1" s="19">
        <v>120</v>
      </c>
    </row>
    <row r="2" spans="1:9" x14ac:dyDescent="0.3">
      <c r="A2" s="1" t="s">
        <v>74</v>
      </c>
      <c r="B2" s="19">
        <v>50</v>
      </c>
    </row>
    <row r="3" spans="1:9" x14ac:dyDescent="0.3">
      <c r="A3" s="1" t="s">
        <v>75</v>
      </c>
      <c r="B3" s="19">
        <v>4</v>
      </c>
    </row>
    <row r="4" spans="1:9" x14ac:dyDescent="0.3">
      <c r="A4" s="1" t="s">
        <v>76</v>
      </c>
      <c r="B4" s="19">
        <v>3</v>
      </c>
    </row>
    <row r="5" spans="1:9" x14ac:dyDescent="0.3">
      <c r="A5" s="1" t="s">
        <v>77</v>
      </c>
      <c r="B5" s="19">
        <v>400</v>
      </c>
    </row>
    <row r="6" spans="1:9" x14ac:dyDescent="0.3">
      <c r="A6" s="1" t="s">
        <v>78</v>
      </c>
      <c r="B6" s="19">
        <v>8</v>
      </c>
    </row>
    <row r="7" spans="1:9" x14ac:dyDescent="0.3">
      <c r="A7" s="1" t="s">
        <v>81</v>
      </c>
      <c r="B7" s="19">
        <v>600</v>
      </c>
    </row>
    <row r="9" spans="1:9" x14ac:dyDescent="0.3">
      <c r="B9" s="1" t="s">
        <v>62</v>
      </c>
    </row>
    <row r="10" spans="1:9" x14ac:dyDescent="0.3">
      <c r="A10" s="1" t="s">
        <v>55</v>
      </c>
      <c r="B10" s="31">
        <f>B5</f>
        <v>400</v>
      </c>
      <c r="C10" s="1" t="s">
        <v>61</v>
      </c>
      <c r="D10" s="1" t="s">
        <v>60</v>
      </c>
      <c r="E10" s="1" t="s">
        <v>59</v>
      </c>
      <c r="F10" s="1" t="s">
        <v>58</v>
      </c>
      <c r="G10" s="1" t="s">
        <v>57</v>
      </c>
      <c r="H10" s="1" t="s">
        <v>56</v>
      </c>
      <c r="I10" s="1" t="s">
        <v>87</v>
      </c>
    </row>
    <row r="11" spans="1:9" x14ac:dyDescent="0.3">
      <c r="A11" s="1" t="s">
        <v>54</v>
      </c>
      <c r="B11" s="31">
        <f>B4</f>
        <v>3</v>
      </c>
      <c r="C11" s="31">
        <f>B6</f>
        <v>8</v>
      </c>
      <c r="D11" s="31">
        <f>C11*B10</f>
        <v>3200</v>
      </c>
      <c r="E11" s="31">
        <f>-(C11/2)</f>
        <v>-4</v>
      </c>
      <c r="F11" s="31">
        <f>E11-$B$26</f>
        <v>-1.8748035620743844</v>
      </c>
      <c r="G11" s="1">
        <f>D11*((F11)^2)</f>
        <v>11247.642868373759</v>
      </c>
      <c r="H11" s="1">
        <f>(B10*C11^3)/12</f>
        <v>17066.666666666668</v>
      </c>
      <c r="I11" s="1">
        <f>H11+G11</f>
        <v>28314.309535040426</v>
      </c>
    </row>
    <row r="12" spans="1:9" x14ac:dyDescent="0.3">
      <c r="A12" s="1" t="s">
        <v>53</v>
      </c>
      <c r="B12" s="31">
        <f>B1</f>
        <v>120</v>
      </c>
      <c r="C12" s="31">
        <f>B2-B3</f>
        <v>46</v>
      </c>
      <c r="D12" s="31">
        <f>C12*B11</f>
        <v>138</v>
      </c>
      <c r="E12" s="31">
        <f>(C12/2)+B3</f>
        <v>27</v>
      </c>
      <c r="F12" s="31">
        <f>E12-$B$26</f>
        <v>29.125196437925617</v>
      </c>
      <c r="G12" s="1">
        <f>D12*((F12)^2)</f>
        <v>117062.23532159018</v>
      </c>
      <c r="H12" s="1">
        <f>(B11*C12^3)/12</f>
        <v>24334</v>
      </c>
      <c r="I12" s="1">
        <f>H12+G12</f>
        <v>141396.23532159018</v>
      </c>
    </row>
    <row r="13" spans="1:9" x14ac:dyDescent="0.3">
      <c r="C13" s="31">
        <f>B3</f>
        <v>4</v>
      </c>
      <c r="D13" s="31">
        <f>C13*B12</f>
        <v>480</v>
      </c>
      <c r="E13" s="31">
        <f>C13/2</f>
        <v>2</v>
      </c>
      <c r="F13" s="31">
        <f>E13-$B$26</f>
        <v>4.1251964379256156</v>
      </c>
      <c r="G13" s="1">
        <f>D13*((F13)^2)</f>
        <v>8168.2779127076101</v>
      </c>
      <c r="H13" s="1">
        <f>(B12*C13^3)/12</f>
        <v>640</v>
      </c>
      <c r="I13" s="1">
        <f>H13+G13</f>
        <v>8808.2779127076101</v>
      </c>
    </row>
    <row r="14" spans="1:9" x14ac:dyDescent="0.3">
      <c r="A14" s="1" t="s">
        <v>86</v>
      </c>
      <c r="B14" s="1">
        <f>SUM(I11:I13)</f>
        <v>178518.82276933824</v>
      </c>
    </row>
    <row r="15" spans="1:9" x14ac:dyDescent="0.3">
      <c r="A15" s="1" t="s">
        <v>52</v>
      </c>
      <c r="B15" s="1">
        <f>SQRT(B14/B22)</f>
        <v>6.8379204663533857</v>
      </c>
    </row>
    <row r="16" spans="1:9" x14ac:dyDescent="0.3">
      <c r="A16" s="9" t="s">
        <v>51</v>
      </c>
      <c r="B16" s="1">
        <f>B7/B15</f>
        <v>87.745975249691043</v>
      </c>
      <c r="C16" s="1" t="s">
        <v>80</v>
      </c>
    </row>
    <row r="17" spans="1:3" x14ac:dyDescent="0.3">
      <c r="A17" s="9" t="s">
        <v>101</v>
      </c>
      <c r="B17" s="1">
        <f>SQRT((2*PI()^2*73296.4)/C32)</f>
        <v>85.403157046396643</v>
      </c>
      <c r="C17" s="1" t="s">
        <v>79</v>
      </c>
    </row>
    <row r="18" spans="1:3" x14ac:dyDescent="0.3">
      <c r="A18" s="9" t="s">
        <v>50</v>
      </c>
      <c r="B18" s="1">
        <f>((PI()^2)*66052.82)/(B16^2)</f>
        <v>84.67139178509295</v>
      </c>
    </row>
    <row r="20" spans="1:3" x14ac:dyDescent="0.3">
      <c r="A20" s="1" t="s">
        <v>83</v>
      </c>
      <c r="B20" s="1">
        <f>((B5*B6*B7*5)+((D12+D13)*B7*4))*B21</f>
        <v>29.92464</v>
      </c>
    </row>
    <row r="21" spans="1:3" x14ac:dyDescent="0.3">
      <c r="A21" s="1" t="s">
        <v>82</v>
      </c>
      <c r="B21" s="1">
        <v>2.7E-6</v>
      </c>
    </row>
    <row r="22" spans="1:3" x14ac:dyDescent="0.3">
      <c r="A22" s="1" t="s">
        <v>84</v>
      </c>
      <c r="B22" s="19">
        <f>SUM(D11:D13)</f>
        <v>3818</v>
      </c>
    </row>
    <row r="23" spans="1:3" x14ac:dyDescent="0.3">
      <c r="A23" s="1" t="s">
        <v>85</v>
      </c>
      <c r="B23" s="19">
        <f>D12+D13</f>
        <v>618</v>
      </c>
    </row>
    <row r="24" spans="1:3" x14ac:dyDescent="0.3">
      <c r="A24" s="9" t="s">
        <v>72</v>
      </c>
      <c r="B24" s="1">
        <f>((B11*C12*E12)+(B12*C13*E13))/B23</f>
        <v>7.5825242718446599</v>
      </c>
    </row>
    <row r="25" spans="1:3" x14ac:dyDescent="0.3">
      <c r="A25" s="1" t="s">
        <v>88</v>
      </c>
      <c r="B25" s="19">
        <f>B6/2</f>
        <v>4</v>
      </c>
    </row>
    <row r="26" spans="1:3" x14ac:dyDescent="0.3">
      <c r="A26" s="9" t="s">
        <v>63</v>
      </c>
      <c r="B26" s="1">
        <f>((B10*C11*E11)+(B11*C12*E12)+(B12*C13*E13))/B22</f>
        <v>-2.1251964379256156</v>
      </c>
    </row>
    <row r="27" spans="1:3" x14ac:dyDescent="0.3">
      <c r="A27" s="1" t="s">
        <v>89</v>
      </c>
      <c r="B27" s="19">
        <v>66052.820000000007</v>
      </c>
    </row>
    <row r="28" spans="1:3" x14ac:dyDescent="0.3">
      <c r="A28" s="1" t="s">
        <v>90</v>
      </c>
      <c r="B28" s="19">
        <v>0.34</v>
      </c>
    </row>
    <row r="29" spans="1:3" x14ac:dyDescent="0.3">
      <c r="A29" s="1" t="s">
        <v>91</v>
      </c>
      <c r="B29" s="19">
        <v>490</v>
      </c>
    </row>
    <row r="30" spans="1:3" x14ac:dyDescent="0.3">
      <c r="A30" s="1" t="s">
        <v>92</v>
      </c>
      <c r="B30" s="19">
        <v>530</v>
      </c>
    </row>
    <row r="32" spans="1:3" x14ac:dyDescent="0.3">
      <c r="A32" s="9" t="s">
        <v>93</v>
      </c>
      <c r="B32" s="1" t="s">
        <v>94</v>
      </c>
      <c r="C32" s="1">
        <f>C34*B29</f>
        <v>198.36476631836979</v>
      </c>
    </row>
    <row r="34" spans="1:3" x14ac:dyDescent="0.3">
      <c r="A34" s="1" t="s">
        <v>95</v>
      </c>
      <c r="B34" s="1" t="s">
        <v>96</v>
      </c>
      <c r="C34" s="1">
        <f>0.69/((C36)^0.75)</f>
        <v>0.40482605371095876</v>
      </c>
    </row>
    <row r="36" spans="1:3" x14ac:dyDescent="0.3">
      <c r="A36" s="1" t="s">
        <v>97</v>
      </c>
      <c r="B36" s="1" t="s">
        <v>98</v>
      </c>
      <c r="C36" s="1">
        <f>(C38/B4)*SQRT(B29/(0.41*73296.4))</f>
        <v>2.0359831575685807</v>
      </c>
    </row>
    <row r="38" spans="1:3" ht="57.6" x14ac:dyDescent="0.3">
      <c r="A38" s="1" t="s">
        <v>99</v>
      </c>
      <c r="B38" s="30" t="s">
        <v>100</v>
      </c>
      <c r="C38" s="1">
        <f>B2-((B3/B4)*(2-(0.5*(B4/B3))))</f>
        <v>47.833333333333336</v>
      </c>
    </row>
    <row r="39" spans="1:3" x14ac:dyDescent="0.3">
      <c r="B39" s="30"/>
    </row>
    <row r="40" spans="1:3" x14ac:dyDescent="0.3">
      <c r="B40" s="30"/>
    </row>
    <row r="41" spans="1:3" x14ac:dyDescent="0.3">
      <c r="B41" s="3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EDF1-D26A-4C18-B1B2-8F1038EDB9BA}">
  <dimension ref="A1:O21"/>
  <sheetViews>
    <sheetView topLeftCell="E1" workbookViewId="0">
      <selection activeCell="P2" sqref="P2:P14"/>
    </sheetView>
  </sheetViews>
  <sheetFormatPr defaultRowHeight="14.4" x14ac:dyDescent="0.3"/>
  <cols>
    <col min="2" max="2" width="9.6640625" bestFit="1" customWidth="1"/>
    <col min="3" max="3" width="23.88671875" bestFit="1" customWidth="1"/>
    <col min="4" max="9" width="16.33203125" bestFit="1" customWidth="1"/>
    <col min="10" max="10" width="16.33203125" customWidth="1"/>
    <col min="11" max="11" width="11.21875" bestFit="1" customWidth="1"/>
    <col min="12" max="12" width="9.44140625" bestFit="1" customWidth="1"/>
    <col min="13" max="13" width="17.88671875" style="1" bestFit="1" customWidth="1"/>
    <col min="14" max="14" width="16.6640625" bestFit="1" customWidth="1"/>
    <col min="15" max="15" width="21.109375" bestFit="1" customWidth="1"/>
  </cols>
  <sheetData>
    <row r="1" spans="1:15" s="24" customFormat="1" x14ac:dyDescent="0.3">
      <c r="A1" s="24" t="s">
        <v>39</v>
      </c>
      <c r="B1" s="24" t="s">
        <v>71</v>
      </c>
      <c r="C1" s="24" t="s">
        <v>70</v>
      </c>
      <c r="D1" s="24">
        <v>4</v>
      </c>
      <c r="E1" s="24">
        <v>5</v>
      </c>
      <c r="F1" s="24">
        <v>6</v>
      </c>
      <c r="G1" s="24">
        <v>7</v>
      </c>
      <c r="H1" s="24">
        <v>8</v>
      </c>
      <c r="I1" s="24">
        <v>9</v>
      </c>
      <c r="J1" s="24" t="s">
        <v>69</v>
      </c>
      <c r="K1" s="24" t="s">
        <v>68</v>
      </c>
      <c r="L1" s="24" t="s">
        <v>67</v>
      </c>
      <c r="M1" s="26" t="s">
        <v>66</v>
      </c>
      <c r="N1" s="24" t="s">
        <v>65</v>
      </c>
      <c r="O1" s="25" t="s">
        <v>64</v>
      </c>
    </row>
    <row r="2" spans="1:15" x14ac:dyDescent="0.3">
      <c r="A2">
        <v>1</v>
      </c>
      <c r="B2">
        <v>1</v>
      </c>
      <c r="C2">
        <v>-113.21096547444667</v>
      </c>
      <c r="D2" s="1">
        <v>-97.071189880370994</v>
      </c>
      <c r="E2" s="1">
        <v>-90.252021789550994</v>
      </c>
      <c r="F2" s="1">
        <v>-98.721984863280994</v>
      </c>
      <c r="G2" s="1">
        <v>-96.265647888184006</v>
      </c>
      <c r="H2" s="1">
        <v>-92.669143676757997</v>
      </c>
      <c r="I2" s="1">
        <v>-93.662231445312997</v>
      </c>
      <c r="J2" s="1">
        <f>AVERAGE(D2:I2)</f>
        <v>-94.773703257242985</v>
      </c>
      <c r="K2">
        <f>284*600</f>
        <v>170400</v>
      </c>
      <c r="L2">
        <f>400*600*4</f>
        <v>960000</v>
      </c>
      <c r="M2" s="1">
        <f>((C2*K2)+(J2*L2))/(K2+L2)</f>
        <v>-97.552993315462643</v>
      </c>
      <c r="N2" s="8">
        <v>175.661</v>
      </c>
      <c r="O2">
        <f>'iteration (1)'!$B$19/(ABS(M2)*1.5)</f>
        <v>1.5787644141558166</v>
      </c>
    </row>
    <row r="3" spans="1:15" x14ac:dyDescent="0.3">
      <c r="B3">
        <v>2</v>
      </c>
      <c r="C3">
        <v>-113.13678741455067</v>
      </c>
      <c r="D3" s="1">
        <v>-94.164665222167997</v>
      </c>
      <c r="E3" s="1">
        <v>-92.108299255370994</v>
      </c>
      <c r="F3" s="1">
        <v>-96.500831604004006</v>
      </c>
      <c r="G3" s="1">
        <v>-96.539283752440994</v>
      </c>
      <c r="H3" s="1">
        <v>-92.103675842285</v>
      </c>
      <c r="I3" s="1">
        <v>-94.009986877440994</v>
      </c>
      <c r="J3" s="1">
        <f>AVERAGE(D3:I3)</f>
        <v>-94.237790425618343</v>
      </c>
      <c r="K3">
        <f>284*600</f>
        <v>170400</v>
      </c>
      <c r="L3">
        <f>400*600*4</f>
        <v>960000</v>
      </c>
      <c r="M3" s="1">
        <f>((C3*K3)+(J3*L3))/(K3+L3)</f>
        <v>-97.086683814608151</v>
      </c>
      <c r="N3" s="8">
        <v>175.661</v>
      </c>
      <c r="O3">
        <f>'iteration (1)'!$B$19/(ABS(M3)*1.5)</f>
        <v>1.586347254737102</v>
      </c>
    </row>
    <row r="4" spans="1:15" x14ac:dyDescent="0.3">
      <c r="B4">
        <v>3</v>
      </c>
      <c r="C4">
        <v>-113.13679250081367</v>
      </c>
      <c r="D4" s="1">
        <v>-94.010063171387003</v>
      </c>
      <c r="E4" s="1">
        <v>-92.103675842285</v>
      </c>
      <c r="F4" s="1">
        <v>-96.539215087890994</v>
      </c>
      <c r="G4" s="1">
        <v>-96.500869750977003</v>
      </c>
      <c r="H4" s="1">
        <v>-92.108299255370994</v>
      </c>
      <c r="I4" s="1">
        <v>-94.164627075195</v>
      </c>
      <c r="J4" s="1">
        <f>AVERAGE(D4:I4)</f>
        <v>-94.237791697184321</v>
      </c>
      <c r="K4">
        <f>284*600</f>
        <v>170400</v>
      </c>
      <c r="L4">
        <f>400*600*4</f>
        <v>960000</v>
      </c>
      <c r="M4" s="1">
        <f>((C4*K4)+(J4*L4))/(K4+L4)</f>
        <v>-97.08668566121338</v>
      </c>
      <c r="N4" s="8">
        <v>175.661</v>
      </c>
      <c r="O4">
        <f>'iteration (1)'!$B$19/(ABS(M4)*1.5)</f>
        <v>1.5863472245645083</v>
      </c>
    </row>
    <row r="5" spans="1:15" x14ac:dyDescent="0.3">
      <c r="B5">
        <v>4</v>
      </c>
      <c r="C5">
        <v>-113.21096547444667</v>
      </c>
      <c r="D5" s="1">
        <v>-93.662254333495994</v>
      </c>
      <c r="E5" s="1">
        <v>-92.669136047362997</v>
      </c>
      <c r="F5" s="1">
        <v>-96.265625</v>
      </c>
      <c r="G5" s="1">
        <v>-98.722007751465</v>
      </c>
      <c r="H5" s="1">
        <v>-90.252006530762003</v>
      </c>
      <c r="I5" s="1">
        <v>-97.071159362792997</v>
      </c>
      <c r="J5" s="1">
        <f>AVERAGE(D5:I5)</f>
        <v>-94.773698170979841</v>
      </c>
      <c r="K5">
        <f>284*600</f>
        <v>170400</v>
      </c>
      <c r="L5">
        <f>400*600*4</f>
        <v>960000</v>
      </c>
      <c r="M5" s="1">
        <f>((C5*K5)+(J5*L5))/(K5+L5)</f>
        <v>-97.552988995918582</v>
      </c>
      <c r="N5" s="8">
        <v>175.661</v>
      </c>
      <c r="O5">
        <f>'iteration (1)'!$B$19/(ABS(M5)*1.5)</f>
        <v>1.5787644840618493</v>
      </c>
    </row>
    <row r="6" spans="1:15" x14ac:dyDescent="0.3">
      <c r="J6" s="1"/>
      <c r="N6" s="8"/>
    </row>
    <row r="7" spans="1:15" x14ac:dyDescent="0.3">
      <c r="A7">
        <v>2</v>
      </c>
      <c r="B7">
        <v>1</v>
      </c>
      <c r="C7">
        <v>-108.85520426432333</v>
      </c>
      <c r="D7" s="1">
        <v>-97.448936462402003</v>
      </c>
      <c r="E7" s="1">
        <v>-90.639549255370994</v>
      </c>
      <c r="F7" s="1">
        <v>-99.099731445312997</v>
      </c>
      <c r="G7" s="1">
        <v>-97.093849182129006</v>
      </c>
      <c r="H7" s="1">
        <v>-92.939743041992003</v>
      </c>
      <c r="I7" s="1">
        <v>-94.490425109862997</v>
      </c>
      <c r="J7" s="1">
        <f>AVERAGE(D7:I7)</f>
        <v>-95.285372416178348</v>
      </c>
      <c r="K7">
        <f>284*600</f>
        <v>170400</v>
      </c>
      <c r="L7">
        <f>400*600*4</f>
        <v>960000</v>
      </c>
      <c r="M7" s="1">
        <f>((C7*K7)+(J7*L7))/(K7+L7)</f>
        <v>-97.330930932565394</v>
      </c>
      <c r="N7" s="8">
        <v>175.661</v>
      </c>
      <c r="O7">
        <f>'iteration (1)'!$B$19/(ABS(M7)*1.5)</f>
        <v>1.5823663954014673</v>
      </c>
    </row>
    <row r="8" spans="1:15" x14ac:dyDescent="0.3">
      <c r="B8">
        <v>2</v>
      </c>
      <c r="C8">
        <v>-104.66541798909502</v>
      </c>
      <c r="D8" s="1">
        <v>-95.574691772460994</v>
      </c>
      <c r="E8" s="1">
        <v>-93.634292602539006</v>
      </c>
      <c r="F8" s="1">
        <v>-97.910865783690994</v>
      </c>
      <c r="G8" s="1">
        <v>-98.007820129395</v>
      </c>
      <c r="H8" s="1">
        <v>-93.789047241210994</v>
      </c>
      <c r="I8" s="1">
        <v>-95.478523254395</v>
      </c>
      <c r="J8" s="1">
        <f>AVERAGE(D8:I8)</f>
        <v>-95.732540130615334</v>
      </c>
      <c r="K8">
        <f>284*600</f>
        <v>170400</v>
      </c>
      <c r="L8">
        <f>400*600*4</f>
        <v>960000</v>
      </c>
      <c r="M8" s="1">
        <f>((C8*K8)+(J8*L8))/(K8+L8)</f>
        <v>-97.079109829027345</v>
      </c>
      <c r="N8" s="8">
        <v>175.661</v>
      </c>
      <c r="O8">
        <f>'iteration (1)'!$B$19/(ABS(M8)*1.5)</f>
        <v>1.5864710194816973</v>
      </c>
    </row>
    <row r="9" spans="1:15" x14ac:dyDescent="0.3">
      <c r="B9">
        <v>3</v>
      </c>
      <c r="C9">
        <v>-104.66542561848934</v>
      </c>
      <c r="D9" s="1">
        <v>-95.47859954834</v>
      </c>
      <c r="E9" s="1">
        <v>-93.789047241210994</v>
      </c>
      <c r="F9" s="1">
        <v>-98.007751464844006</v>
      </c>
      <c r="G9" s="1">
        <v>-97.91089630127</v>
      </c>
      <c r="H9" s="1">
        <v>-93.634292602539006</v>
      </c>
      <c r="I9" s="1">
        <v>-95.574653625487997</v>
      </c>
      <c r="J9" s="1">
        <f>AVERAGE(D9:I9)</f>
        <v>-95.732540130615334</v>
      </c>
      <c r="K9">
        <f>284*600</f>
        <v>170400</v>
      </c>
      <c r="L9">
        <f>400*600*4</f>
        <v>960000</v>
      </c>
      <c r="M9" s="1">
        <f>((C9*K9)+(J9*L9))/(K9+L9)</f>
        <v>-97.079110979105891</v>
      </c>
      <c r="N9" s="8">
        <v>175.661</v>
      </c>
      <c r="O9">
        <f>'iteration (1)'!$B$19/(ABS(M9)*1.5)</f>
        <v>1.5864710006870644</v>
      </c>
    </row>
    <row r="10" spans="1:15" x14ac:dyDescent="0.3">
      <c r="B10">
        <v>4</v>
      </c>
      <c r="C10">
        <v>-108.85520680745468</v>
      </c>
      <c r="D10" s="1">
        <v>-94.490455627440994</v>
      </c>
      <c r="E10" s="1">
        <v>-92.939743041992003</v>
      </c>
      <c r="F10" s="1">
        <v>-97.093818664550994</v>
      </c>
      <c r="G10" s="1">
        <v>-99.099754333495994</v>
      </c>
      <c r="H10" s="1">
        <v>-90.639533996582003</v>
      </c>
      <c r="I10" s="1">
        <v>-97.448905944824006</v>
      </c>
      <c r="J10" s="1">
        <f>AVERAGE(D10:I10)</f>
        <v>-95.285368601480982</v>
      </c>
      <c r="K10">
        <f>284*600</f>
        <v>170400</v>
      </c>
      <c r="L10">
        <f>400*600*4</f>
        <v>960000</v>
      </c>
      <c r="M10" s="1">
        <f>((C10*K10)+(J10*L10))/(K10+L10)</f>
        <v>-97.330928076266829</v>
      </c>
      <c r="N10" s="8">
        <v>175.661</v>
      </c>
      <c r="O10">
        <f>'iteration (1)'!$B$19/(ABS(M10)*1.5)</f>
        <v>1.5823664418380006</v>
      </c>
    </row>
    <row r="11" spans="1:15" x14ac:dyDescent="0.3">
      <c r="J11" s="1"/>
      <c r="N11" s="8"/>
    </row>
    <row r="12" spans="1:15" x14ac:dyDescent="0.3">
      <c r="A12">
        <v>3</v>
      </c>
      <c r="B12">
        <v>1</v>
      </c>
      <c r="C12">
        <v>-37.49662144978867</v>
      </c>
      <c r="D12" s="1">
        <v>-29.143753051758001</v>
      </c>
      <c r="E12" s="1">
        <v>-29.892416000366001</v>
      </c>
      <c r="F12" s="1">
        <v>-35.704971313477003</v>
      </c>
      <c r="G12" s="1">
        <v>-36.626647949218999</v>
      </c>
      <c r="H12" s="1">
        <v>-30.69296836853</v>
      </c>
      <c r="I12" s="1">
        <v>-26.279397964478001</v>
      </c>
      <c r="J12" s="1">
        <f>AVERAGE(D12:I12)</f>
        <v>-31.390025774638001</v>
      </c>
      <c r="K12">
        <f>284*600</f>
        <v>170400</v>
      </c>
      <c r="L12">
        <f>400*600*4</f>
        <v>960000</v>
      </c>
      <c r="M12" s="1">
        <f>((C12*K12)+(J12*L12))/(K12+L12)</f>
        <v>-32.310552935860287</v>
      </c>
      <c r="N12" s="8">
        <v>175.661</v>
      </c>
      <c r="O12">
        <f>'iteration (1)'!$B$19/(ABS(M12)*1.5)</f>
        <v>4.7666530079681531</v>
      </c>
    </row>
    <row r="13" spans="1:15" x14ac:dyDescent="0.3">
      <c r="B13">
        <v>2</v>
      </c>
      <c r="C13">
        <v>-37.472043355306006</v>
      </c>
      <c r="D13" s="1">
        <v>-26.932535171508999</v>
      </c>
      <c r="E13" s="1">
        <v>-30.507204055786001</v>
      </c>
      <c r="F13" s="1">
        <v>-36.217826843262003</v>
      </c>
      <c r="G13" s="1">
        <v>-36.582160949707003</v>
      </c>
      <c r="H13" s="1">
        <v>-30.505676269531001</v>
      </c>
      <c r="I13" s="1">
        <v>-26.529689788818001</v>
      </c>
      <c r="J13" s="1">
        <f>AVERAGE(D13:I13)</f>
        <v>-31.212515513102165</v>
      </c>
      <c r="K13">
        <f>284*600</f>
        <v>170400</v>
      </c>
      <c r="L13">
        <f>400*600*4</f>
        <v>960000</v>
      </c>
      <c r="M13" s="1">
        <f>((C13*K13)+(J13*L13))/(K13+L13)</f>
        <v>-32.156096143243296</v>
      </c>
      <c r="N13" s="8">
        <v>175.661</v>
      </c>
      <c r="O13">
        <f>'iteration (1)'!$B$19/(ABS(M13)*1.5)</f>
        <v>4.7895488822636283</v>
      </c>
    </row>
    <row r="14" spans="1:15" x14ac:dyDescent="0.3">
      <c r="B14">
        <v>3</v>
      </c>
      <c r="C14">
        <v>-37.472072601318665</v>
      </c>
      <c r="D14" s="1">
        <v>-26.529722213745</v>
      </c>
      <c r="E14" s="1">
        <v>-30.505676269531001</v>
      </c>
      <c r="F14" s="1">
        <v>-36.582149505615</v>
      </c>
      <c r="G14" s="1">
        <v>-36.217830657958999</v>
      </c>
      <c r="H14" s="1">
        <v>-30.507209777831999</v>
      </c>
      <c r="I14" s="1">
        <v>-26.932516098021999</v>
      </c>
      <c r="J14" s="1">
        <f>AVERAGE(D14:I14)</f>
        <v>-31.21251742045067</v>
      </c>
      <c r="K14">
        <f>284*600</f>
        <v>170400</v>
      </c>
      <c r="L14">
        <f>400*600*4</f>
        <v>960000</v>
      </c>
      <c r="M14" s="1">
        <f>((C14*K14)+(J14*L14))/(K14+L14)</f>
        <v>-32.156102171706777</v>
      </c>
      <c r="N14" s="8">
        <v>175.661</v>
      </c>
      <c r="O14">
        <f>'iteration (1)'!$B$19/(ABS(M14)*1.5)</f>
        <v>4.7895479843432156</v>
      </c>
    </row>
    <row r="15" spans="1:15" x14ac:dyDescent="0.3">
      <c r="B15">
        <v>4</v>
      </c>
      <c r="C15">
        <v>-37.496629079183002</v>
      </c>
      <c r="D15" s="1">
        <v>-26.279409408568998</v>
      </c>
      <c r="E15" s="1">
        <v>-30.692958831786999</v>
      </c>
      <c r="F15" s="1">
        <v>-36.626644134521001</v>
      </c>
      <c r="G15" s="1">
        <v>-35.70495223999</v>
      </c>
      <c r="H15" s="1">
        <v>-29.892358779906999</v>
      </c>
      <c r="I15" s="1">
        <v>-29.143712997437</v>
      </c>
      <c r="J15" s="1">
        <f>AVERAGE(D15:I15)</f>
        <v>-31.3900060653685</v>
      </c>
      <c r="K15">
        <f>284*600</f>
        <v>170400</v>
      </c>
      <c r="L15">
        <f>400*600*4</f>
        <v>960000</v>
      </c>
      <c r="M15" s="1">
        <f>((C15*K15)+(J15*L15))/(K15+L15)</f>
        <v>-32.310537347705719</v>
      </c>
      <c r="N15" s="8">
        <v>175.661</v>
      </c>
      <c r="O15">
        <f>'iteration (1)'!$B$19/(ABS(M15)*1.5)</f>
        <v>4.7666553076304297</v>
      </c>
    </row>
    <row r="16" spans="1:15" x14ac:dyDescent="0.3">
      <c r="D16" s="1"/>
      <c r="E16" s="1"/>
      <c r="F16" s="1"/>
      <c r="G16" s="1"/>
      <c r="H16" s="1"/>
      <c r="I16" s="1"/>
      <c r="J16" s="1"/>
      <c r="N16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workbookViewId="0">
      <selection activeCell="G3" sqref="G3"/>
    </sheetView>
  </sheetViews>
  <sheetFormatPr defaultRowHeight="14.4" x14ac:dyDescent="0.3"/>
  <cols>
    <col min="1" max="1" width="7.88671875" style="7" bestFit="1" customWidth="1"/>
    <col min="2" max="2" width="16.33203125" style="1" bestFit="1" customWidth="1"/>
    <col min="3" max="4" width="15.6640625" style="1" bestFit="1" customWidth="1"/>
    <col min="5" max="5" width="14.6640625" style="1" bestFit="1" customWidth="1"/>
    <col min="6" max="6" width="15.6640625" style="1" bestFit="1" customWidth="1"/>
    <col min="7" max="7" width="16.6640625" style="1" bestFit="1" customWidth="1"/>
    <col min="8" max="8" width="14.6640625" style="1" bestFit="1" customWidth="1"/>
    <col min="9" max="13" width="8.88671875" style="1" customWidth="1"/>
    <col min="14" max="16384" width="8.88671875" style="1"/>
  </cols>
  <sheetData>
    <row r="1" spans="1:16" s="9" customFormat="1" x14ac:dyDescent="0.3">
      <c r="A1" s="11" t="s">
        <v>0</v>
      </c>
      <c r="B1" s="12" t="s">
        <v>1</v>
      </c>
      <c r="C1" s="12" t="s">
        <v>2</v>
      </c>
      <c r="D1" s="13" t="s">
        <v>3</v>
      </c>
      <c r="E1" s="12" t="s">
        <v>5</v>
      </c>
      <c r="F1" s="12" t="s">
        <v>13</v>
      </c>
      <c r="G1" s="12" t="s">
        <v>6</v>
      </c>
      <c r="H1" s="12" t="s">
        <v>7</v>
      </c>
      <c r="I1" s="14" t="s">
        <v>9</v>
      </c>
      <c r="J1" s="14" t="s">
        <v>14</v>
      </c>
      <c r="K1" s="14" t="s">
        <v>11</v>
      </c>
      <c r="L1" s="14" t="s">
        <v>12</v>
      </c>
      <c r="M1" s="15" t="s">
        <v>9</v>
      </c>
      <c r="N1" s="15" t="s">
        <v>14</v>
      </c>
      <c r="O1" s="15" t="s">
        <v>11</v>
      </c>
      <c r="P1" s="15" t="s">
        <v>12</v>
      </c>
    </row>
    <row r="2" spans="1:16" x14ac:dyDescent="0.3">
      <c r="A2" s="7">
        <v>1</v>
      </c>
      <c r="B2" s="1">
        <v>-92.528077443440836</v>
      </c>
      <c r="C2" s="1">
        <v>23.549984773000329</v>
      </c>
      <c r="D2" s="10">
        <v>39.019215901692831</v>
      </c>
      <c r="E2" s="1">
        <v>7.1177799999999998</v>
      </c>
      <c r="F2" s="5">
        <v>27.265433138248302</v>
      </c>
      <c r="G2" s="1">
        <v>157.71538324191181</v>
      </c>
      <c r="H2" s="1">
        <v>2.6946617557063619</v>
      </c>
      <c r="I2" s="16">
        <v>5.0654821393250637</v>
      </c>
      <c r="J2" s="16">
        <v>138.11256458275889</v>
      </c>
      <c r="K2" s="16">
        <v>-1.492655725686965</v>
      </c>
      <c r="L2" s="16">
        <v>-0.53222860298566543</v>
      </c>
      <c r="M2" s="17">
        <v>5.0654821393250637</v>
      </c>
      <c r="N2" s="17">
        <v>138.11256458275889</v>
      </c>
      <c r="O2" s="17">
        <v>-0.99510381712464346</v>
      </c>
      <c r="P2" s="17">
        <v>-0.86720202746362729</v>
      </c>
    </row>
    <row r="3" spans="1:16" x14ac:dyDescent="0.3">
      <c r="A3" s="7">
        <v>2</v>
      </c>
      <c r="B3" s="1">
        <v>-94.228469848632997</v>
      </c>
      <c r="C3" s="1">
        <v>23.549985090891671</v>
      </c>
      <c r="D3" s="8">
        <v>38.802043279011997</v>
      </c>
      <c r="E3" s="1">
        <v>7.1177799999999998</v>
      </c>
      <c r="F3" s="5">
        <v>27.265433138248302</v>
      </c>
      <c r="G3" s="1">
        <v>157.71538324191181</v>
      </c>
      <c r="H3" s="1">
        <v>2.7097436099405958</v>
      </c>
      <c r="I3" s="16">
        <v>5.0502548403639622</v>
      </c>
      <c r="J3" s="16">
        <v>137.69738568105879</v>
      </c>
      <c r="K3" s="16">
        <v>-1.461314037066012</v>
      </c>
      <c r="L3" s="16">
        <v>-0.54812611391942623</v>
      </c>
      <c r="M3" s="17">
        <v>5.0502548403639622</v>
      </c>
      <c r="N3" s="17">
        <v>137.69738568105879</v>
      </c>
      <c r="O3" s="17">
        <v>-0.97420935804400777</v>
      </c>
      <c r="P3" s="17">
        <v>-0.89028391663504713</v>
      </c>
    </row>
    <row r="4" spans="1:16" x14ac:dyDescent="0.3">
      <c r="A4" s="7">
        <v>3</v>
      </c>
      <c r="B4" s="1">
        <v>-94.217650095621664</v>
      </c>
      <c r="C4" s="1">
        <v>23.54999987284334</v>
      </c>
      <c r="D4" s="8">
        <v>38.81558672587083</v>
      </c>
      <c r="E4" s="1">
        <v>7.1177799999999998</v>
      </c>
      <c r="F4" s="5">
        <v>27.265433138248302</v>
      </c>
      <c r="G4" s="1">
        <v>157.71538324191181</v>
      </c>
      <c r="H4" s="1">
        <v>2.7087981323199308</v>
      </c>
      <c r="I4" s="16">
        <v>5.0503502299479877</v>
      </c>
      <c r="J4" s="16">
        <v>137.6999865193842</v>
      </c>
      <c r="K4" s="16">
        <v>-1.4615094558146191</v>
      </c>
      <c r="L4" s="16">
        <v>-0.5479395263069774</v>
      </c>
      <c r="M4" s="17">
        <v>5.0503502299479877</v>
      </c>
      <c r="N4" s="17">
        <v>137.6999865193842</v>
      </c>
      <c r="O4" s="17">
        <v>-0.9743396372097457</v>
      </c>
      <c r="P4" s="17">
        <v>-0.89005157902805221</v>
      </c>
    </row>
    <row r="5" spans="1:16" x14ac:dyDescent="0.3">
      <c r="A5" s="7">
        <v>4</v>
      </c>
      <c r="B5" s="1">
        <v>-94.228468577066991</v>
      </c>
      <c r="C5" s="1">
        <v>23.550014813741161</v>
      </c>
      <c r="D5" s="8">
        <v>38.8019014994305</v>
      </c>
      <c r="E5" s="1">
        <v>7.1177799999999998</v>
      </c>
      <c r="F5" s="5">
        <v>27.265433138248302</v>
      </c>
      <c r="G5" s="1">
        <v>157.71538324191181</v>
      </c>
      <c r="H5" s="1">
        <v>2.709753511164509</v>
      </c>
      <c r="I5" s="16">
        <v>5.0502558941654234</v>
      </c>
      <c r="J5" s="16">
        <v>137.6974144134121</v>
      </c>
      <c r="K5" s="16">
        <v>-1.4613143617079269</v>
      </c>
      <c r="L5" s="16">
        <v>-0.54812695714292858</v>
      </c>
      <c r="M5" s="17">
        <v>5.0502558941654234</v>
      </c>
      <c r="N5" s="17">
        <v>137.6974144134121</v>
      </c>
      <c r="O5" s="17">
        <v>-0.97420957447195144</v>
      </c>
      <c r="P5" s="17">
        <v>-0.89028468384563431</v>
      </c>
    </row>
    <row r="6" spans="1:16" x14ac:dyDescent="0.3">
      <c r="A6" s="7">
        <v>5</v>
      </c>
      <c r="B6" s="1">
        <v>-92.528074900309321</v>
      </c>
      <c r="C6" s="1">
        <v>23.550015131632328</v>
      </c>
      <c r="D6" s="8">
        <v>39.019137700398673</v>
      </c>
      <c r="E6" s="1">
        <v>7.1177799999999998</v>
      </c>
      <c r="F6" s="5">
        <v>27.265433138248302</v>
      </c>
      <c r="G6" s="1">
        <v>157.71538324191181</v>
      </c>
      <c r="H6" s="1">
        <v>2.6946671562879492</v>
      </c>
      <c r="I6" s="16">
        <v>5.0654832536645671</v>
      </c>
      <c r="J6" s="16">
        <v>138.1125949657081</v>
      </c>
      <c r="K6" s="16">
        <v>-1.492656095077219</v>
      </c>
      <c r="L6" s="16">
        <v>-0.5322289892148051</v>
      </c>
      <c r="M6" s="17">
        <v>5.0654832536645671</v>
      </c>
      <c r="N6" s="17">
        <v>138.1125949657081</v>
      </c>
      <c r="O6" s="17">
        <v>-0.99510406338481228</v>
      </c>
      <c r="P6" s="17">
        <v>-0.86720233079629905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"/>
  <sheetViews>
    <sheetView workbookViewId="0">
      <selection activeCell="G3" sqref="G3"/>
    </sheetView>
  </sheetViews>
  <sheetFormatPr defaultRowHeight="14.4" x14ac:dyDescent="0.3"/>
  <cols>
    <col min="1" max="1" width="7.6640625" style="7" bestFit="1" customWidth="1"/>
    <col min="2" max="2" width="16.5546875" style="1" bestFit="1" customWidth="1"/>
    <col min="3" max="3" width="15.88671875" style="1" bestFit="1" customWidth="1"/>
    <col min="4" max="4" width="16.5546875" style="1" bestFit="1" customWidth="1"/>
    <col min="5" max="5" width="14.88671875" style="1" bestFit="1" customWidth="1"/>
    <col min="6" max="6" width="17.88671875" style="1" bestFit="1" customWidth="1"/>
    <col min="7" max="7" width="16.88671875" style="1" bestFit="1" customWidth="1"/>
    <col min="8" max="8" width="17.88671875" style="1" bestFit="1" customWidth="1"/>
    <col min="9" max="18" width="8.88671875" style="1" customWidth="1"/>
    <col min="19" max="16384" width="8.88671875" style="1"/>
  </cols>
  <sheetData>
    <row r="1" spans="1:16" x14ac:dyDescent="0.3">
      <c r="A1" s="6" t="s">
        <v>0</v>
      </c>
      <c r="B1" s="2" t="s">
        <v>1</v>
      </c>
      <c r="C1" s="2" t="s">
        <v>2</v>
      </c>
      <c r="D1" s="4" t="s">
        <v>3</v>
      </c>
      <c r="E1" s="3" t="s">
        <v>5</v>
      </c>
      <c r="F1" s="3" t="s">
        <v>13</v>
      </c>
      <c r="G1" s="3" t="s">
        <v>6</v>
      </c>
      <c r="H1" s="3" t="s">
        <v>7</v>
      </c>
      <c r="I1" s="16" t="s">
        <v>9</v>
      </c>
      <c r="J1" s="16" t="s">
        <v>14</v>
      </c>
      <c r="K1" s="16" t="s">
        <v>11</v>
      </c>
      <c r="L1" s="16" t="s">
        <v>12</v>
      </c>
      <c r="M1" s="15" t="s">
        <v>9</v>
      </c>
      <c r="N1" s="15" t="s">
        <v>14</v>
      </c>
      <c r="O1" s="15" t="s">
        <v>11</v>
      </c>
      <c r="P1" s="15" t="s">
        <v>12</v>
      </c>
    </row>
    <row r="2" spans="1:16" x14ac:dyDescent="0.3">
      <c r="A2" s="7">
        <v>1</v>
      </c>
      <c r="B2" s="1">
        <v>-94.516096750895315</v>
      </c>
      <c r="C2" s="1">
        <v>39.019215265909999</v>
      </c>
      <c r="D2" s="1">
        <v>-23.55001449584983</v>
      </c>
      <c r="E2" s="1">
        <v>7.1177799999999998</v>
      </c>
      <c r="F2" s="5">
        <v>27.265433138248302</v>
      </c>
      <c r="G2" s="1">
        <f>F2*E2</f>
        <v>194.069354682761</v>
      </c>
      <c r="H2" s="1">
        <f>ABS(G2/(1.5*D2))</f>
        <v>5.4938212378301357</v>
      </c>
      <c r="I2" s="16">
        <v>5.6530056206773818</v>
      </c>
      <c r="J2" s="16">
        <v>154.13164678072141</v>
      </c>
      <c r="K2" s="16">
        <v>-1.630744942704814</v>
      </c>
      <c r="L2" s="16">
        <v>-0.56304983802699593</v>
      </c>
      <c r="M2" s="17">
        <v>5.6530056206773818</v>
      </c>
      <c r="N2" s="17">
        <v>154.13164678072141</v>
      </c>
      <c r="O2" s="17">
        <v>-1.0871632951365431</v>
      </c>
      <c r="P2" s="17">
        <v>-0.86965817812135882</v>
      </c>
    </row>
    <row r="3" spans="1:16" x14ac:dyDescent="0.3">
      <c r="A3" s="7">
        <v>2</v>
      </c>
      <c r="B3" s="1">
        <v>-95.27397791544584</v>
      </c>
      <c r="C3" s="1">
        <v>38.802043279012167</v>
      </c>
      <c r="D3" s="1">
        <v>-23.550014495849659</v>
      </c>
      <c r="E3" s="1">
        <v>7.1177799999999998</v>
      </c>
      <c r="F3" s="5">
        <v>27.265433138248302</v>
      </c>
      <c r="G3" s="1">
        <f>F3*E3</f>
        <v>194.069354682761</v>
      </c>
      <c r="H3" s="1">
        <f>ABS(G3/(1.5*D3))</f>
        <v>5.4938212378301756</v>
      </c>
      <c r="I3" s="16">
        <v>5.6300579226403924</v>
      </c>
      <c r="J3" s="16">
        <v>153.5059678542172</v>
      </c>
      <c r="K3" s="16">
        <v>-1.6112056115726721</v>
      </c>
      <c r="L3" s="16">
        <v>-0.5704864083094604</v>
      </c>
      <c r="M3" s="17">
        <v>5.6300579226403924</v>
      </c>
      <c r="N3" s="17">
        <v>153.5059678542172</v>
      </c>
      <c r="O3" s="17">
        <v>-1.0741370743817811</v>
      </c>
      <c r="P3" s="17">
        <v>-0.88081303354505536</v>
      </c>
    </row>
    <row r="4" spans="1:16" x14ac:dyDescent="0.3">
      <c r="A4" s="7">
        <v>3</v>
      </c>
      <c r="B4" s="1">
        <v>-95.758464813232663</v>
      </c>
      <c r="C4" s="1">
        <v>38.81558672587083</v>
      </c>
      <c r="D4" s="1">
        <v>-23.550000190734998</v>
      </c>
      <c r="E4" s="1">
        <v>7.1177799999999998</v>
      </c>
      <c r="F4" s="5">
        <v>27.265433138248302</v>
      </c>
      <c r="G4" s="1">
        <f>F4*E4</f>
        <v>194.069354682761</v>
      </c>
      <c r="H4" s="1">
        <f>ABS(G4/(1.5*D4))</f>
        <v>5.4938245749742132</v>
      </c>
      <c r="I4" s="16">
        <v>5.6221851716100897</v>
      </c>
      <c r="J4" s="16">
        <v>153.29131388738639</v>
      </c>
      <c r="K4" s="16">
        <v>-1.600812149467578</v>
      </c>
      <c r="L4" s="16">
        <v>-0.57451613384894662</v>
      </c>
      <c r="M4" s="17">
        <v>5.6221851716100897</v>
      </c>
      <c r="N4" s="17">
        <v>153.29131388738639</v>
      </c>
      <c r="O4" s="17">
        <v>-1.0672080996450519</v>
      </c>
      <c r="P4" s="17">
        <v>-0.88685759138117348</v>
      </c>
    </row>
    <row r="5" spans="1:16" x14ac:dyDescent="0.3">
      <c r="A5" s="7">
        <v>4</v>
      </c>
      <c r="B5" s="1">
        <v>-95.273976643880161</v>
      </c>
      <c r="C5" s="1">
        <v>38.801901499430329</v>
      </c>
      <c r="D5" s="1">
        <v>-23.549985249837491</v>
      </c>
      <c r="E5" s="1">
        <v>7.1177799999999998</v>
      </c>
      <c r="F5" s="5">
        <v>27.265433138248302</v>
      </c>
      <c r="G5" s="1">
        <f>F5*E5</f>
        <v>194.069354682761</v>
      </c>
      <c r="H5" s="1">
        <f>ABS(G5/(1.5*D5))</f>
        <v>5.4938280604400855</v>
      </c>
      <c r="I5" s="16">
        <v>5.6300518317548871</v>
      </c>
      <c r="J5" s="16">
        <v>153.5058017835857</v>
      </c>
      <c r="K5" s="16">
        <v>-1.6112038899915699</v>
      </c>
      <c r="L5" s="16">
        <v>-0.57048719608233911</v>
      </c>
      <c r="M5" s="17">
        <v>5.6300518317548871</v>
      </c>
      <c r="N5" s="17">
        <v>153.5058017835857</v>
      </c>
      <c r="O5" s="17">
        <v>-1.074135926661046</v>
      </c>
      <c r="P5" s="17">
        <v>-0.88081415290381015</v>
      </c>
    </row>
    <row r="6" spans="1:16" x14ac:dyDescent="0.3">
      <c r="A6" s="7">
        <v>5</v>
      </c>
      <c r="B6" s="1">
        <v>-94.516094207763487</v>
      </c>
      <c r="C6" s="1">
        <v>39.019138336181491</v>
      </c>
      <c r="D6" s="1">
        <v>-23.54998524983716</v>
      </c>
      <c r="E6" s="1">
        <v>7.1177799999999998</v>
      </c>
      <c r="F6" s="5">
        <v>27.265433138248302</v>
      </c>
      <c r="G6" s="1">
        <f>F6*E6</f>
        <v>194.069354682761</v>
      </c>
      <c r="H6" s="1">
        <f>ABS(G6/(1.5*D6))</f>
        <v>5.4938280604401637</v>
      </c>
      <c r="I6" s="16">
        <v>5.653002295734094</v>
      </c>
      <c r="J6" s="16">
        <v>154.13155612470251</v>
      </c>
      <c r="K6" s="16">
        <v>-1.630744027423451</v>
      </c>
      <c r="L6" s="16">
        <v>-0.56305030680586732</v>
      </c>
      <c r="M6" s="17">
        <v>5.653002295734094</v>
      </c>
      <c r="N6" s="17">
        <v>154.13155612470251</v>
      </c>
      <c r="O6" s="17">
        <v>-1.087162684948968</v>
      </c>
      <c r="P6" s="17">
        <v>-0.86965881898910169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"/>
  <sheetViews>
    <sheetView workbookViewId="0">
      <selection activeCell="G3" sqref="G3"/>
    </sheetView>
  </sheetViews>
  <sheetFormatPr defaultRowHeight="14.4" x14ac:dyDescent="0.3"/>
  <cols>
    <col min="1" max="1" width="7.6640625" style="7" bestFit="1" customWidth="1"/>
    <col min="2" max="2" width="16.5546875" style="1" bestFit="1" customWidth="1"/>
    <col min="3" max="3" width="16.88671875" style="1" bestFit="1" customWidth="1"/>
    <col min="4" max="4" width="14.77734375" style="1" bestFit="1" customWidth="1"/>
    <col min="5" max="5" width="14.88671875" style="1" bestFit="1" customWidth="1"/>
    <col min="6" max="6" width="17.88671875" style="1" bestFit="1" customWidth="1"/>
    <col min="7" max="7" width="16.88671875" style="1" bestFit="1" customWidth="1"/>
    <col min="8" max="8" width="17.88671875" style="1" bestFit="1" customWidth="1"/>
    <col min="9" max="17" width="8.88671875" style="1" customWidth="1"/>
    <col min="18" max="16384" width="8.88671875" style="1"/>
  </cols>
  <sheetData>
    <row r="1" spans="1:16" s="9" customFormat="1" x14ac:dyDescent="0.3">
      <c r="A1" s="6" t="s">
        <v>0</v>
      </c>
      <c r="B1" s="2" t="s">
        <v>1</v>
      </c>
      <c r="C1" s="2" t="s">
        <v>2</v>
      </c>
      <c r="D1" s="9" t="s">
        <v>3</v>
      </c>
      <c r="E1" s="3" t="s">
        <v>5</v>
      </c>
      <c r="F1" s="3" t="s">
        <v>13</v>
      </c>
      <c r="G1" s="3" t="s">
        <v>6</v>
      </c>
      <c r="H1" s="3" t="s">
        <v>7</v>
      </c>
      <c r="I1" s="16" t="s">
        <v>9</v>
      </c>
      <c r="J1" s="16" t="s">
        <v>14</v>
      </c>
      <c r="K1" s="16" t="s">
        <v>11</v>
      </c>
      <c r="L1" s="16" t="s">
        <v>12</v>
      </c>
      <c r="M1" s="15" t="s">
        <v>9</v>
      </c>
      <c r="N1" s="15" t="s">
        <v>14</v>
      </c>
      <c r="O1" s="15" t="s">
        <v>11</v>
      </c>
      <c r="P1" s="15" t="s">
        <v>12</v>
      </c>
    </row>
    <row r="2" spans="1:16" x14ac:dyDescent="0.3">
      <c r="A2" s="7">
        <v>1</v>
      </c>
      <c r="B2" s="1">
        <v>-30.646249771118171</v>
      </c>
      <c r="C2" s="1">
        <v>155.08260091145851</v>
      </c>
      <c r="D2" s="1">
        <v>7.7999415496985014</v>
      </c>
      <c r="E2" s="1">
        <v>7.1177799999999998</v>
      </c>
      <c r="F2" s="5">
        <v>27.265433138248302</v>
      </c>
      <c r="G2" s="1">
        <f>F2*E2</f>
        <v>194.069354682761</v>
      </c>
      <c r="H2" s="1">
        <f>ABS(G2/(1.5*D2))</f>
        <v>16.587248630537285</v>
      </c>
      <c r="I2" s="16">
        <v>-2.350567450675519</v>
      </c>
      <c r="J2" s="16">
        <v>-64.089239663336301</v>
      </c>
      <c r="K2" s="16">
        <v>2.0912588046494252</v>
      </c>
      <c r="L2" s="16">
        <v>0.48368411460496602</v>
      </c>
      <c r="M2" s="17">
        <v>-2.350567450675519</v>
      </c>
      <c r="N2" s="17">
        <v>-64.089239663336301</v>
      </c>
      <c r="O2" s="17">
        <v>1.39417253643295</v>
      </c>
      <c r="P2" s="17">
        <v>0.72277456045909327</v>
      </c>
    </row>
    <row r="3" spans="1:16" x14ac:dyDescent="0.3">
      <c r="A3" s="7">
        <v>2</v>
      </c>
      <c r="B3" s="1">
        <v>-31.209430058797331</v>
      </c>
      <c r="C3" s="1">
        <v>154.21932983398469</v>
      </c>
      <c r="D3" s="1">
        <v>7.7999416589736663</v>
      </c>
      <c r="E3" s="1">
        <v>7.1177799999999998</v>
      </c>
      <c r="F3" s="5">
        <v>27.265433138248302</v>
      </c>
      <c r="G3" s="1">
        <f>F3*E3</f>
        <v>194.069354682761</v>
      </c>
      <c r="H3" s="1">
        <f>ABS(G3/(1.5*D3))</f>
        <v>16.587248398154223</v>
      </c>
      <c r="I3" s="16">
        <v>-2.4389660387955399</v>
      </c>
      <c r="J3" s="16">
        <v>-66.499465457238301</v>
      </c>
      <c r="K3" s="16">
        <v>2.130749114352807</v>
      </c>
      <c r="L3" s="16">
        <v>0.47482173327060689</v>
      </c>
      <c r="M3" s="17">
        <v>-2.4389660387955399</v>
      </c>
      <c r="N3" s="17">
        <v>-66.499465457238301</v>
      </c>
      <c r="O3" s="17">
        <v>1.4204994095685379</v>
      </c>
      <c r="P3" s="17">
        <v>0.70948098838045592</v>
      </c>
    </row>
    <row r="4" spans="1:16" x14ac:dyDescent="0.3">
      <c r="A4" s="7">
        <v>3</v>
      </c>
      <c r="B4" s="1">
        <v>-31.205845832824501</v>
      </c>
      <c r="C4" s="1">
        <v>154.27341206868499</v>
      </c>
      <c r="D4" s="1">
        <v>7.8000000317890006</v>
      </c>
      <c r="E4" s="1">
        <v>7.1177799999999998</v>
      </c>
      <c r="F4" s="5">
        <v>27.265433138248302</v>
      </c>
      <c r="G4" s="1">
        <f>F4*E4</f>
        <v>194.069354682761</v>
      </c>
      <c r="H4" s="1">
        <f>ABS(G4/(1.5*D4))</f>
        <v>16.587124264258875</v>
      </c>
      <c r="I4" s="16">
        <v>-2.437193688088461</v>
      </c>
      <c r="J4" s="16">
        <v>-66.451141547536892</v>
      </c>
      <c r="K4" s="16">
        <v>2.1294452937929629</v>
      </c>
      <c r="L4" s="16">
        <v>0.47510917081432369</v>
      </c>
      <c r="M4" s="17">
        <v>-2.437193688088461</v>
      </c>
      <c r="N4" s="17">
        <v>-66.451141547536892</v>
      </c>
      <c r="O4" s="17">
        <v>1.4196301958619759</v>
      </c>
      <c r="P4" s="17">
        <v>0.70991210351112988</v>
      </c>
    </row>
    <row r="5" spans="1:16" x14ac:dyDescent="0.3">
      <c r="A5" s="7">
        <v>4</v>
      </c>
      <c r="B5" s="1">
        <v>-31.209428151448328</v>
      </c>
      <c r="C5" s="1">
        <v>154.21927897135441</v>
      </c>
      <c r="D5" s="1">
        <v>7.8000585238138331</v>
      </c>
      <c r="E5" s="1">
        <v>7.1177799999999998</v>
      </c>
      <c r="F5" s="5">
        <v>27.265433138248302</v>
      </c>
      <c r="G5" s="1">
        <f>F5*E5</f>
        <v>194.069354682761</v>
      </c>
      <c r="H5" s="1">
        <f>ABS(G5/(1.5*D5))</f>
        <v>16.586999878719791</v>
      </c>
      <c r="I5" s="16">
        <v>-2.4389670623840098</v>
      </c>
      <c r="J5" s="16">
        <v>-66.49949336582128</v>
      </c>
      <c r="K5" s="16">
        <v>2.1307501388081431</v>
      </c>
      <c r="L5" s="16">
        <v>0.47482167253276131</v>
      </c>
      <c r="M5" s="17">
        <v>-2.4389670623840098</v>
      </c>
      <c r="N5" s="17">
        <v>-66.49949336582128</v>
      </c>
      <c r="O5" s="17">
        <v>1.4205000925387621</v>
      </c>
      <c r="P5" s="17">
        <v>0.70948081481946801</v>
      </c>
    </row>
    <row r="6" spans="1:16" x14ac:dyDescent="0.3">
      <c r="A6" s="7">
        <v>5</v>
      </c>
      <c r="B6" s="1">
        <v>-30.64623483022033</v>
      </c>
      <c r="C6" s="1">
        <v>155.08257802327481</v>
      </c>
      <c r="D6" s="1">
        <v>7.8000586132206671</v>
      </c>
      <c r="E6" s="1">
        <v>7.1177799999999998</v>
      </c>
      <c r="F6" s="5">
        <v>27.265433138248302</v>
      </c>
      <c r="G6" s="1">
        <f>F6*E6</f>
        <v>194.069354682761</v>
      </c>
      <c r="H6" s="1">
        <f>ABS(G6/(1.5*D6))</f>
        <v>16.586999688594151</v>
      </c>
      <c r="I6" s="16">
        <v>-2.3505662188779262</v>
      </c>
      <c r="J6" s="16">
        <v>-64.089206077841382</v>
      </c>
      <c r="K6" s="16">
        <v>2.0912587282873281</v>
      </c>
      <c r="L6" s="16">
        <v>0.48368429725449141</v>
      </c>
      <c r="M6" s="17">
        <v>-2.3505662188779262</v>
      </c>
      <c r="N6" s="17">
        <v>-64.089206077841382</v>
      </c>
      <c r="O6" s="17">
        <v>1.3941724855248849</v>
      </c>
      <c r="P6" s="17">
        <v>0.72277475183898166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loadcase_1</vt:lpstr>
      <vt:lpstr>loadcase_2</vt:lpstr>
      <vt:lpstr>loadcase_3</vt:lpstr>
      <vt:lpstr>average stresses</vt:lpstr>
      <vt:lpstr>iteration (1)</vt:lpstr>
      <vt:lpstr>iteration (2)</vt:lpstr>
      <vt:lpstr>skin and stringer comb</vt:lpstr>
      <vt:lpstr>loadcase_1 (2)</vt:lpstr>
      <vt:lpstr>loadcase_2 (2)</vt:lpstr>
      <vt:lpstr>loadcase_3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Chavan</dc:creator>
  <cp:lastModifiedBy>Siddhesh Chavan</cp:lastModifiedBy>
  <dcterms:created xsi:type="dcterms:W3CDTF">2025-06-18T11:13:10Z</dcterms:created>
  <dcterms:modified xsi:type="dcterms:W3CDTF">2025-07-09T15:37:03Z</dcterms:modified>
</cp:coreProperties>
</file>