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wd-bac/Documents/BAC SEC HEAD/untitled folder/JULMAR COMMERCIAL/JULMAR 2019/INVENTORY SYSTEM/"/>
    </mc:Choice>
  </mc:AlternateContent>
  <xr:revisionPtr revIDLastSave="0" documentId="13_ncr:1_{C3235DED-69F4-F44B-8D41-1265FFF3A42A}" xr6:coauthVersionLast="45" xr6:coauthVersionMax="45" xr10:uidLastSave="{00000000-0000-0000-0000-000000000000}"/>
  <bookViews>
    <workbookView xWindow="0" yWindow="1380" windowWidth="28800" windowHeight="16280" firstSheet="4" activeTab="4" xr2:uid="{00000000-000D-0000-FFFF-FFFF00000000}"/>
  </bookViews>
  <sheets>
    <sheet name="TIMELINE" sheetId="12" r:id="rId1"/>
    <sheet name="CHART OF ACCOUNTS" sheetId="16" r:id="rId2"/>
    <sheet name="INVENTORY LEDGER JAN 2020" sheetId="21" r:id="rId3"/>
    <sheet name="PAYABLE LEDGER" sheetId="22" r:id="rId4"/>
    <sheet name="SALES INVOICING" sheetId="14" r:id="rId5"/>
    <sheet name="RECEIVE PAYMENT" sheetId="15" r:id="rId6"/>
    <sheet name="PRODUCT PROFILE FOR MIGRATION" sheetId="18" r:id="rId7"/>
    <sheet name="MISSION DEC 16-21" sheetId="20" r:id="rId8"/>
    <sheet name="ADJUSTMENTS DEC 9-14, 2019" sheetId="19" r:id="rId9"/>
    <sheet name="MISSION - NOV.23-30" sheetId="17" r:id="rId10"/>
    <sheet name="MISSION - NOV.16-23, 2019" sheetId="13" r:id="rId11"/>
    <sheet name="ADDITIONS" sheetId="11" r:id="rId12"/>
    <sheet name="MISSION" sheetId="8" r:id="rId13"/>
    <sheet name="ADD PRODUCT" sheetId="1" r:id="rId14"/>
    <sheet name="RECEIVING" sheetId="2" r:id="rId15"/>
    <sheet name="BODEGA-OUT" sheetId="10" r:id="rId16"/>
    <sheet name="FINAL COST COMPUTATION" sheetId="9" r:id="rId17"/>
    <sheet name="PURCHASE ORDER" sheetId="3" r:id="rId18"/>
    <sheet name="RECEIVING FIELD" sheetId="4" r:id="rId19"/>
    <sheet name="EXPIRATION" sheetId="5" r:id="rId20"/>
    <sheet name="DEBIT MEMO" sheetId="6" r:id="rId21"/>
    <sheet name="ASIIGNMENT FOR NEXT WK" sheetId="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" i="21" l="1"/>
  <c r="D91" i="21"/>
  <c r="D90" i="21"/>
  <c r="D89" i="21"/>
  <c r="D88" i="21"/>
  <c r="D87" i="21"/>
  <c r="D86" i="21"/>
  <c r="C89" i="21"/>
  <c r="C86" i="21"/>
  <c r="C87" i="21" s="1"/>
  <c r="B86" i="21"/>
  <c r="B87" i="21" s="1"/>
  <c r="D84" i="21"/>
  <c r="D83" i="21"/>
  <c r="D82" i="21"/>
  <c r="D81" i="21"/>
  <c r="D80" i="21"/>
  <c r="D79" i="21"/>
  <c r="D78" i="21"/>
  <c r="C78" i="21"/>
  <c r="C79" i="21"/>
  <c r="C80" i="21"/>
  <c r="C81" i="21"/>
  <c r="B81" i="21"/>
  <c r="B79" i="21"/>
  <c r="B80" i="21" s="1"/>
  <c r="B78" i="21"/>
  <c r="C90" i="21" l="1"/>
  <c r="C88" i="21"/>
  <c r="B88" i="21"/>
  <c r="B90" i="21" s="1"/>
  <c r="C82" i="21"/>
  <c r="B82" i="21"/>
  <c r="C91" i="21" l="1"/>
  <c r="C92" i="21" s="1"/>
  <c r="B91" i="21"/>
  <c r="B92" i="21" s="1"/>
  <c r="C83" i="21"/>
  <c r="B83" i="21"/>
  <c r="B84" i="21" s="1"/>
  <c r="C84" i="21" l="1"/>
  <c r="C70" i="21" l="1"/>
  <c r="C71" i="21" s="1"/>
  <c r="B70" i="21"/>
  <c r="D70" i="21" s="1"/>
  <c r="C72" i="21" l="1"/>
  <c r="C73" i="21"/>
  <c r="B71" i="21"/>
  <c r="C74" i="21"/>
  <c r="C58" i="21"/>
  <c r="C59" i="21"/>
  <c r="C60" i="21" s="1"/>
  <c r="C61" i="21" s="1"/>
  <c r="B73" i="21" l="1"/>
  <c r="D73" i="21" s="1"/>
  <c r="D71" i="21"/>
  <c r="B72" i="21"/>
  <c r="D72" i="21" s="1"/>
  <c r="C75" i="21"/>
  <c r="C76" i="21" s="1"/>
  <c r="C62" i="21"/>
  <c r="C63" i="21" s="1"/>
  <c r="C65" i="21" s="1"/>
  <c r="B74" i="21" l="1"/>
  <c r="B75" i="21" l="1"/>
  <c r="D75" i="21" s="1"/>
  <c r="D74" i="21"/>
  <c r="B76" i="21"/>
  <c r="D76" i="21" s="1"/>
  <c r="B58" i="21"/>
  <c r="D58" i="21" s="1"/>
  <c r="E58" i="21" s="1"/>
  <c r="E59" i="21" s="1"/>
  <c r="E60" i="21" l="1"/>
  <c r="E61" i="21"/>
  <c r="E62" i="21" s="1"/>
  <c r="E63" i="21" s="1"/>
  <c r="B59" i="21"/>
  <c r="E14" i="22"/>
  <c r="E13" i="22"/>
  <c r="D17" i="22"/>
  <c r="C17" i="22"/>
  <c r="B17" i="22"/>
  <c r="E17" i="22" s="1"/>
  <c r="P11" i="22"/>
  <c r="P9" i="22"/>
  <c r="P10" i="22"/>
  <c r="P4" i="22"/>
  <c r="P3" i="22"/>
  <c r="P2" i="22"/>
  <c r="D14" i="22"/>
  <c r="B13" i="22"/>
  <c r="K17" i="22"/>
  <c r="M17" i="22" s="1"/>
  <c r="K16" i="22"/>
  <c r="L16" i="22" s="1"/>
  <c r="K15" i="22"/>
  <c r="M15" i="22" s="1"/>
  <c r="K25" i="22"/>
  <c r="M25" i="22" s="1"/>
  <c r="K24" i="22"/>
  <c r="K23" i="22"/>
  <c r="M23" i="22" s="1"/>
  <c r="M11" i="22"/>
  <c r="L11" i="22"/>
  <c r="N11" i="22" s="1"/>
  <c r="K11" i="22"/>
  <c r="M10" i="22"/>
  <c r="K10" i="22"/>
  <c r="L10" i="22" s="1"/>
  <c r="N10" i="22" s="1"/>
  <c r="K9" i="22"/>
  <c r="M9" i="22" s="1"/>
  <c r="M13" i="22" s="1"/>
  <c r="K4" i="22"/>
  <c r="M3" i="22"/>
  <c r="L3" i="22"/>
  <c r="N3" i="22" s="1"/>
  <c r="K3" i="22"/>
  <c r="M2" i="22"/>
  <c r="K2" i="22"/>
  <c r="L2" i="22" s="1"/>
  <c r="I37" i="21"/>
  <c r="F33" i="19"/>
  <c r="F35" i="21"/>
  <c r="F36" i="21" s="1"/>
  <c r="H35" i="21"/>
  <c r="J35" i="21" s="1"/>
  <c r="E7" i="21"/>
  <c r="D59" i="21" l="1"/>
  <c r="B60" i="21"/>
  <c r="D60" i="21" s="1"/>
  <c r="M16" i="22"/>
  <c r="L23" i="22"/>
  <c r="N23" i="22" s="1"/>
  <c r="P23" i="22" s="1"/>
  <c r="M19" i="22"/>
  <c r="L17" i="22"/>
  <c r="N17" i="22" s="1"/>
  <c r="P17" i="22" s="1"/>
  <c r="N16" i="22"/>
  <c r="P16" i="22" s="1"/>
  <c r="N2" i="22"/>
  <c r="M6" i="22"/>
  <c r="M7" i="22" s="1"/>
  <c r="M27" i="22"/>
  <c r="L4" i="22"/>
  <c r="N4" i="22" s="1"/>
  <c r="L24" i="22"/>
  <c r="M4" i="22"/>
  <c r="L9" i="22"/>
  <c r="M24" i="22"/>
  <c r="L25" i="22"/>
  <c r="N25" i="22" s="1"/>
  <c r="P25" i="22" s="1"/>
  <c r="L15" i="22"/>
  <c r="J20" i="14"/>
  <c r="I20" i="14"/>
  <c r="C32" i="14"/>
  <c r="B61" i="21" l="1"/>
  <c r="N24" i="22"/>
  <c r="P24" i="22" s="1"/>
  <c r="L19" i="22"/>
  <c r="N15" i="22"/>
  <c r="P15" i="22" s="1"/>
  <c r="L13" i="22"/>
  <c r="N9" i="22"/>
  <c r="L27" i="22"/>
  <c r="L6" i="22"/>
  <c r="N6" i="22"/>
  <c r="H41" i="21"/>
  <c r="G42" i="21"/>
  <c r="H42" i="21" s="1"/>
  <c r="H16" i="21"/>
  <c r="G16" i="21"/>
  <c r="I41" i="21"/>
  <c r="H39" i="21"/>
  <c r="H38" i="21"/>
  <c r="H37" i="21"/>
  <c r="I38" i="21"/>
  <c r="K35" i="21"/>
  <c r="F37" i="21"/>
  <c r="F38" i="21" s="1"/>
  <c r="F39" i="21" s="1"/>
  <c r="F40" i="21" s="1"/>
  <c r="F41" i="21" s="1"/>
  <c r="F42" i="21" s="1"/>
  <c r="H36" i="21"/>
  <c r="J36" i="21" s="1"/>
  <c r="J37" i="21" l="1"/>
  <c r="K37" i="21" s="1"/>
  <c r="K36" i="21"/>
  <c r="D61" i="21"/>
  <c r="B62" i="21"/>
  <c r="D62" i="21" s="1"/>
  <c r="N27" i="22"/>
  <c r="N19" i="22"/>
  <c r="N21" i="22" s="1"/>
  <c r="N13" i="22"/>
  <c r="J38" i="21"/>
  <c r="Q26" i="14"/>
  <c r="K26" i="14"/>
  <c r="Q25" i="14"/>
  <c r="K25" i="14"/>
  <c r="R25" i="14" s="1"/>
  <c r="S25" i="14" s="1"/>
  <c r="Q24" i="14"/>
  <c r="K24" i="14"/>
  <c r="Q23" i="14"/>
  <c r="K23" i="14"/>
  <c r="R23" i="14" s="1"/>
  <c r="S23" i="14" s="1"/>
  <c r="Q22" i="14"/>
  <c r="K22" i="14"/>
  <c r="Q21" i="14"/>
  <c r="K21" i="14"/>
  <c r="R21" i="14" s="1"/>
  <c r="S21" i="14" s="1"/>
  <c r="Q20" i="14"/>
  <c r="K20" i="14"/>
  <c r="K36" i="9"/>
  <c r="L80" i="9"/>
  <c r="G74" i="9"/>
  <c r="H71" i="9"/>
  <c r="H70" i="9"/>
  <c r="F74" i="9"/>
  <c r="I74" i="9" s="1"/>
  <c r="F73" i="9"/>
  <c r="I73" i="9" s="1"/>
  <c r="F72" i="9"/>
  <c r="H72" i="9" s="1"/>
  <c r="F71" i="9"/>
  <c r="G71" i="9" s="1"/>
  <c r="F70" i="9"/>
  <c r="G70" i="9" s="1"/>
  <c r="B63" i="21" l="1"/>
  <c r="D15" i="22"/>
  <c r="E15" i="22" s="1"/>
  <c r="J39" i="21"/>
  <c r="K38" i="21"/>
  <c r="I21" i="14"/>
  <c r="J21" i="14" s="1"/>
  <c r="I23" i="14"/>
  <c r="J23" i="14" s="1"/>
  <c r="I25" i="14"/>
  <c r="J25" i="14" s="1"/>
  <c r="R20" i="14"/>
  <c r="S20" i="14" s="1"/>
  <c r="R22" i="14"/>
  <c r="R24" i="14"/>
  <c r="R26" i="14"/>
  <c r="S26" i="14" s="1"/>
  <c r="I72" i="9"/>
  <c r="I70" i="9"/>
  <c r="I75" i="9" s="1"/>
  <c r="I71" i="9"/>
  <c r="G73" i="9"/>
  <c r="H74" i="9"/>
  <c r="J74" i="9"/>
  <c r="G72" i="9"/>
  <c r="G75" i="9" s="1"/>
  <c r="H73" i="9"/>
  <c r="H75" i="9" s="1"/>
  <c r="J73" i="9"/>
  <c r="K73" i="9" s="1"/>
  <c r="L73" i="9" s="1"/>
  <c r="M73" i="9" s="1"/>
  <c r="J71" i="9"/>
  <c r="J72" i="9"/>
  <c r="K71" i="9"/>
  <c r="L71" i="9" s="1"/>
  <c r="M71" i="9" s="1"/>
  <c r="K72" i="9"/>
  <c r="L72" i="9" s="1"/>
  <c r="M72" i="9" s="1"/>
  <c r="K74" i="9"/>
  <c r="L74" i="9" s="1"/>
  <c r="M74" i="9" s="1"/>
  <c r="G119" i="9"/>
  <c r="A4" i="19"/>
  <c r="A5" i="19" s="1"/>
  <c r="A3" i="19"/>
  <c r="D63" i="21" l="1"/>
  <c r="B65" i="21"/>
  <c r="K39" i="21"/>
  <c r="G40" i="21" s="1"/>
  <c r="H40" i="21" s="1"/>
  <c r="J40" i="21" s="1"/>
  <c r="S24" i="14"/>
  <c r="I24" i="14" s="1"/>
  <c r="J24" i="14" s="1"/>
  <c r="S22" i="14"/>
  <c r="I22" i="14" s="1"/>
  <c r="J22" i="14" s="1"/>
  <c r="I26" i="14"/>
  <c r="J26" i="14" s="1"/>
  <c r="J70" i="9"/>
  <c r="H67" i="14"/>
  <c r="H66" i="14"/>
  <c r="H65" i="14"/>
  <c r="H64" i="14"/>
  <c r="H63" i="14"/>
  <c r="H62" i="14"/>
  <c r="H61" i="14"/>
  <c r="J41" i="21" l="1"/>
  <c r="K40" i="21"/>
  <c r="J75" i="9"/>
  <c r="L79" i="9" s="1"/>
  <c r="K70" i="9"/>
  <c r="D122" i="17"/>
  <c r="D126" i="17" s="1"/>
  <c r="E120" i="17" s="1"/>
  <c r="E122" i="17" s="1"/>
  <c r="E126" i="17" s="1"/>
  <c r="J42" i="21" l="1"/>
  <c r="K42" i="21" s="1"/>
  <c r="K41" i="21"/>
  <c r="L70" i="9"/>
  <c r="K75" i="9"/>
  <c r="L81" i="9" s="1"/>
  <c r="J139" i="9"/>
  <c r="F134" i="9"/>
  <c r="F136" i="9" s="1"/>
  <c r="J138" i="9" s="1"/>
  <c r="J140" i="9" s="1"/>
  <c r="F121" i="9"/>
  <c r="J126" i="9" s="1"/>
  <c r="H119" i="9"/>
  <c r="E119" i="9"/>
  <c r="D98" i="17"/>
  <c r="D102" i="17" s="1"/>
  <c r="E96" i="17" s="1"/>
  <c r="E98" i="17" s="1"/>
  <c r="E102" i="17" s="1"/>
  <c r="D81" i="17"/>
  <c r="D85" i="17" s="1"/>
  <c r="E79" i="17" s="1"/>
  <c r="E81" i="17" s="1"/>
  <c r="E85" i="17" s="1"/>
  <c r="H121" i="9" l="1"/>
  <c r="I119" i="9"/>
  <c r="M70" i="9"/>
  <c r="L75" i="9"/>
  <c r="L78" i="9" s="1"/>
  <c r="G121" i="9"/>
  <c r="J127" i="9" s="1"/>
  <c r="J128" i="9" s="1"/>
  <c r="G134" i="9"/>
  <c r="G136" i="9" s="1"/>
  <c r="J141" i="9" s="1"/>
  <c r="J142" i="9" s="1"/>
  <c r="I121" i="9"/>
  <c r="J129" i="9" s="1"/>
  <c r="J119" i="9" l="1"/>
  <c r="K119" i="9" s="1"/>
  <c r="J130" i="9"/>
  <c r="H134" i="9"/>
  <c r="O115" i="13"/>
  <c r="G115" i="13"/>
  <c r="F107" i="13"/>
  <c r="G107" i="13" s="1"/>
  <c r="H107" i="13" s="1"/>
  <c r="I107" i="13" s="1"/>
  <c r="J107" i="13" s="1"/>
  <c r="K107" i="13" s="1"/>
  <c r="L107" i="13" s="1"/>
  <c r="M107" i="13" s="1"/>
  <c r="N107" i="13" s="1"/>
  <c r="P107" i="13" s="1"/>
  <c r="Q107" i="13" s="1"/>
  <c r="F106" i="13"/>
  <c r="G106" i="13" s="1"/>
  <c r="H106" i="13" s="1"/>
  <c r="I106" i="13" s="1"/>
  <c r="J106" i="13" s="1"/>
  <c r="K106" i="13" s="1"/>
  <c r="L106" i="13" s="1"/>
  <c r="M106" i="13" s="1"/>
  <c r="N106" i="13" s="1"/>
  <c r="P106" i="13" s="1"/>
  <c r="Q106" i="13" s="1"/>
  <c r="F105" i="13"/>
  <c r="F108" i="13" s="1"/>
  <c r="O111" i="13" s="1"/>
  <c r="J121" i="9" l="1"/>
  <c r="I134" i="9"/>
  <c r="I136" i="9" s="1"/>
  <c r="H136" i="9"/>
  <c r="G105" i="13"/>
  <c r="G56" i="15"/>
  <c r="G55" i="15"/>
  <c r="G54" i="15"/>
  <c r="G53" i="15"/>
  <c r="G52" i="15"/>
  <c r="G45" i="15"/>
  <c r="F45" i="15"/>
  <c r="G8" i="15"/>
  <c r="F8" i="15"/>
  <c r="G19" i="15"/>
  <c r="G18" i="15"/>
  <c r="G17" i="15"/>
  <c r="G16" i="15"/>
  <c r="G15" i="15"/>
  <c r="I97" i="14"/>
  <c r="C14" i="15" s="1"/>
  <c r="D14" i="15" s="1"/>
  <c r="I57" i="14"/>
  <c r="C13" i="15" s="1"/>
  <c r="C50" i="15" s="1"/>
  <c r="I14" i="14"/>
  <c r="C12" i="15" s="1"/>
  <c r="C49" i="15" s="1"/>
  <c r="D113" i="14"/>
  <c r="H107" i="14"/>
  <c r="I107" i="14" s="1"/>
  <c r="H106" i="14"/>
  <c r="I106" i="14" s="1"/>
  <c r="H105" i="14"/>
  <c r="I105" i="14" s="1"/>
  <c r="H104" i="14"/>
  <c r="I104" i="14" s="1"/>
  <c r="H103" i="14"/>
  <c r="I103" i="14" s="1"/>
  <c r="H102" i="14"/>
  <c r="I102" i="14" s="1"/>
  <c r="H101" i="14"/>
  <c r="D73" i="14"/>
  <c r="I67" i="14"/>
  <c r="I66" i="14"/>
  <c r="I65" i="14"/>
  <c r="I64" i="14"/>
  <c r="I63" i="14"/>
  <c r="I62" i="14"/>
  <c r="O34" i="14"/>
  <c r="Q28" i="14"/>
  <c r="L22" i="13"/>
  <c r="N22" i="13" s="1"/>
  <c r="O22" i="13" s="1"/>
  <c r="L17" i="13"/>
  <c r="N17" i="13" s="1"/>
  <c r="O17" i="13" s="1"/>
  <c r="L12" i="13"/>
  <c r="N12" i="13" s="1"/>
  <c r="O12" i="13" s="1"/>
  <c r="D22" i="13"/>
  <c r="F22" i="13" s="1"/>
  <c r="G22" i="13" s="1"/>
  <c r="D17" i="13"/>
  <c r="F17" i="13" s="1"/>
  <c r="G17" i="13" s="1"/>
  <c r="D12" i="13"/>
  <c r="F12" i="13" s="1"/>
  <c r="G12" i="13" s="1"/>
  <c r="D7" i="13"/>
  <c r="F7" i="13" s="1"/>
  <c r="G7" i="13" s="1"/>
  <c r="D50" i="10"/>
  <c r="F50" i="10" s="1"/>
  <c r="G50" i="10" s="1"/>
  <c r="D45" i="10"/>
  <c r="F45" i="10" s="1"/>
  <c r="G45" i="10" s="1"/>
  <c r="D40" i="10"/>
  <c r="F40" i="10" s="1"/>
  <c r="G40" i="10" s="1"/>
  <c r="A3" i="12"/>
  <c r="A7" i="12" s="1"/>
  <c r="A14" i="12" s="1"/>
  <c r="A20" i="12" s="1"/>
  <c r="A23" i="12" s="1"/>
  <c r="C51" i="15" l="1"/>
  <c r="G108" i="13"/>
  <c r="H105" i="13"/>
  <c r="H109" i="14"/>
  <c r="I114" i="14" s="1"/>
  <c r="I101" i="14"/>
  <c r="I109" i="14" s="1"/>
  <c r="H69" i="14"/>
  <c r="I74" i="14" s="1"/>
  <c r="I61" i="14"/>
  <c r="I69" i="14" s="1"/>
  <c r="Q35" i="14"/>
  <c r="Q30" i="14"/>
  <c r="Q34" i="14"/>
  <c r="I28" i="14"/>
  <c r="I33" i="14" s="1"/>
  <c r="J28" i="14"/>
  <c r="A24" i="12"/>
  <c r="K7" i="13"/>
  <c r="L7" i="13" s="1"/>
  <c r="N7" i="13" s="1"/>
  <c r="O7" i="13" s="1"/>
  <c r="L59" i="11"/>
  <c r="G13" i="9"/>
  <c r="F19" i="11"/>
  <c r="F18" i="11"/>
  <c r="F17" i="11"/>
  <c r="Q36" i="14" l="1"/>
  <c r="I73" i="14"/>
  <c r="I75" i="14" s="1"/>
  <c r="B13" i="15" s="1"/>
  <c r="B50" i="15" s="1"/>
  <c r="F49" i="15" s="1"/>
  <c r="D50" i="15" s="1"/>
  <c r="H108" i="13"/>
  <c r="I105" i="13"/>
  <c r="I113" i="14"/>
  <c r="I115" i="14" s="1"/>
  <c r="B14" i="15" s="1"/>
  <c r="I32" i="14"/>
  <c r="I34" i="14" s="1"/>
  <c r="B12" i="15" s="1"/>
  <c r="D35" i="10"/>
  <c r="F35" i="10" s="1"/>
  <c r="G35" i="10" s="1"/>
  <c r="F13" i="15" l="1"/>
  <c r="B51" i="15"/>
  <c r="F12" i="15"/>
  <c r="B49" i="15"/>
  <c r="B20" i="15"/>
  <c r="D12" i="15"/>
  <c r="E12" i="15" s="1"/>
  <c r="I108" i="13"/>
  <c r="J105" i="13"/>
  <c r="D13" i="15"/>
  <c r="E50" i="15"/>
  <c r="F50" i="15" s="1"/>
  <c r="E13" i="15"/>
  <c r="E14" i="15" s="1"/>
  <c r="F103" i="9"/>
  <c r="F102" i="9"/>
  <c r="F101" i="9"/>
  <c r="G101" i="9" s="1"/>
  <c r="F100" i="9"/>
  <c r="G100" i="9" s="1"/>
  <c r="H100" i="9" s="1"/>
  <c r="I100" i="9" s="1"/>
  <c r="F99" i="9"/>
  <c r="F98" i="9"/>
  <c r="F97" i="9"/>
  <c r="F96" i="9"/>
  <c r="G96" i="9" s="1"/>
  <c r="H96" i="9" s="1"/>
  <c r="I96" i="9" s="1"/>
  <c r="F95" i="9"/>
  <c r="F94" i="9"/>
  <c r="A89" i="9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F93" i="9"/>
  <c r="G93" i="9" s="1"/>
  <c r="F92" i="9"/>
  <c r="G92" i="9" s="1"/>
  <c r="F91" i="9"/>
  <c r="F90" i="9"/>
  <c r="F89" i="9"/>
  <c r="F88" i="9"/>
  <c r="G88" i="9" s="1"/>
  <c r="F87" i="9"/>
  <c r="F28" i="9"/>
  <c r="F27" i="9"/>
  <c r="F26" i="9"/>
  <c r="F25" i="9"/>
  <c r="F24" i="9"/>
  <c r="G56" i="9"/>
  <c r="H61" i="9" s="1"/>
  <c r="F55" i="9"/>
  <c r="H55" i="9" s="1"/>
  <c r="I55" i="9" s="1"/>
  <c r="F54" i="9"/>
  <c r="H54" i="9" s="1"/>
  <c r="I54" i="9" s="1"/>
  <c r="F53" i="9"/>
  <c r="H53" i="9" s="1"/>
  <c r="I53" i="9" s="1"/>
  <c r="F52" i="9"/>
  <c r="H52" i="9" s="1"/>
  <c r="I52" i="9" s="1"/>
  <c r="F51" i="9"/>
  <c r="H51" i="9" s="1"/>
  <c r="I51" i="9" s="1"/>
  <c r="F50" i="9"/>
  <c r="H50" i="9" s="1"/>
  <c r="I50" i="9" s="1"/>
  <c r="O13" i="9"/>
  <c r="N33" i="17" s="1"/>
  <c r="F5" i="9"/>
  <c r="G5" i="9" s="1"/>
  <c r="H5" i="9" s="1"/>
  <c r="I5" i="9" s="1"/>
  <c r="J5" i="9" s="1"/>
  <c r="K5" i="9" s="1"/>
  <c r="L5" i="9" s="1"/>
  <c r="M5" i="9" s="1"/>
  <c r="N5" i="9" s="1"/>
  <c r="P5" i="9" s="1"/>
  <c r="Q5" i="9" s="1"/>
  <c r="F4" i="9"/>
  <c r="G4" i="9" s="1"/>
  <c r="H4" i="9" s="1"/>
  <c r="I4" i="9" s="1"/>
  <c r="J4" i="9" s="1"/>
  <c r="K4" i="9" s="1"/>
  <c r="L4" i="9" s="1"/>
  <c r="M4" i="9" s="1"/>
  <c r="N4" i="9" s="1"/>
  <c r="P4" i="9" s="1"/>
  <c r="Q4" i="9" s="1"/>
  <c r="F3" i="9"/>
  <c r="L17" i="2"/>
  <c r="L16" i="2"/>
  <c r="L15" i="2"/>
  <c r="L14" i="2"/>
  <c r="L13" i="2"/>
  <c r="L12" i="2"/>
  <c r="L11" i="2"/>
  <c r="L10" i="2"/>
  <c r="L9" i="2"/>
  <c r="K17" i="2"/>
  <c r="H17" i="2"/>
  <c r="I17" i="2" s="1"/>
  <c r="K16" i="2"/>
  <c r="H16" i="2"/>
  <c r="I16" i="2" s="1"/>
  <c r="K15" i="2"/>
  <c r="H15" i="2"/>
  <c r="I15" i="2" s="1"/>
  <c r="K14" i="2"/>
  <c r="H14" i="2"/>
  <c r="I14" i="2" s="1"/>
  <c r="K13" i="2"/>
  <c r="H13" i="2"/>
  <c r="I13" i="2" s="1"/>
  <c r="K12" i="2"/>
  <c r="H12" i="2"/>
  <c r="I12" i="2" s="1"/>
  <c r="K11" i="2"/>
  <c r="H11" i="2"/>
  <c r="I11" i="2" s="1"/>
  <c r="K10" i="2"/>
  <c r="H10" i="2"/>
  <c r="I10" i="2" s="1"/>
  <c r="K9" i="2"/>
  <c r="H9" i="2"/>
  <c r="I9" i="2" s="1"/>
  <c r="M26" i="9" l="1"/>
  <c r="K26" i="9"/>
  <c r="H26" i="9"/>
  <c r="J26" i="9"/>
  <c r="H27" i="9"/>
  <c r="M27" i="9"/>
  <c r="K27" i="9"/>
  <c r="J27" i="9"/>
  <c r="J24" i="9"/>
  <c r="K24" i="9"/>
  <c r="L24" i="9"/>
  <c r="M24" i="9"/>
  <c r="H24" i="9"/>
  <c r="I24" i="9" s="1"/>
  <c r="K28" i="9"/>
  <c r="J28" i="9"/>
  <c r="M28" i="9"/>
  <c r="H28" i="9"/>
  <c r="H25" i="9"/>
  <c r="K25" i="9"/>
  <c r="J25" i="9"/>
  <c r="M25" i="9"/>
  <c r="G12" i="15"/>
  <c r="D49" i="15"/>
  <c r="B57" i="15"/>
  <c r="L25" i="9"/>
  <c r="G89" i="9"/>
  <c r="H89" i="9" s="1"/>
  <c r="I89" i="9" s="1"/>
  <c r="H101" i="9"/>
  <c r="I101" i="9" s="1"/>
  <c r="H93" i="9"/>
  <c r="I93" i="9" s="1"/>
  <c r="G97" i="9"/>
  <c r="H97" i="9" s="1"/>
  <c r="I97" i="9" s="1"/>
  <c r="J108" i="13"/>
  <c r="K105" i="13"/>
  <c r="G50" i="15"/>
  <c r="D51" i="15"/>
  <c r="E51" i="15" s="1"/>
  <c r="F14" i="15"/>
  <c r="D20" i="15"/>
  <c r="F27" i="15" s="1"/>
  <c r="H92" i="9"/>
  <c r="I92" i="9" s="1"/>
  <c r="G90" i="9"/>
  <c r="H90" i="9" s="1"/>
  <c r="I90" i="9" s="1"/>
  <c r="G94" i="9"/>
  <c r="H94" i="9" s="1"/>
  <c r="I94" i="9" s="1"/>
  <c r="G98" i="9"/>
  <c r="H98" i="9" s="1"/>
  <c r="I98" i="9" s="1"/>
  <c r="G102" i="9"/>
  <c r="H102" i="9" s="1"/>
  <c r="I102" i="9" s="1"/>
  <c r="H88" i="9"/>
  <c r="I88" i="9" s="1"/>
  <c r="G87" i="9"/>
  <c r="G91" i="9"/>
  <c r="H91" i="9" s="1"/>
  <c r="I91" i="9" s="1"/>
  <c r="G95" i="9"/>
  <c r="H95" i="9" s="1"/>
  <c r="I95" i="9" s="1"/>
  <c r="G99" i="9"/>
  <c r="H99" i="9" s="1"/>
  <c r="I99" i="9" s="1"/>
  <c r="G103" i="9"/>
  <c r="H103" i="9" s="1"/>
  <c r="I103" i="9" s="1"/>
  <c r="J19" i="2"/>
  <c r="F104" i="9"/>
  <c r="H108" i="9" s="1"/>
  <c r="I25" i="9"/>
  <c r="N25" i="9" s="1"/>
  <c r="L27" i="9"/>
  <c r="I27" i="9"/>
  <c r="N27" i="9" s="1"/>
  <c r="I26" i="9"/>
  <c r="L26" i="9"/>
  <c r="I28" i="9"/>
  <c r="L28" i="9"/>
  <c r="F31" i="9"/>
  <c r="F56" i="9"/>
  <c r="H56" i="9"/>
  <c r="H63" i="9" s="1"/>
  <c r="F6" i="9"/>
  <c r="G3" i="9"/>
  <c r="G6" i="9" s="1"/>
  <c r="J9" i="2"/>
  <c r="N9" i="2" s="1"/>
  <c r="J10" i="2"/>
  <c r="J11" i="2"/>
  <c r="N11" i="2" s="1"/>
  <c r="J12" i="2"/>
  <c r="N12" i="2" s="1"/>
  <c r="O12" i="2" s="1"/>
  <c r="J13" i="2"/>
  <c r="J14" i="2"/>
  <c r="J15" i="2"/>
  <c r="N15" i="2" s="1"/>
  <c r="O15" i="2" s="1"/>
  <c r="J16" i="2"/>
  <c r="N16" i="2" s="1"/>
  <c r="O16" i="2" s="1"/>
  <c r="J17" i="2"/>
  <c r="N17" i="2" s="1"/>
  <c r="O11" i="2"/>
  <c r="N28" i="9" l="1"/>
  <c r="H31" i="9"/>
  <c r="N26" i="9"/>
  <c r="N24" i="9"/>
  <c r="E49" i="15"/>
  <c r="E57" i="15" s="1"/>
  <c r="F65" i="15" s="1"/>
  <c r="O9" i="9"/>
  <c r="E33" i="17"/>
  <c r="O27" i="9"/>
  <c r="O26" i="9"/>
  <c r="O25" i="9"/>
  <c r="O28" i="9"/>
  <c r="M31" i="9"/>
  <c r="K108" i="13"/>
  <c r="L105" i="13"/>
  <c r="D57" i="15"/>
  <c r="F64" i="15" s="1"/>
  <c r="G13" i="15"/>
  <c r="N10" i="2"/>
  <c r="O10" i="2" s="1"/>
  <c r="N13" i="2"/>
  <c r="O13" i="2" s="1"/>
  <c r="N14" i="2"/>
  <c r="O14" i="2" s="1"/>
  <c r="O17" i="2"/>
  <c r="K20" i="2"/>
  <c r="J20" i="2"/>
  <c r="G104" i="9"/>
  <c r="H87" i="9"/>
  <c r="L31" i="9"/>
  <c r="L33" i="9" s="1"/>
  <c r="J31" i="9"/>
  <c r="K31" i="9"/>
  <c r="K33" i="9" s="1"/>
  <c r="H33" i="9"/>
  <c r="H60" i="9"/>
  <c r="H62" i="9" s="1"/>
  <c r="H64" i="9" s="1"/>
  <c r="H3" i="9"/>
  <c r="I3" i="9" s="1"/>
  <c r="O9" i="2"/>
  <c r="K37" i="9" l="1"/>
  <c r="J33" i="9"/>
  <c r="M33" i="9"/>
  <c r="I31" i="9"/>
  <c r="I33" i="9" s="1"/>
  <c r="F51" i="15"/>
  <c r="F57" i="15" s="1"/>
  <c r="F61" i="15" s="1"/>
  <c r="G49" i="15"/>
  <c r="H109" i="9"/>
  <c r="H110" i="9" s="1"/>
  <c r="G106" i="9"/>
  <c r="L108" i="13"/>
  <c r="M105" i="13"/>
  <c r="F66" i="15"/>
  <c r="F67" i="15" s="1"/>
  <c r="E20" i="15"/>
  <c r="F29" i="15" s="1"/>
  <c r="F20" i="15"/>
  <c r="O19" i="2"/>
  <c r="H104" i="9"/>
  <c r="H111" i="9" s="1"/>
  <c r="I87" i="9"/>
  <c r="H6" i="9"/>
  <c r="I6" i="9"/>
  <c r="J3" i="9"/>
  <c r="K38" i="9" l="1"/>
  <c r="G51" i="15"/>
  <c r="G57" i="15" s="1"/>
  <c r="F72" i="15" s="1"/>
  <c r="H112" i="9"/>
  <c r="L82" i="9"/>
  <c r="G33" i="17"/>
  <c r="F33" i="17"/>
  <c r="M108" i="13"/>
  <c r="N105" i="13"/>
  <c r="F28" i="15"/>
  <c r="F30" i="15" s="1"/>
  <c r="F24" i="15"/>
  <c r="G14" i="15"/>
  <c r="G20" i="15" s="1"/>
  <c r="F33" i="15" s="1"/>
  <c r="N31" i="9"/>
  <c r="K39" i="9" s="1"/>
  <c r="O24" i="9"/>
  <c r="K3" i="9"/>
  <c r="J6" i="9"/>
  <c r="H33" i="17" s="1"/>
  <c r="F70" i="15" l="1"/>
  <c r="K40" i="9"/>
  <c r="N108" i="13"/>
  <c r="P105" i="13"/>
  <c r="F35" i="15"/>
  <c r="K6" i="9"/>
  <c r="L3" i="9"/>
  <c r="I33" i="17" l="1"/>
  <c r="P108" i="13"/>
  <c r="Q105" i="13"/>
  <c r="L6" i="9"/>
  <c r="J33" i="17" s="1"/>
  <c r="M3" i="9"/>
  <c r="M6" i="9" l="1"/>
  <c r="K33" i="17" s="1"/>
  <c r="L33" i="17" s="1"/>
  <c r="N3" i="9"/>
  <c r="P3" i="9" s="1"/>
  <c r="Q3" i="9" s="1"/>
  <c r="O10" i="9" l="1"/>
  <c r="N6" i="9"/>
  <c r="O12" i="9" s="1"/>
  <c r="M33" i="17" s="1"/>
  <c r="O33" i="17" s="1"/>
  <c r="O11" i="9" l="1"/>
  <c r="O14" i="9" s="1"/>
  <c r="O112" i="13"/>
  <c r="O113" i="13" s="1"/>
  <c r="S13" i="9"/>
  <c r="O114" i="13"/>
  <c r="T15" i="9"/>
  <c r="P6" i="9"/>
  <c r="O116" i="13" l="1"/>
  <c r="T11" i="9"/>
  <c r="S9" i="9"/>
  <c r="S111" i="13" l="1"/>
  <c r="T113" i="13"/>
</calcChain>
</file>

<file path=xl/sharedStrings.xml><?xml version="1.0" encoding="utf-8"?>
<sst xmlns="http://schemas.openxmlformats.org/spreadsheetml/2006/main" count="1939" uniqueCount="991">
  <si>
    <t>ADDING PRODUCT</t>
  </si>
  <si>
    <t>ENTRY NO.</t>
  </si>
  <si>
    <t>ITEM CODE</t>
  </si>
  <si>
    <t>ITEM NAME</t>
  </si>
  <si>
    <t>CATEGORY</t>
  </si>
  <si>
    <t>PRINCIPAL</t>
  </si>
  <si>
    <t>FREIGHT</t>
  </si>
  <si>
    <t>UNIT TYPE</t>
  </si>
  <si>
    <t>BUTAL / CASE</t>
  </si>
  <si>
    <t>EQUIVALENT ITEM</t>
  </si>
  <si>
    <t>UOM</t>
  </si>
  <si>
    <t>VAN NO.</t>
  </si>
  <si>
    <t>PO NO.</t>
  </si>
  <si>
    <t>DATE</t>
  </si>
  <si>
    <t>DR/SI NO.</t>
  </si>
  <si>
    <t>NAME</t>
  </si>
  <si>
    <t>QTY</t>
  </si>
  <si>
    <t>DISC.1</t>
  </si>
  <si>
    <t>DISC.2</t>
  </si>
  <si>
    <t>DISC.3</t>
  </si>
  <si>
    <t>DISC.4</t>
  </si>
  <si>
    <t>TOTAL COST</t>
  </si>
  <si>
    <t>MAIN_900</t>
  </si>
  <si>
    <t>MAIN_901</t>
  </si>
  <si>
    <t>MAIN_902</t>
  </si>
  <si>
    <t>MAIN_903</t>
  </si>
  <si>
    <t>MAIN_904</t>
  </si>
  <si>
    <t>MAIN_905</t>
  </si>
  <si>
    <t>MAIN_906</t>
  </si>
  <si>
    <t>MAIN_907</t>
  </si>
  <si>
    <t>MAIN_908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</si>
  <si>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</si>
  <si>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</si>
  <si>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</si>
  <si>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</si>
  <si>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</si>
  <si>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</si>
  <si>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</si>
  <si>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</si>
  <si>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</si>
  <si>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CASE</t>
  </si>
  <si>
    <t>TOTAL</t>
  </si>
  <si>
    <t>No. of Pieces/Case</t>
  </si>
  <si>
    <t>NEEDED DURING MIGRATION</t>
  </si>
  <si>
    <t>RE-ORDER POINT</t>
  </si>
  <si>
    <t>FAST MOVING ITEM</t>
  </si>
  <si>
    <t>YES      NO</t>
  </si>
  <si>
    <t>UNIQUE</t>
  </si>
  <si>
    <t>CHANGEABLE</t>
  </si>
  <si>
    <t>P1</t>
  </si>
  <si>
    <t>P2</t>
  </si>
  <si>
    <t>P3</t>
  </si>
  <si>
    <t>ASK FOR PRICING SCHEME FROM ENCODERS PER PRINCIPAL</t>
  </si>
  <si>
    <t>DISC.5</t>
  </si>
  <si>
    <t>FORMULA</t>
  </si>
  <si>
    <t>INVOICE COST * DISC 1 %</t>
  </si>
  <si>
    <t>DISC 1</t>
  </si>
  <si>
    <t>DISC 2</t>
  </si>
  <si>
    <t>(INVOICE COST - DISC 1 AMOUNT) * DISC 2 RATE</t>
  </si>
  <si>
    <t>INV. COST (VAT. INC.)</t>
  </si>
  <si>
    <t>FINAL UNIT COST</t>
  </si>
  <si>
    <t>FINAL UNIT COST WILL BE THE LATEST COST OF THE ITEM</t>
  </si>
  <si>
    <t>INVOICE UNIT COST WILL BE  THE SALES PRICE 1</t>
  </si>
  <si>
    <t>NOTIFICATION - REQUEST FOR APPROVAL FROM SIR JEFF</t>
  </si>
  <si>
    <t>UPON APPROVAL - PO WILL BE SENT THROUGH EMAIL TO THE PRINCIPAL</t>
  </si>
  <si>
    <t>CODE PER PRINCIPAL</t>
  </si>
  <si>
    <t>CIFPI</t>
  </si>
  <si>
    <t>GCI</t>
  </si>
  <si>
    <t>EPI</t>
  </si>
  <si>
    <t>PFC</t>
  </si>
  <si>
    <t>PPMC</t>
  </si>
  <si>
    <t>DOLE</t>
  </si>
  <si>
    <t>01</t>
  </si>
  <si>
    <t>02</t>
  </si>
  <si>
    <t>03</t>
  </si>
  <si>
    <t>04</t>
  </si>
  <si>
    <t>05</t>
  </si>
  <si>
    <t>06</t>
  </si>
  <si>
    <t>NO. CONVENTION</t>
  </si>
  <si>
    <t>PRINCIPAL CODE - MONTH - SERIES - YEAR</t>
  </si>
  <si>
    <t>01-09-001-19</t>
  </si>
  <si>
    <t>TEMPLATE FOR PO:</t>
  </si>
  <si>
    <t>PROVISION FOR STAGGERED DELIVERY</t>
  </si>
  <si>
    <t>RATE  - INDEPENDENT FROM EACH OTHER</t>
  </si>
  <si>
    <t>SHOULD BE PRINTABLE</t>
  </si>
  <si>
    <t>CHANGE RECEIVABLE TO - RECEIVING REPORT</t>
  </si>
  <si>
    <t>SEARCH ENGINE:</t>
  </si>
  <si>
    <t>PO</t>
  </si>
  <si>
    <t>DR/SI</t>
  </si>
  <si>
    <t>ITEM TYPE</t>
  </si>
  <si>
    <t>CASE / BUTAL</t>
  </si>
  <si>
    <t>BUTAL CODE</t>
  </si>
  <si>
    <t>PRODUCT LIST:</t>
  </si>
  <si>
    <t>SEARCH ENGINE: BY PRINCIPAL, FAST/SLOW MOVING</t>
  </si>
  <si>
    <t>PRINT OPTIONS</t>
  </si>
  <si>
    <t>ADD NEW PRODUCT</t>
  </si>
  <si>
    <t>UNIT PRICE</t>
  </si>
  <si>
    <t>PRICING</t>
  </si>
  <si>
    <t>P1 = INVOICE COST</t>
  </si>
  <si>
    <t>COLUMBIA</t>
  </si>
  <si>
    <t>P1 + 3%</t>
  </si>
  <si>
    <t>P1 + 2%</t>
  </si>
  <si>
    <t>P2 + 3%</t>
  </si>
  <si>
    <t>INDIVIDUAL INPUT</t>
  </si>
  <si>
    <t>PRI-FOOD</t>
  </si>
  <si>
    <t>P2 + 25PESOS</t>
  </si>
  <si>
    <t>TO INCLUDE IN ADDING NEW PRODUCT</t>
  </si>
  <si>
    <t>TO INCLUDE - ITEM CODE</t>
  </si>
  <si>
    <t>CODE</t>
  </si>
  <si>
    <t>DESCRIPTION</t>
  </si>
  <si>
    <t>QOH</t>
  </si>
  <si>
    <t>PO BAL</t>
  </si>
  <si>
    <t>QTY FOR ORDER</t>
  </si>
  <si>
    <t>ASK FORMULA FROM ARLYN</t>
  </si>
  <si>
    <t>REFER BELOW</t>
  </si>
  <si>
    <t>JULMAR COMMERCIAL, INC.</t>
  </si>
  <si>
    <t>ST. IGNATIUS KAUSWAGAN, CAGAYAN DE ORO CITY</t>
  </si>
  <si>
    <t>ADDRESS</t>
  </si>
  <si>
    <t>EMAIL ADD</t>
  </si>
  <si>
    <t>DELIVERY TERM</t>
  </si>
  <si>
    <t>PAYMENT TERM</t>
  </si>
  <si>
    <t>01-09-001-19 (PRINCIPAL CODE - MONTH - SERIES - YEAR)</t>
  </si>
  <si>
    <t>GRAND TOTAL</t>
  </si>
  <si>
    <t>TELEPHONE NO.</t>
  </si>
  <si>
    <t>PRINCIPAL / SUPPLIER</t>
  </si>
  <si>
    <t>PREPARED BY:</t>
  </si>
  <si>
    <t>USER/ID</t>
  </si>
  <si>
    <t>ADD TO CART</t>
  </si>
  <si>
    <t>CHANGE TO ADD TO ORDER</t>
  </si>
  <si>
    <t>ORDER FORM</t>
  </si>
  <si>
    <t>ALASKA</t>
  </si>
  <si>
    <t>07</t>
  </si>
  <si>
    <t>ADD DROPDOWN</t>
  </si>
  <si>
    <t>30 DAYS</t>
  </si>
  <si>
    <t>45 DAYS</t>
  </si>
  <si>
    <t>60 DAYS</t>
  </si>
  <si>
    <t>90 DAYS</t>
  </si>
  <si>
    <t>7 DAYS, 15 DAYS, 30 DAYS</t>
  </si>
  <si>
    <t>ENCODER</t>
  </si>
  <si>
    <t>SUPERVISOR</t>
  </si>
  <si>
    <t>OM</t>
  </si>
  <si>
    <t>EPR</t>
  </si>
  <si>
    <t>DS</t>
  </si>
  <si>
    <t>PO FORMAT - SHOULD BE ALIGNED</t>
  </si>
  <si>
    <t>ALL REPORTS MUST BE GENERATED TO EXCEL</t>
  </si>
  <si>
    <t>ADDITION 9.14.2019</t>
  </si>
  <si>
    <t>CAN BE REMOVED</t>
  </si>
  <si>
    <t>ADD: PRODUCT SEARCHING</t>
  </si>
  <si>
    <t>ASK WAREHOUSE CUSTODIANS</t>
  </si>
  <si>
    <t>EXPIRATION - PROMPT</t>
  </si>
  <si>
    <t>FOOD PRODUCTS</t>
  </si>
  <si>
    <t>OTHER ITEMS</t>
  </si>
  <si>
    <t>PRODUCT LIST REPORT</t>
  </si>
  <si>
    <t>MUST SHOW THE RE-ORDER POINT</t>
  </si>
  <si>
    <t>RECEIVING REPORT</t>
  </si>
  <si>
    <t>MUST SHOW DATE RECEIVED - TO ADD COLUMN</t>
  </si>
  <si>
    <t>CAPABLE TO SHOW RECEIVE TRANSACTIONS FOR A GIVEN DATE RANGE (e.g. September 1 - 30, 2019)</t>
  </si>
  <si>
    <t>FOR EMAIL - PO GENERATED FROM SYSTEM</t>
  </si>
  <si>
    <t>NOT TO BE EMAILED - PO PREPARED BY OM &amp; DS</t>
  </si>
  <si>
    <t>COMPANY NAME - MUST BE PRINCIPAL</t>
  </si>
  <si>
    <t>CONTACT NO.</t>
  </si>
  <si>
    <t>PCM - CHANGE TO DM NO.</t>
  </si>
  <si>
    <t>INPUT ACTUAL RECEIVING INVOICE</t>
  </si>
  <si>
    <t>IMPORT - BEGINNING INVENTORY</t>
  </si>
  <si>
    <t>FROM INVENTORY - ASK FOR PRODUCT LIST W/ INVENTORY BALANCE</t>
  </si>
  <si>
    <t>PRODUCT NAME</t>
  </si>
  <si>
    <t>PRODUCT CODE</t>
  </si>
  <si>
    <t>PI</t>
  </si>
  <si>
    <t>FUC</t>
  </si>
  <si>
    <t>BODEGA-OUT</t>
  </si>
  <si>
    <t>9.28.2019 ADDITIONS/CORRECTIONS</t>
  </si>
  <si>
    <t>RECEIVING</t>
  </si>
  <si>
    <t>ADD LOCATION</t>
  </si>
  <si>
    <t>ADD TITLE - PRODUCT LIST</t>
  </si>
  <si>
    <t>QOH x UNIT COST</t>
  </si>
  <si>
    <t>ADDITION 9.28.2019</t>
  </si>
  <si>
    <t>ADD TITLE</t>
  </si>
  <si>
    <t>COURIER</t>
  </si>
  <si>
    <t>RECEIVED BY:</t>
  </si>
  <si>
    <t>ASSISTED BY:</t>
  </si>
  <si>
    <t>BRANCH</t>
  </si>
  <si>
    <t>INCLUDE OTHERD FOR NEW EMPLOYEE/RELIEVER</t>
  </si>
  <si>
    <t>9.28.2019</t>
  </si>
  <si>
    <t>TEST MIGRATION</t>
  </si>
  <si>
    <t>PART 1</t>
  </si>
  <si>
    <t>PRODUCT LIST</t>
  </si>
  <si>
    <t>PART 2</t>
  </si>
  <si>
    <t>COST &amp; PRICES</t>
  </si>
  <si>
    <t>REVIEW OCTOBER 12</t>
  </si>
  <si>
    <t>PRESENTATION OCTOBER 19</t>
  </si>
  <si>
    <t>VANESSA TO DO'S</t>
  </si>
  <si>
    <t>SUBMIT PROCEDURE MANUAL FOR SALES/OUTGOING TRANSACTIONS</t>
  </si>
  <si>
    <t>AGENT WILL PREPARE SALES ORDER - SUBMIT TO ENCODER - ENCODER TO UPLOAD THE SALES ORDER</t>
  </si>
  <si>
    <t>FINAL TOTAL COST</t>
  </si>
  <si>
    <t>CIOCO LUV LUV</t>
  </si>
  <si>
    <t>3 KINGS</t>
  </si>
  <si>
    <t>CIOCO LUVLOV CHOCOBALLS</t>
  </si>
  <si>
    <t>CHAMPION</t>
  </si>
  <si>
    <t>SUMMARY:</t>
  </si>
  <si>
    <t>LESS: DISCOUNTS</t>
  </si>
  <si>
    <t>NET OF DICOUNTS</t>
  </si>
  <si>
    <t>VAT AMOUNT</t>
  </si>
  <si>
    <t>TOTAL FINAL COST</t>
  </si>
  <si>
    <t>U/C</t>
  </si>
  <si>
    <t>TOTAL AMOUNT</t>
  </si>
  <si>
    <t>DISCOUNT</t>
  </si>
  <si>
    <t>VATABLE PURCHASES</t>
  </si>
  <si>
    <t>VAT INCLUSIVE</t>
  </si>
  <si>
    <t>SUPER CRUNCH BLUE</t>
  </si>
  <si>
    <t>SUPER CRUNCH CHEEESE</t>
  </si>
  <si>
    <t>SUPER CRUNCH GREEN</t>
  </si>
  <si>
    <t>SUPER CRUNCH SWEETCORN</t>
  </si>
  <si>
    <t>SUPER CRUNCH RED</t>
  </si>
  <si>
    <t>TAGAY CHILI &amp; GARLIC</t>
  </si>
  <si>
    <t>VAT INC TCOST ( x 1.12)</t>
  </si>
  <si>
    <t>COL. E</t>
  </si>
  <si>
    <t>COL L -COL E</t>
  </si>
  <si>
    <t>COL M - COL L</t>
  </si>
  <si>
    <t>COL N x COL C</t>
  </si>
  <si>
    <t>TD-1</t>
  </si>
  <si>
    <t>TD-2</t>
  </si>
  <si>
    <t>DSTE</t>
  </si>
  <si>
    <t>BO ALLOW.</t>
  </si>
  <si>
    <t>DIZER ALLOW</t>
  </si>
  <si>
    <t>10.5.2019</t>
  </si>
  <si>
    <t>ADD PRODUCT - DELETE UNIT COST INPUT BOX</t>
  </si>
  <si>
    <t xml:space="preserve"> - CATEGORY</t>
  </si>
  <si>
    <t xml:space="preserve"> - RE-ORDER POINT</t>
  </si>
  <si>
    <t xml:space="preserve"> - EBQ (EQUIVALENT BUTAL QTY)</t>
  </si>
  <si>
    <t xml:space="preserve"> - REMARKS (FAST-MOVING / SLOW MOVING)</t>
  </si>
  <si>
    <t>ADD LEGEND FOR NAME LABELING</t>
  </si>
  <si>
    <t>PURCHASE ORDER</t>
  </si>
  <si>
    <t>PO FORM - ADD ORDER NO.</t>
  </si>
  <si>
    <t xml:space="preserve"> - EBPC (EQUIVALENT BUTAL PRODUCT CODE)</t>
  </si>
  <si>
    <t xml:space="preserve"> - FINAL UNIT COST</t>
  </si>
  <si>
    <t xml:space="preserve"> - P1</t>
  </si>
  <si>
    <t xml:space="preserve"> - P2</t>
  </si>
  <si>
    <t xml:space="preserve"> - P3</t>
  </si>
  <si>
    <t xml:space="preserve"> - PRODUCT TYPE</t>
  </si>
  <si>
    <t>PRODUCT LIST - SEE ITEMS BELOW</t>
  </si>
  <si>
    <t>FOLLOWING ITEMS MUST BE SUPPLIED BY INVENTORY FOR MIGRATION</t>
  </si>
  <si>
    <t>PO REPORT</t>
  </si>
  <si>
    <t>SHOW RECEIVING REPORT NO.</t>
  </si>
  <si>
    <t>JULMAR COMMERCIAL</t>
  </si>
  <si>
    <t>ST. IGNATIUS KAUSWAGAN</t>
  </si>
  <si>
    <t>TEL NO.</t>
  </si>
  <si>
    <t>BODEGA OUT NO.</t>
  </si>
  <si>
    <t>ITEM DESCRIPTION</t>
  </si>
  <si>
    <t>OUT FROM CASE</t>
  </si>
  <si>
    <t>IN TO BUTAL</t>
  </si>
  <si>
    <t>RELEASED BY (CASE):</t>
  </si>
  <si>
    <t>RECEIVED BY (BUTAL):</t>
  </si>
  <si>
    <t>RETURN TO PRINCIPAL</t>
  </si>
  <si>
    <t>PLEASE ADD LOGO TO ALL PRINTABLE REPORTS &amp; FORMS</t>
  </si>
  <si>
    <t>CLICKABLE ROW - LOOP TO ORIGINAL TRANSACTION (ALL REPORTS)</t>
  </si>
  <si>
    <t>RECEIVING LABELS</t>
  </si>
  <si>
    <t>PO QTY</t>
  </si>
  <si>
    <t>REC QTY</t>
  </si>
  <si>
    <t>BAL QTY</t>
  </si>
  <si>
    <t>DELETE PO REF IN THE COLUMN</t>
  </si>
  <si>
    <t>SELECT EQUIVALENT PRODUCT - TO CONTINUE SINCE AS CONFIRMED FROM ATENG CODE VARIES FOR CASE &amp; BUTAL - REFER TO PRODUCT TYPE</t>
  </si>
  <si>
    <t>TABULATED REPORT (ALL REPORTS FOLLOW)</t>
  </si>
  <si>
    <t>QTY RETURNED MUST NOT EXCEED QTY RECEIVED (FILTER)</t>
  </si>
  <si>
    <t>NOTE DURING MIGRATION  - CHECK FOR NEGATIVE FIGURES (CHANGE ALL TO ZERO)</t>
  </si>
  <si>
    <t>GENERATE PO UPON SAVING &amp; SHOW PO NUMBER IN THE ORDER FORM</t>
  </si>
  <si>
    <t>BAL</t>
  </si>
  <si>
    <t>REC</t>
  </si>
  <si>
    <t>CHAMPION, BARS, CALLA BARS</t>
  </si>
  <si>
    <t>TODO BARS, TODO TIPID</t>
  </si>
  <si>
    <t>CHAMPION POWDERS, CALLA POWDER, FABCON, DW</t>
  </si>
  <si>
    <t>HANA (PLC)</t>
  </si>
  <si>
    <t>COL F / 1.12</t>
  </si>
  <si>
    <t>GEN PUR BLU</t>
  </si>
  <si>
    <t>EVR SUPER HEAVYDUTY</t>
  </si>
  <si>
    <t>SHD BLKC</t>
  </si>
  <si>
    <t>1222 SHD BLK</t>
  </si>
  <si>
    <t>COL G TOTAL/1.12 * -1</t>
  </si>
  <si>
    <t>COL G TOTAL / 1.12 * -1</t>
  </si>
  <si>
    <t>COL H / 1.12 *.12</t>
  </si>
  <si>
    <t>ADDITIONAL REPORTS IN THE RECEIVING</t>
  </si>
  <si>
    <t>RR NO</t>
  </si>
  <si>
    <t>INV NO.</t>
  </si>
  <si>
    <t>TOTAL DISC.</t>
  </si>
  <si>
    <t>DISCOUNT REPORT</t>
  </si>
  <si>
    <t>PRIFOOD</t>
  </si>
  <si>
    <t>VAT - INPUT TAX</t>
  </si>
  <si>
    <t>GREEN CROSS SANITIING</t>
  </si>
  <si>
    <t>GC SANITIING GEL SPARKLING BERRY</t>
  </si>
  <si>
    <t>GC MOIST 125G</t>
  </si>
  <si>
    <t>GC MOIST 555G</t>
  </si>
  <si>
    <t>COW EVAPORADA</t>
  </si>
  <si>
    <t>TO BE DELETED</t>
  </si>
  <si>
    <t xml:space="preserve">TOTAL COST </t>
  </si>
  <si>
    <t>PRODUCT LIST TABLE</t>
  </si>
  <si>
    <t>FILTER</t>
  </si>
  <si>
    <t>SELECT PRODUCT = PRINCIPAL</t>
  </si>
  <si>
    <t>SAME TABULATED AS RECEIVING REPORT</t>
  </si>
  <si>
    <t>WILL ALL TRANSACTIONS</t>
  </si>
  <si>
    <t>THERE'S OPTION TO RANGE DATE</t>
  </si>
  <si>
    <t>UNIT COST IN RECEIVING REPORT CAN BE LOOPED FROM PRODUCT LIST BUT CAN BE EDITED DURING ACTUAL RECEIPT TRANSACTION</t>
  </si>
  <si>
    <t>ALL SAVE BUTTONS - DISABLE ONCE SAVED</t>
  </si>
  <si>
    <t xml:space="preserve">JULMAR LOGO BACKGROUND FOR THE SYSTEM - FOR PRIO </t>
  </si>
  <si>
    <t>ADD - REMARKS COLUMN</t>
  </si>
  <si>
    <t>SHORT LANDING</t>
  </si>
  <si>
    <t>DAMAGE</t>
  </si>
  <si>
    <t>OVER</t>
  </si>
  <si>
    <t>LACKING</t>
  </si>
  <si>
    <t>BALANCE</t>
  </si>
  <si>
    <t>SHOW BALANCE</t>
  </si>
  <si>
    <t>DO NOT SHOW BALANCE</t>
  </si>
  <si>
    <t>RECEIVED REPORT - ADD COLUM FOR TOTAL  FINAL COST</t>
  </si>
  <si>
    <t>RECEIVED REPORT - ADD CHECK BOX - TO SHOW DETAILED TRANSACTION BY PRINCIPAL WITHIN A SPECIFIED DATE RANGE</t>
  </si>
  <si>
    <t>PI FOR COLUMBIA</t>
  </si>
  <si>
    <t>U/C * 1.12 + FREIGHT</t>
  </si>
  <si>
    <t>466.07 *1.12 + 8</t>
  </si>
  <si>
    <t>PI =</t>
  </si>
  <si>
    <t>COMPUTE FOR THE FINAL UNIT COST</t>
  </si>
  <si>
    <t>QTY CASE</t>
  </si>
  <si>
    <t>FTC</t>
  </si>
  <si>
    <t>BUTAL</t>
  </si>
  <si>
    <t>QTY BUTAL</t>
  </si>
  <si>
    <t>TRANSFER BUTAL TO CASE</t>
  </si>
  <si>
    <t>LACKING - CASE TO BUTAL</t>
  </si>
  <si>
    <t>ADD FILTER C/O JOHN</t>
  </si>
  <si>
    <t>BODEGA OUT REPORT</t>
  </si>
  <si>
    <t>BODEGA OUT - ADD FIELD FOR EQUIVALENT QTY BUTAL/CASE</t>
  </si>
  <si>
    <t>BODEGA OUT</t>
  </si>
  <si>
    <t>BUTAL FUC</t>
  </si>
  <si>
    <t>FUC CASE/QTY BUTAL</t>
  </si>
  <si>
    <t>P1 CASE / QTY BUTAL</t>
  </si>
  <si>
    <t>P2 CASE / QTY BUTAL</t>
  </si>
  <si>
    <t>BUTAL QTY</t>
  </si>
  <si>
    <t>BASED TO CASE - FUC, P1, P2, P3</t>
  </si>
  <si>
    <t>JUST DIVIDE THIS BY NO. OF BUTAL PER KAHON</t>
  </si>
  <si>
    <t>BUTAL TO CASE = SHOW COST COMPUTATION IN BUTAL TO CASE REPORT</t>
  </si>
  <si>
    <t>CHECK ROUNDING OF PRICE HISTORY</t>
  </si>
  <si>
    <t>VANESSA TO FOLLOW-UP - FORMULA FOR PRINCING OF OTHER PRINCIPALS</t>
  </si>
  <si>
    <t>PO REPORT = PREPARED BY - POSITION AT BOTTOM LEFT</t>
  </si>
  <si>
    <t>FOR PHASE 2</t>
  </si>
  <si>
    <t>DISCUSSION</t>
  </si>
  <si>
    <t>FOR PURCHASE ORDER</t>
  </si>
  <si>
    <t>ON DISCOUNT - FIXED</t>
  </si>
  <si>
    <t>DISCOUNT - BO DISCOUNT</t>
  </si>
  <si>
    <t>PHASE 2</t>
  </si>
  <si>
    <t>ORDER AGENT = REMARKS - OF THE 10 UNITS 1 UNIT IS OUT OF STOCK</t>
  </si>
  <si>
    <t>OUT OF STOCK REPORT</t>
  </si>
  <si>
    <t>CUSTODIAN</t>
  </si>
  <si>
    <t>FIRST IN FIRST OUT</t>
  </si>
  <si>
    <t>AGENT TO ENCODER</t>
  </si>
  <si>
    <t>ORDER FORMAT</t>
  </si>
  <si>
    <t>NO SECOND INVOICE IF NO PAYMENT/BEYOND DUE DATE 1ST INVOICE</t>
  </si>
  <si>
    <t>OVERPAYMENT - AR 2000, CHECK PAYMENT = 10,000</t>
  </si>
  <si>
    <t>ACCESS - PER PRINCIPAL</t>
  </si>
  <si>
    <t>FOR IMPLEMENTATION PRACTICE - COLUMBIA</t>
  </si>
  <si>
    <t>SUGGESTED ORDER QUANTITY  C/O  SIR AGUSTIN</t>
  </si>
  <si>
    <t>LESS: IN TRANSIT</t>
  </si>
  <si>
    <t>LESS: INVENTORY</t>
  </si>
  <si>
    <t>SUGGESTED ORDER QTY</t>
  </si>
  <si>
    <t xml:space="preserve">MONTHLY SALES </t>
  </si>
  <si>
    <t>BASED ON SKU</t>
  </si>
  <si>
    <t>TO BE REFRECTED</t>
  </si>
  <si>
    <t>EVERY YEAR UPDATING</t>
  </si>
  <si>
    <t>PER CATEGORY</t>
  </si>
  <si>
    <t>DISCOUNT - PER SKU</t>
  </si>
  <si>
    <t>SPECIFY PER PRINCIPAL</t>
  </si>
  <si>
    <t>SEPARATE WINDOW FOR BO ALLOWANCE</t>
  </si>
  <si>
    <t>FREE GOODS ENTRY</t>
  </si>
  <si>
    <t>PRICE DIFFERENCE = OLD TO NEW UPDATEDPRICE = MAKE REPORT</t>
  </si>
  <si>
    <t>ENDING INVENTORY X (OLD - NEW PRICE)</t>
  </si>
  <si>
    <t>OLD</t>
  </si>
  <si>
    <t>NEW</t>
  </si>
  <si>
    <t>PRICE DIFF</t>
  </si>
  <si>
    <t>DELIVERABLES</t>
  </si>
  <si>
    <t>TIMELINE</t>
  </si>
  <si>
    <t>PHASE 1</t>
  </si>
  <si>
    <t>MIGRATION PLATFORM FROM OLD SYSTEM</t>
  </si>
  <si>
    <t>PRODUCT PROFILE/MASTERLIST</t>
  </si>
  <si>
    <t>RECEIVING OF DELIVERIES / VAN FROM PRINCIPAL</t>
  </si>
  <si>
    <t>*Indication - Fast-moving / Slow-moving</t>
  </si>
  <si>
    <t>*Re-order Point</t>
  </si>
  <si>
    <t>*Equivalent quantity - Case to Butal</t>
  </si>
  <si>
    <t>*Link from Re-order Point</t>
  </si>
  <si>
    <t>*Identified discount rate per category</t>
  </si>
  <si>
    <t>*Generate Report on discount intended for B.O. Allowance</t>
  </si>
  <si>
    <t>*Input expiration date of deliveries</t>
  </si>
  <si>
    <t>DEBIT MEMO (RETURN TO PRINCIPAL)</t>
  </si>
  <si>
    <t>***ASK POLICY REGARDING EXPIRATION (WHEN NEED TO BE REPLACED FROM PRINCIPAL)</t>
  </si>
  <si>
    <t>BODEGA OUT (CASE TO BUTAL OR BUTAL TO CASE)</t>
  </si>
  <si>
    <t>OKAY</t>
  </si>
  <si>
    <t>EQUIVALENT QTY - BUTAL</t>
  </si>
  <si>
    <t>UNIT COST/CASE</t>
  </si>
  <si>
    <t>UNIC COST/BUTAL</t>
  </si>
  <si>
    <t>TOTAL QTY. TRANSFERRED</t>
  </si>
  <si>
    <t>COMPUTE FOR THE P1</t>
  </si>
  <si>
    <t>COMPUTE FOR THE P2</t>
  </si>
  <si>
    <t>TOTAL P1</t>
  </si>
  <si>
    <t>TOTAL P2</t>
  </si>
  <si>
    <t>*Automatic generation of equivalent quantity to Butal  (provided equivalent qty. from case to butal)</t>
  </si>
  <si>
    <t>DONE</t>
  </si>
  <si>
    <t>NOVEMBER 2019</t>
  </si>
  <si>
    <t>*Available feature for direct email</t>
  </si>
  <si>
    <t>*Automatic computation of Final Unit Cost (FUC), P1, P2, VAT, discounts</t>
  </si>
  <si>
    <t>COMPUTE FOR THE P3</t>
  </si>
  <si>
    <t>TOTAL P3</t>
  </si>
  <si>
    <t>CASE TO BUTAL</t>
  </si>
  <si>
    <t>BUTAL TO CASE</t>
  </si>
  <si>
    <t>RECEIVING FROM BRANCH</t>
  </si>
  <si>
    <t>RECEIVED FROM - JULMAR-OZAMIZ (example)</t>
  </si>
  <si>
    <t>TOTAL INVOICE</t>
  </si>
  <si>
    <t>BO ALLOWANCE</t>
  </si>
  <si>
    <t>REPORT FOR B.O. ALLOWANCE</t>
  </si>
  <si>
    <t>DISC 3</t>
  </si>
  <si>
    <t>DISC 4</t>
  </si>
  <si>
    <t>NET AMOUNT PAID</t>
  </si>
  <si>
    <t>B.O. ALLOWANCE</t>
  </si>
  <si>
    <t>TOTAL DISCOUNT</t>
  </si>
  <si>
    <t>PERIOD COVERED:</t>
  </si>
  <si>
    <t>REPORTS</t>
  </si>
  <si>
    <t>*Expiration Report</t>
  </si>
  <si>
    <t>*Purchase Order Report</t>
  </si>
  <si>
    <t>*B.O. Allowance Report</t>
  </si>
  <si>
    <t>*Summary Received Deliveries Report</t>
  </si>
  <si>
    <t>INVOICE NO.</t>
  </si>
  <si>
    <t>INPUT VAT REPORT</t>
  </si>
  <si>
    <t>INPUT VAT</t>
  </si>
  <si>
    <t>SALES ORDER FROM AGENT</t>
  </si>
  <si>
    <t xml:space="preserve"> - Install APP with fee - needs internet connection in using the APP</t>
  </si>
  <si>
    <t xml:space="preserve">                                        - when offline will use the existing system</t>
  </si>
  <si>
    <t xml:space="preserve"> - Make Julmar APP from the designed system, have this available to the Agents</t>
  </si>
  <si>
    <t xml:space="preserve">                                       - still have to evaluate if it's possible to install in the cellphone</t>
  </si>
  <si>
    <t xml:space="preserve">                                       - can be used even offline, will need connection upon emailing to the encoder</t>
  </si>
  <si>
    <t xml:space="preserve"> - Make Excel Template for Agents to input customer orders that fits for the designed system</t>
  </si>
  <si>
    <t>DECEMBER 2019</t>
  </si>
  <si>
    <t>*VAT Report</t>
  </si>
  <si>
    <t>*Bodega Out Report</t>
  </si>
  <si>
    <t>*Debit Memo Report</t>
  </si>
  <si>
    <t>*Uploading of Sales Order from Agents</t>
  </si>
  <si>
    <t>CUSTOMER PROFILE</t>
  </si>
  <si>
    <t>Address</t>
  </si>
  <si>
    <t>***If fixed - Price Level Assignment</t>
  </si>
  <si>
    <t>*** PREPARE TEMPLATE FOR MIGRATION FROM ENCODERS' TEAM</t>
  </si>
  <si>
    <t>CUSTOMER PROFILE MIGRATION PLATFORM FROM OLD SYSTEM</t>
  </si>
  <si>
    <t>*Price Level Assignment (P1, P2 or P3)</t>
  </si>
  <si>
    <t>*Credit Limit</t>
  </si>
  <si>
    <t>*Store Type (Sari-sari, Mall, Convenience Store, etc.)</t>
  </si>
  <si>
    <t>*Address</t>
  </si>
  <si>
    <t>*Contact Number</t>
  </si>
  <si>
    <t>*Payment Term</t>
  </si>
  <si>
    <t>DELIVERY RECEIPT</t>
  </si>
  <si>
    <t>Tel. No.</t>
  </si>
  <si>
    <t>Bill To:</t>
  </si>
  <si>
    <t>Address:</t>
  </si>
  <si>
    <t>SALESMAN:</t>
  </si>
  <si>
    <t>DUE DATE:</t>
  </si>
  <si>
    <t>PAYMENT TERMS:</t>
  </si>
  <si>
    <t>CREDIT MEMO</t>
  </si>
  <si>
    <t>Customer ID</t>
  </si>
  <si>
    <t>DR Number:</t>
  </si>
  <si>
    <t>DR Date:</t>
  </si>
  <si>
    <t>VALE</t>
  </si>
  <si>
    <t>CASH</t>
  </si>
  <si>
    <t>XX</t>
  </si>
  <si>
    <t>QUANTITY</t>
  </si>
  <si>
    <t>TOTAL DR AMOUNT</t>
  </si>
  <si>
    <t>Discount Amount</t>
  </si>
  <si>
    <t>*Discount Rate</t>
  </si>
  <si>
    <t>LESS: DISCOUNT</t>
  </si>
  <si>
    <t>RATE</t>
  </si>
  <si>
    <t>NET AMOUNT</t>
  </si>
  <si>
    <t>TOTAL AMOUNT DUE</t>
  </si>
  <si>
    <t>RECEIVED FROM JULMAR COMMERCIAL, INC. (COLUMBIA DIVISION)</t>
  </si>
  <si>
    <t>THE FOLLOWING MERCHANDISE AS ORDERED ABOVE IN GOOD ORDER</t>
  </si>
  <si>
    <t>AND MERCHANTIBLE CONDITION</t>
  </si>
  <si>
    <t>ENCODER NAME</t>
  </si>
  <si>
    <t>RELEASED BY:</t>
  </si>
  <si>
    <t>DELIVERED BY:</t>
  </si>
  <si>
    <t>RECEIVED BY/CUSTOMER:</t>
  </si>
  <si>
    <r>
      <t>JULMAR COMMERCIAL, INC. (</t>
    </r>
    <r>
      <rPr>
        <b/>
        <i/>
        <sz val="14"/>
        <color theme="1"/>
        <rFont val="Verdana"/>
        <family val="2"/>
      </rPr>
      <t>add logo</t>
    </r>
    <r>
      <rPr>
        <b/>
        <sz val="14"/>
        <color theme="1"/>
        <rFont val="Verdana"/>
        <family val="2"/>
      </rPr>
      <t>)</t>
    </r>
  </si>
  <si>
    <t>A GROCERY</t>
  </si>
  <si>
    <t>COL-19-11B-0077</t>
  </si>
  <si>
    <t>*Product List (comprehensive report) (BEG.; PURCHASES; SALES; DEBIT MEMO (TO PRINCIPAL); CREDIT MEMO (FROM CUSTOMER); END) VS. ACTUAL INVNETORY LEVEL FROM WAREHOUSE CUSTODIAN</t>
  </si>
  <si>
    <t>TO BE LINKED IN PHASE 2 (SALES &amp; CREDIT MEMO)</t>
  </si>
  <si>
    <t>INVENTORY RECONCILIATION: SYSTEM VS. ACTUAL COUNT (UPLOADING OF ACTUAL INVENTORY LEVEL PLATFORM)</t>
  </si>
  <si>
    <t>DECEMBER 2019 - JANUARY 2020</t>
  </si>
  <si>
    <t>*Sales Control (Summary of Sales per Delivery/Area) - shall prompt if a customer is in other area</t>
  </si>
  <si>
    <t>*Area - Caraga, Mis. Or., Ozamis, etc.</t>
  </si>
  <si>
    <t>RECEIVE PAYMENT</t>
  </si>
  <si>
    <t>CUSTOMER NAME</t>
  </si>
  <si>
    <t>*Aging of Accounts Receivable (shall indicate if already due based on payment due date)</t>
  </si>
  <si>
    <t>CASH AMOUNT</t>
  </si>
  <si>
    <t>CHECK AMOUNT</t>
  </si>
  <si>
    <t>CUSTOMER</t>
  </si>
  <si>
    <t>CHECK NO.:</t>
  </si>
  <si>
    <t>CHECK DATE:</t>
  </si>
  <si>
    <t>BANK:</t>
  </si>
  <si>
    <t>COLLECTED BY:</t>
  </si>
  <si>
    <t>DRIVER/SALESMAN</t>
  </si>
  <si>
    <t>RECEIPT NO.</t>
  </si>
  <si>
    <t>DR NUMBER</t>
  </si>
  <si>
    <t>DR 1</t>
  </si>
  <si>
    <t>DR 2</t>
  </si>
  <si>
    <t>DR 3</t>
  </si>
  <si>
    <t>COL-19-12B-0071</t>
  </si>
  <si>
    <t>COL-20-01B-0001</t>
  </si>
  <si>
    <t>DUE DATE</t>
  </si>
  <si>
    <t>DATE COLLECTED</t>
  </si>
  <si>
    <t>TOTAL AMOUNT PAID</t>
  </si>
  <si>
    <t>ADVANCE PAYMENT</t>
  </si>
  <si>
    <t>TOTAL BALANCE</t>
  </si>
  <si>
    <t>OVER PAYMENT</t>
  </si>
  <si>
    <t>AMOUNT DUE PAID</t>
  </si>
  <si>
    <t>PAYMENT ACCOUNTED AS FOLLOWS:</t>
  </si>
  <si>
    <t>ON-DATE CHECK</t>
  </si>
  <si>
    <t>PDC CHECK</t>
  </si>
  <si>
    <t>CHECK DETAILS</t>
  </si>
  <si>
    <t>BDO</t>
  </si>
  <si>
    <t>REVERSE PAYMENT FOR CLOSED ACCOUNTS</t>
  </si>
  <si>
    <t>POLICY ON PDC COLLECTION</t>
  </si>
  <si>
    <t>INVENTORY LEDGER</t>
  </si>
  <si>
    <t>SALES AGENT REGISTER</t>
  </si>
  <si>
    <t>ACCOMPLISHMENT</t>
  </si>
  <si>
    <t>OK 11/20/19</t>
  </si>
  <si>
    <t>MOVE TO PHASE 2 FOR VERIFICATION</t>
  </si>
  <si>
    <t>ENTRIES WILL BE DONE IN RECEIVED PRODUCTS - BRANCH WILL BE TREATED AS PRINCIPAL</t>
  </si>
  <si>
    <t>INVENTORY - COLUMBIA</t>
  </si>
  <si>
    <t>ACCOUNTS PAYABLE - COLUMBIA</t>
  </si>
  <si>
    <t>DR</t>
  </si>
  <si>
    <t>CR</t>
  </si>
  <si>
    <t>JOURNAL ENTRY REGISTER</t>
  </si>
  <si>
    <t>1.</t>
  </si>
  <si>
    <t>2.</t>
  </si>
  <si>
    <t>VAT PAYABLE</t>
  </si>
  <si>
    <t>CHART OF ACCOUNTS</t>
  </si>
  <si>
    <t>Purchase Journal - Purchases (Inventory, Accounts Payable); Returns to Principal (DM) (Accounts Payable, Inventory)</t>
  </si>
  <si>
    <t>Cash Disbursement Journal</t>
  </si>
  <si>
    <t>Cash Receipt Journal</t>
  </si>
  <si>
    <t>General Journal (Expired Prepayments, Depreciation, Allowance for Bad Debts, etc)</t>
  </si>
  <si>
    <t>ACCOUNTS PAYABLE - PRINCIPAL</t>
  </si>
  <si>
    <t>AREA</t>
  </si>
  <si>
    <t>DATE HIRED</t>
  </si>
  <si>
    <t>Less: Receive Payment</t>
  </si>
  <si>
    <t xml:space="preserve">           Credit Memo</t>
  </si>
  <si>
    <t>CURRENT ASSETS</t>
  </si>
  <si>
    <t>CASH IN BANK</t>
  </si>
  <si>
    <t>CASH ON HAND</t>
  </si>
  <si>
    <t>ACCOUNTS RECEIVABLE</t>
  </si>
  <si>
    <t>ACCOUNTS RECEIVABLE - EMPLOYEES</t>
  </si>
  <si>
    <t>OFFICE SUPPLIES</t>
  </si>
  <si>
    <t>AUTOMOTIVE MATERIALS &amp; SUPPLIES</t>
  </si>
  <si>
    <t>PREPAID INSURANCE - VEHICLE</t>
  </si>
  <si>
    <t>PREPAID RENT</t>
  </si>
  <si>
    <t>NON-CURRENT ASSETS</t>
  </si>
  <si>
    <t>LAND</t>
  </si>
  <si>
    <t>BUILDING</t>
  </si>
  <si>
    <t>LESS: ACCUMULATED DEPRECIATION</t>
  </si>
  <si>
    <t>OFFICE EQUIPMENT</t>
  </si>
  <si>
    <t>FURNITURES &amp; FIXTURES</t>
  </si>
  <si>
    <t>TRANSPORTATION EQUIPMENT</t>
  </si>
  <si>
    <t>WAREHOUSE EQUIPMENT</t>
  </si>
  <si>
    <t>TOOLS, GARAGE &amp; OTHER EQUIPMENT</t>
  </si>
  <si>
    <t>CURRENT LIABILITIES</t>
  </si>
  <si>
    <t>CREDITABLE WITHHOLDING TAX PAYABLE</t>
  </si>
  <si>
    <t>INCOME TAX PAYABLE</t>
  </si>
  <si>
    <t>NON-CURRENT LIABILITIES</t>
  </si>
  <si>
    <t>LOANS PAYABLE</t>
  </si>
  <si>
    <t>EQUITY</t>
  </si>
  <si>
    <t>CAPITAL STOCKS</t>
  </si>
  <si>
    <t>RETAINED EARNINGS - UNAPPROPRIATED</t>
  </si>
  <si>
    <t>RETAINED EARNINGS - APPROPRIATED</t>
  </si>
  <si>
    <t>SALES</t>
  </si>
  <si>
    <t>LESS: SALES RETURNS &amp; ALLOWANCES</t>
  </si>
  <si>
    <t>LESS: SALES DISCOUNTS</t>
  </si>
  <si>
    <t>NET SALES</t>
  </si>
  <si>
    <t>COST OF SALES</t>
  </si>
  <si>
    <t>GROSS PROFIT</t>
  </si>
  <si>
    <t>LESS: OPERATING &amp; GENERAL ADMINISTRATIVE EXPENSES</t>
  </si>
  <si>
    <t>SALARIES &amp; WAGES - SALES</t>
  </si>
  <si>
    <t>SALARIES &amp; WAGES - OFFICE</t>
  </si>
  <si>
    <t>SALARIES &amp; WAGES - MERCHANDISER</t>
  </si>
  <si>
    <t>TRANSPORTATION EXPENSES</t>
  </si>
  <si>
    <t>TRANSPORTATION ALLOWANCE EXPENSE</t>
  </si>
  <si>
    <t>FUEL, OIL &amp; LUBRICANTS EXPENSE</t>
  </si>
  <si>
    <t>FREIGHT EXPENSE</t>
  </si>
  <si>
    <t>MARKETING EXPENSE</t>
  </si>
  <si>
    <t>OUTPUT TAX (VAT) EXPENSE</t>
  </si>
  <si>
    <t>TOTAL OPERATING EXPENSES</t>
  </si>
  <si>
    <t>OFFICE SUPPLIES EXPENSE</t>
  </si>
  <si>
    <t>MOTORPOOL/AUTOMOTIVE EXPENSE</t>
  </si>
  <si>
    <t>OFFICE IMPROVEMENT EXPENSE</t>
  </si>
  <si>
    <t>RENT EXPENSE</t>
  </si>
  <si>
    <t>REPAIRS &amp; MAINTENANCE - TRANSPORTATION EQUIPMENT</t>
  </si>
  <si>
    <t>DEPRECIATION EXPENSE</t>
  </si>
  <si>
    <t>RETAINERS FEE EXPENSE</t>
  </si>
  <si>
    <t>PROFESSIONAL FEE EXPENSE</t>
  </si>
  <si>
    <t>UTILITIES EXPENSE - POWER</t>
  </si>
  <si>
    <t>UTILITIES EXPENSE - WATER</t>
  </si>
  <si>
    <t>PERMITS &amp; LICENSES</t>
  </si>
  <si>
    <t>TOTAL GENERAL ADMINISTRATIVE EXPENSES</t>
  </si>
  <si>
    <t>INCOME BEFORE INTEREST AND INCOME TAX</t>
  </si>
  <si>
    <t>INTEREST EXPENSE</t>
  </si>
  <si>
    <t>INCOME BEFORE INCOME TAX</t>
  </si>
  <si>
    <t>LESS: INCOME TAX</t>
  </si>
  <si>
    <t>NET INCOME</t>
  </si>
  <si>
    <t>REVENUE</t>
  </si>
  <si>
    <t>☑️</t>
  </si>
  <si>
    <t>WITH SL</t>
  </si>
  <si>
    <t>PARTICULARS</t>
  </si>
  <si>
    <t>VARIOUS BANKS</t>
  </si>
  <si>
    <t>CUSTOMERS &amp; SALES AGENTS</t>
  </si>
  <si>
    <t>EMPLOYEE NAME</t>
  </si>
  <si>
    <t>PER SKU</t>
  </si>
  <si>
    <t>FIXED ASSET REGISTER</t>
  </si>
  <si>
    <t>BANKS/ FINANCING INSTITUTION</t>
  </si>
  <si>
    <t>ADD NEW ACCOUNT BUTTON</t>
  </si>
  <si>
    <t>PRINCIPAL REGISTER</t>
  </si>
  <si>
    <t>*General Information</t>
  </si>
  <si>
    <t>*Beginning - Accounts Payable</t>
  </si>
  <si>
    <t>Receive Deliveries</t>
  </si>
  <si>
    <t>Less: Bills Payment</t>
  </si>
  <si>
    <t xml:space="preserve">           Debit Memo</t>
  </si>
  <si>
    <t>ACCOUNTS RECEIVABLE, END</t>
  </si>
  <si>
    <t>ACCOUNTS RECEIVABLE, BEGINNING</t>
  </si>
  <si>
    <t>ACCOUNTS PAYABLE, BEGINNING</t>
  </si>
  <si>
    <t>ACCOUNTS PAYABLE, END</t>
  </si>
  <si>
    <t>A/R, BEG.</t>
  </si>
  <si>
    <t>Add: Sales Invoicing</t>
  </si>
  <si>
    <t>11/1 - 30/19</t>
  </si>
  <si>
    <t>12/1 - 31/19</t>
  </si>
  <si>
    <t>A/P, BEG.</t>
  </si>
  <si>
    <t>*Ending - Accounts Payable</t>
  </si>
  <si>
    <t>*Principal</t>
  </si>
  <si>
    <t>ACCOUNTS PAYABLE REGISTER (with date range)</t>
  </si>
  <si>
    <t>*Beginning AP + Received Deliveries - Payment - Return = Ending AP</t>
  </si>
  <si>
    <t>GENERAL LEGDER</t>
  </si>
  <si>
    <t>FINANCIAL REPORT (MONTHLY AND ANNUAL)</t>
  </si>
  <si>
    <t>SALES REPORT &amp; GRAPH PER PRINCIPAL</t>
  </si>
  <si>
    <t>SALES REPORT &amp; GRAPH PER AGENT</t>
  </si>
  <si>
    <t>SALES REPORT &amp; GRAPH PER SKU</t>
  </si>
  <si>
    <t>*Gross Profit Statement per SKU per Principal</t>
  </si>
  <si>
    <t>*Income Statement</t>
  </si>
  <si>
    <t>*Balance Sheet</t>
  </si>
  <si>
    <t>*Cash Flow Statement</t>
  </si>
  <si>
    <t>FIXED ASSET REGISTER (automatic computation for depreciation)</t>
  </si>
  <si>
    <t>FIELD - WITH LABEL</t>
  </si>
  <si>
    <t>WITH COST</t>
  </si>
  <si>
    <t>ACCOUNTS PAYABLE - BRANCH</t>
  </si>
  <si>
    <t>TRANSFER TO BRANCH</t>
  </si>
  <si>
    <t>QUANTITY DESCRIPTION</t>
  </si>
  <si>
    <t>ENTRY:</t>
  </si>
  <si>
    <t>INVENTORY-COLUMBIA-OZAMIS</t>
  </si>
  <si>
    <t>INVENTORY COLUMBIA</t>
  </si>
  <si>
    <t>RECEIVED PRODUCT - ADD: BRANCH FIELD</t>
  </si>
  <si>
    <t>MERCHANDISE INVENTORY - BRANCH</t>
  </si>
  <si>
    <t>TO PICK-UP FINAL UNIT COST</t>
  </si>
  <si>
    <t>TO COMPUTE FOR AVERAGE MONTHLY SALES (AMS) (MONTHS COVERED)</t>
  </si>
  <si>
    <t>MAXIMUM STOCKING LEVEL (MSL)</t>
  </si>
  <si>
    <t>ACCOUNTS PAYABLE - OTHER SUPPLIERS</t>
  </si>
  <si>
    <t>1/1 - 31/19</t>
  </si>
  <si>
    <t>DECEMBER 2019 - RELATED TO BILLS PAYMENT</t>
  </si>
  <si>
    <t>DECEMBER</t>
  </si>
  <si>
    <t>*** PREPARE TEMPLATE FOR MIGRATION FROM ARLYN'S TEAM, INCLUDE MAXIMUM STOCKING LEVEL, PRODUCT CATEGORY</t>
  </si>
  <si>
    <t>PRODUCT CATEGORY:</t>
  </si>
  <si>
    <t>COLUMBIA - CONFECTIONERY, SNACKS</t>
  </si>
  <si>
    <t>OPTIMIX</t>
  </si>
  <si>
    <t>DICOUNTING - RECEIVED PRODUCT</t>
  </si>
  <si>
    <t>***ASK FOR FORMULA FROM SIR AGUSTIN:</t>
  </si>
  <si>
    <t xml:space="preserve">      Compute floor inventory (Warehouse balance, In Transit)</t>
  </si>
  <si>
    <t xml:space="preserve">      based on the product category, assign Maximum Stocking Level (MSL) period , e.g. 6mos., then compute for the MSL (AMS x 6mos)</t>
  </si>
  <si>
    <t xml:space="preserve">      Re-order = MSL - Floor Inventory</t>
  </si>
  <si>
    <t xml:space="preserve">      compute for the ten period Average Monthly Sales (AMS) = quarterly change whichever is higher</t>
  </si>
  <si>
    <t>MIGRATION</t>
  </si>
  <si>
    <t>*Prompt if Lacking or No Stocks</t>
  </si>
  <si>
    <t>*Prompt if Over Credit Limit - No DR without approval from Sir Jeff/Sir Agustin</t>
  </si>
  <si>
    <t>*Prompt if Overdue Account (With Pending Collectible) - No DR without approval from Sir Jeff/Sir Agustin</t>
  </si>
  <si>
    <t>PRODUCT LIST PROFILE FOR MIGRATION</t>
  </si>
  <si>
    <t>PRODUCT CATEGORY</t>
  </si>
  <si>
    <t>SUMMARY OF RECEIVED DELIVERIES</t>
  </si>
  <si>
    <t>CHOCO LUV LUV</t>
  </si>
  <si>
    <t>CHOCO LUVLUV CHOCOBALLS</t>
  </si>
  <si>
    <t>RECEIVED PRODUCTS</t>
  </si>
  <si>
    <t>ADD: RECEIVING REPORT NO</t>
  </si>
  <si>
    <t>05-111</t>
  </si>
  <si>
    <t>DISC 5</t>
  </si>
  <si>
    <t>DISC 6</t>
  </si>
  <si>
    <t>VAT</t>
  </si>
  <si>
    <t>MUST BE CLICKABLE</t>
  </si>
  <si>
    <t>DISCOUNT (NET OF VAT)</t>
  </si>
  <si>
    <t>THIS IS THE DISCOUNT AMOUNT</t>
  </si>
  <si>
    <t>CRUSHED PINEAPPLE</t>
  </si>
  <si>
    <t>ALL</t>
  </si>
  <si>
    <t>CREDIT MEMO - (ADJUSTMENTS FROM PRINCIPAL e.g. B.O. - ALASKA, ADJUSTMENT IN PRICE)</t>
  </si>
  <si>
    <t>EXPIRATION DATE</t>
  </si>
  <si>
    <t>REPORT OF SALES PER AGENT - AVAILABLE TO SALES AGENT</t>
  </si>
  <si>
    <t>ACTUAL SALES</t>
  </si>
  <si>
    <t xml:space="preserve">PERCENTAGE OF ACTUAL </t>
  </si>
  <si>
    <t>CREDIT MEMO (ADJUSTMENT FROM PRINCIPAL - B.O. ALLOWANCE ALASKA)</t>
  </si>
  <si>
    <t>CUT-OFF FOR SALES DATA</t>
  </si>
  <si>
    <t>*Uploading of Image - Received DR by Customer - BAR CODE SCANNING</t>
  </si>
  <si>
    <t>SALES INVOICING - WITH BAR CODE</t>
  </si>
  <si>
    <t>FREE GOODS</t>
  </si>
  <si>
    <t>*Prompt on the number of period from sales to return</t>
  </si>
  <si>
    <t>DASHBOARD FOR AGENTS</t>
  </si>
  <si>
    <t>TARGET SALES (MONTHLY, WEEKLY, DAILY)</t>
  </si>
  <si>
    <t>BILLS PAYMENT (PRINCIPAL &amp; EXPENSES)</t>
  </si>
  <si>
    <t>QUANTITY ON HAND (QOH)</t>
  </si>
  <si>
    <t>EQUIVALENT BUTAL QUANTITY (EBQ)</t>
  </si>
  <si>
    <t>FINAL UNIT COST (FUC)</t>
  </si>
  <si>
    <t>PRICE 1</t>
  </si>
  <si>
    <t>PRICE 2</t>
  </si>
  <si>
    <t>PRICE 3</t>
  </si>
  <si>
    <t>FAST-MOVING/SLOW-MOVING (FM/SM)</t>
  </si>
  <si>
    <t>PRODUCT TYPE (BUTAL/CASE)</t>
  </si>
  <si>
    <t>UNIT OF MEASURE (UOM)</t>
  </si>
  <si>
    <t>CUSTOMER REGISTER</t>
  </si>
  <si>
    <t>CUSTOMER ID</t>
  </si>
  <si>
    <t>PRICE LEVEL</t>
  </si>
  <si>
    <t>CREDIT TERM</t>
  </si>
  <si>
    <t>CREDIT LINE AMOUNT</t>
  </si>
  <si>
    <t>JOURNAL ENTRY:</t>
  </si>
  <si>
    <t>ACCOUNTS RECEIVABLE - CUSTOMER</t>
  </si>
  <si>
    <t>INVENTORY - PRINCIPAL</t>
  </si>
  <si>
    <t>**using FUC</t>
  </si>
  <si>
    <t>**using Price Level (P1, P2, P3)</t>
  </si>
  <si>
    <t>HEADER - JULMAR COMMERCIAL, INC.</t>
  </si>
  <si>
    <t>FORM:</t>
  </si>
  <si>
    <t>WATER MARK - JULMAR LOGO</t>
  </si>
  <si>
    <t>PUT GRAND TOTAL AT THE BOTTOM</t>
  </si>
  <si>
    <t>JOURNAL ENTRY :</t>
  </si>
  <si>
    <t>HEADER</t>
  </si>
  <si>
    <t>LOGO</t>
  </si>
  <si>
    <t>NO. :</t>
  </si>
  <si>
    <t>ACCOUNTS PAYABLE - PRINCIPAL -BRANCH</t>
  </si>
  <si>
    <t>DISCOUNT RATE</t>
  </si>
  <si>
    <t>STORE TYPE</t>
  </si>
  <si>
    <t>ADJUSTMENT TYPE</t>
  </si>
  <si>
    <t>drop down e.g. BO Allowance, Discount, Price Adjustment</t>
  </si>
  <si>
    <t>drop down - RETURN TO PRINCIPAL/ PRICE ADJUSTMENT</t>
  </si>
  <si>
    <t>DEBIT MEMO (- INVENTORY &amp;  A/P)</t>
  </si>
  <si>
    <t>DISCOUNT:</t>
  </si>
  <si>
    <t>PER CUSTOMER</t>
  </si>
  <si>
    <t>DISCOUNT 1 TO 3</t>
  </si>
  <si>
    <t>** discount will be shown as line item</t>
  </si>
  <si>
    <t>** discount column will not be shown, only the discount rate &amp; amount</t>
  </si>
  <si>
    <t>NO DISCOUNT</t>
  </si>
  <si>
    <t>PDC</t>
  </si>
  <si>
    <t>days upon delivery</t>
  </si>
  <si>
    <t>%</t>
  </si>
  <si>
    <t>AMOUNT</t>
  </si>
  <si>
    <t>DISC % 1</t>
  </si>
  <si>
    <t>DISC % 2</t>
  </si>
  <si>
    <t>DISC % 3</t>
  </si>
  <si>
    <t>DISC1-P</t>
  </si>
  <si>
    <t>DISC2-P</t>
  </si>
  <si>
    <t>DISC3-P</t>
  </si>
  <si>
    <t>DISCOUNT RATES</t>
  </si>
  <si>
    <t>1ST CONTROL</t>
  </si>
  <si>
    <t>DR NO</t>
  </si>
  <si>
    <t>OTHERS</t>
  </si>
  <si>
    <t>drop down</t>
  </si>
  <si>
    <t>FREE GOODS/ SUPPORT (detail - anniversary)</t>
  </si>
  <si>
    <t>TRANSACTION</t>
  </si>
  <si>
    <t>DRIVER</t>
  </si>
  <si>
    <t>2ND CONTROL</t>
  </si>
  <si>
    <t>** CONVERSION FROM BUTAL TO CASE</t>
  </si>
  <si>
    <t xml:space="preserve"> ---- prompt - to convert to case</t>
  </si>
  <si>
    <t>Area:</t>
  </si>
  <si>
    <t>PER AGENT, PER ITEM, PER AREA</t>
  </si>
  <si>
    <t>PER AGENT, PER DR</t>
  </si>
  <si>
    <t xml:space="preserve">  - RETURNED GOOD STOCKS</t>
  </si>
  <si>
    <t xml:space="preserve"> - RETURNED BO</t>
  </si>
  <si>
    <t xml:space="preserve"> - RETURNED PREVIOUS SALES</t>
  </si>
  <si>
    <t>DEBIT MEMO</t>
  </si>
  <si>
    <t xml:space="preserve">  - PRICE ADJUSTMENT</t>
  </si>
  <si>
    <t>GENERATE JER</t>
  </si>
  <si>
    <t>BRANCH FIELD - TO TRIGGER ENTRY DR-INVENTORY-PRINCIPAL /. CR-INVENTORY-BRANCH</t>
  </si>
  <si>
    <t>CHANGE RECEIVING REPORT TO - TRANSFER REPORT</t>
  </si>
  <si>
    <t>CHANGE TIME TO - PRINCIPAL DR/INVOICE</t>
  </si>
  <si>
    <t>INCLUDE - UNIT FUC &amp; TOTAL FUC</t>
  </si>
  <si>
    <t>INCLUDE - GRAND TOTAL AT THE BOTTOM</t>
  </si>
  <si>
    <t>BOTTOM PART - PREPARED BY; APPROVED BY; RECEIVED BY:</t>
  </si>
  <si>
    <t>RETURN TO PRINCIPAL REPORT (DEBIT MEMO)</t>
  </si>
  <si>
    <t xml:space="preserve">ADD COLUMN FOR PRINCIPAL DR/SI </t>
  </si>
  <si>
    <t>PREPARE ADJUSTMENTS GROUP</t>
  </si>
  <si>
    <t>RETURN TO PRINCIPAL FORM</t>
  </si>
  <si>
    <t>ALLOWANCES/ADJUSTMENTS</t>
  </si>
  <si>
    <t>OTHER ADJUSTMENTS</t>
  </si>
  <si>
    <t>INVOICE COST ADJUSTMENTS</t>
  </si>
  <si>
    <t>FORM</t>
  </si>
  <si>
    <t>LAYOUT</t>
  </si>
  <si>
    <t>ITEM LEDGER</t>
  </si>
  <si>
    <t>DESIGN</t>
  </si>
  <si>
    <t>JOURNAL ENTRY</t>
  </si>
  <si>
    <t>itemized</t>
  </si>
  <si>
    <t>linked from Receiving Report</t>
  </si>
  <si>
    <t xml:space="preserve">   - to select RR No.</t>
  </si>
  <si>
    <t xml:space="preserve">   - show all items with Check</t>
  </si>
  <si>
    <t xml:space="preserve">     box at the right side to indicate</t>
  </si>
  <si>
    <t xml:space="preserve">     which item/s need to be returned</t>
  </si>
  <si>
    <t>QTY RECEIVED</t>
  </si>
  <si>
    <t>QTY RETURNED</t>
  </si>
  <si>
    <t>QTY &amp; AMOUNT</t>
  </si>
  <si>
    <t>Accounts Payable - Principal</t>
  </si>
  <si>
    <t>Inventory - Principal</t>
  </si>
  <si>
    <t xml:space="preserve">     which item/s need to apply allowance</t>
  </si>
  <si>
    <t>AMOUNT ONLY</t>
  </si>
  <si>
    <t>e.g. BO ALLOWANCES</t>
  </si>
  <si>
    <t>Unit Cost</t>
  </si>
  <si>
    <t>Amount</t>
  </si>
  <si>
    <t>accounts other than A/P &amp; Inventory</t>
  </si>
  <si>
    <t>select GL and SL account</t>
  </si>
  <si>
    <t>DEPENDS ON THE ENTRY</t>
  </si>
  <si>
    <t>GL ACCOUNT</t>
  </si>
  <si>
    <t>SL ACCOUNT</t>
  </si>
  <si>
    <t>DR AMOUNT</t>
  </si>
  <si>
    <t>CR AMOUNT</t>
  </si>
  <si>
    <t xml:space="preserve"> (Increase / Decrease)</t>
  </si>
  <si>
    <t xml:space="preserve">     which item/s need to be adjusted</t>
  </si>
  <si>
    <t>If Decreased (Negative Entry)</t>
  </si>
  <si>
    <t>If Increased (Positive Entry)</t>
  </si>
  <si>
    <t>if Inventory Principal = item list of principal</t>
  </si>
  <si>
    <t>PROMO FUND</t>
  </si>
  <si>
    <t>VAT INC</t>
  </si>
  <si>
    <t>VAT EXC</t>
  </si>
  <si>
    <t>C</t>
  </si>
  <si>
    <t>GROSS PURCHASES</t>
  </si>
  <si>
    <t>A</t>
  </si>
  <si>
    <t>B</t>
  </si>
  <si>
    <t>D</t>
  </si>
  <si>
    <t>E</t>
  </si>
  <si>
    <t>F</t>
  </si>
  <si>
    <t>G</t>
  </si>
  <si>
    <t>H</t>
  </si>
  <si>
    <t>I</t>
  </si>
  <si>
    <t>(A x C x D)</t>
  </si>
  <si>
    <t>(A x C x E)</t>
  </si>
  <si>
    <t>(A x C x F)</t>
  </si>
  <si>
    <t>( D + E + F )</t>
  </si>
  <si>
    <t>(( A x C) - G ) * 1.12</t>
  </si>
  <si>
    <t>( A x C ) - G + H</t>
  </si>
  <si>
    <t>I / A</t>
  </si>
  <si>
    <t>J</t>
  </si>
  <si>
    <t>CALLA POWDER: FLORAL FRESH 800G</t>
  </si>
  <si>
    <t>CHAMPION LIQUID FABCON; INFINITY FRESH 28ML</t>
  </si>
  <si>
    <t>CHAMPION LIQUID FABCON; INFINITY FRESH 50ML</t>
  </si>
  <si>
    <t>CHAMPION LIQUID FABCON; PINK FRESH 50ML</t>
  </si>
  <si>
    <t>CHAMPION HYBRID</t>
  </si>
  <si>
    <t>K</t>
  </si>
  <si>
    <t>( A x B )</t>
  </si>
  <si>
    <t>( C x D )</t>
  </si>
  <si>
    <t>( C x E )</t>
  </si>
  <si>
    <t>( C x F )</t>
  </si>
  <si>
    <t>( C x G )</t>
  </si>
  <si>
    <t>( C x H )</t>
  </si>
  <si>
    <t>( C x I )</t>
  </si>
  <si>
    <t>SO &amp; DELIVERY RECEIPT (with 1st &amp; 2nd Control)</t>
  </si>
  <si>
    <t>PROCESS:</t>
  </si>
  <si>
    <t>Encoder will upload the SO to the system</t>
  </si>
  <si>
    <t>Sales Agent using the Excel Template shall prepare a Sales Order (SO) and email to the Encoder</t>
  </si>
  <si>
    <t>Once uploaded, the SO per agent will be translated to SO per customer</t>
  </si>
  <si>
    <t>SO without issue will be converted as Delivery Receipt (DR)</t>
  </si>
  <si>
    <t>Encoder shall then generate Summary Controls 1 &amp; 2 which group customers per Area</t>
  </si>
  <si>
    <t>SALES ORDER</t>
  </si>
  <si>
    <t>AGENT ID</t>
  </si>
  <si>
    <t>AGENT NAME</t>
  </si>
  <si>
    <t>NO. OF PRODUCTIVE CALS</t>
  </si>
  <si>
    <t>PRODUCT TYPE</t>
  </si>
  <si>
    <t>TRANSACTION TYPE</t>
  </si>
  <si>
    <t>QTY BALANCE</t>
  </si>
  <si>
    <t>QTY ORDERED</t>
  </si>
  <si>
    <t>PRICE</t>
  </si>
  <si>
    <t>REMOVE BUTTON</t>
  </si>
  <si>
    <t>SO NO. (system generated)</t>
  </si>
  <si>
    <t>REFER FORMAT TO "SALES INVOICING SHEET" (inclusive Summary of Control 1 &amp;2)</t>
  </si>
  <si>
    <t>AGENT SYSTEM</t>
  </si>
  <si>
    <t>AGENT PROFILE</t>
  </si>
  <si>
    <t>PRODUCT PROFILE</t>
  </si>
  <si>
    <t>SALES TARGET MONITORING</t>
  </si>
  <si>
    <t>SALES ORDER (GENERATE TO EXCEL FOR EMAIL TO ENCODER)</t>
  </si>
  <si>
    <t>DATE - AS OF</t>
  </si>
  <si>
    <t>TYPE</t>
  </si>
  <si>
    <t>INVENTORY ITEM</t>
  </si>
  <si>
    <t>NORTH MIN</t>
  </si>
  <si>
    <t>RECEIVED</t>
  </si>
  <si>
    <t>SOLD</t>
  </si>
  <si>
    <t>QTY BEG</t>
  </si>
  <si>
    <t>RETURNED TO PRINCIPAL</t>
  </si>
  <si>
    <t>UNIT COST</t>
  </si>
  <si>
    <t>CLICKABLE LINE ITEM - LINKED TO INDIVIDUAL ITEM LEDGER</t>
  </si>
  <si>
    <t>INDIVIDUAL ITEM LEDGER</t>
  </si>
  <si>
    <t>SO NO.</t>
  </si>
  <si>
    <t>SUPPLIER'S INVOICE</t>
  </si>
  <si>
    <t>RUN. BALANCE</t>
  </si>
  <si>
    <t>TRANSACTION DATE</t>
  </si>
  <si>
    <t>STAFF ID</t>
  </si>
  <si>
    <t>COST ADJUSTMENT</t>
  </si>
  <si>
    <t>IN</t>
  </si>
  <si>
    <t>RR-1234</t>
  </si>
  <si>
    <t>OUT</t>
  </si>
  <si>
    <t>DR-0001</t>
  </si>
  <si>
    <t>SO-4351</t>
  </si>
  <si>
    <t>INV-1234</t>
  </si>
  <si>
    <t>ADJ 1</t>
  </si>
  <si>
    <t>ADJ 2</t>
  </si>
  <si>
    <t>ADJ 3</t>
  </si>
  <si>
    <t>VAN1</t>
  </si>
  <si>
    <t>RUN. TOTAL COST</t>
  </si>
  <si>
    <t>RR-1235</t>
  </si>
  <si>
    <t>SO-4352</t>
  </si>
  <si>
    <t>INV-1235</t>
  </si>
  <si>
    <t>DR-0002</t>
  </si>
  <si>
    <t>01/13/2020</t>
  </si>
  <si>
    <t>RET</t>
  </si>
  <si>
    <t>CM-001</t>
  </si>
  <si>
    <t>CM-002</t>
  </si>
  <si>
    <t>CM-003</t>
  </si>
  <si>
    <t>CM-004</t>
  </si>
  <si>
    <t>01/15/2020</t>
  </si>
  <si>
    <t>don’t include this. This is just for my reference</t>
  </si>
  <si>
    <t>IN/OUT/RET/ADJ</t>
  </si>
  <si>
    <t>CASE/BUTAL</t>
  </si>
  <si>
    <t>RR/DR/CM</t>
  </si>
  <si>
    <t>NO STOCK REPORT</t>
  </si>
  <si>
    <t xml:space="preserve"> SO MINUS SR = NS</t>
  </si>
  <si>
    <t>NO. OF SKUs</t>
  </si>
  <si>
    <t>ON DISCOUNT</t>
  </si>
  <si>
    <t>2 DISCOUNTS</t>
  </si>
  <si>
    <t>PER ITEM &amp; CATEGORY</t>
  </si>
  <si>
    <t>ENERGIZER DISC</t>
  </si>
  <si>
    <t>VOLUME DISC</t>
  </si>
  <si>
    <t>BIG BLUE DISC</t>
  </si>
  <si>
    <t>PROFILING PER CUSTOMER</t>
  </si>
  <si>
    <t>3%, 5%, 10%</t>
  </si>
  <si>
    <t>CUSTOMER PO NO.</t>
  </si>
  <si>
    <t>BO ORDER FROM JULMAR/ FROM OTHER STORES</t>
  </si>
  <si>
    <t>NET QTY RECEIVED</t>
  </si>
  <si>
    <t>INVENTORY - ALASKA</t>
  </si>
  <si>
    <t>ID NO.</t>
  </si>
  <si>
    <t>RR NO./DM NO./DV NO.</t>
  </si>
  <si>
    <t>PURCHASES</t>
  </si>
  <si>
    <t>PAYMENT</t>
  </si>
  <si>
    <t>ADJUSTMENTS</t>
  </si>
  <si>
    <t>RR - 01</t>
  </si>
  <si>
    <t>RR</t>
  </si>
  <si>
    <t>DM</t>
  </si>
  <si>
    <t>RET - 01</t>
  </si>
  <si>
    <t>DM - 01</t>
  </si>
  <si>
    <t>INV. COST</t>
  </si>
  <si>
    <t>DISC 16.87%</t>
  </si>
  <si>
    <t>BO ALLOW - .45%</t>
  </si>
  <si>
    <t>PAYABLE LEDGER</t>
  </si>
  <si>
    <t>DATE RANGE</t>
  </si>
  <si>
    <t xml:space="preserve">RETURN </t>
  </si>
  <si>
    <t>NEGATIVE PRESENTATION</t>
  </si>
  <si>
    <t>INVOICE</t>
  </si>
  <si>
    <t xml:space="preserve">      decrease</t>
  </si>
  <si>
    <t xml:space="preserve">      increase</t>
  </si>
  <si>
    <t>SALES DISCOUNT 1</t>
  </si>
  <si>
    <t>SALES DISCOUNT 2</t>
  </si>
  <si>
    <t>SALES DISCOUNT 3</t>
  </si>
  <si>
    <t>Indicate the Discount Name</t>
  </si>
  <si>
    <t>AVERAGE MONTHLY SALES (AMS)</t>
  </si>
  <si>
    <t>MINIMUM STOCKING LEVEL (no. of months)</t>
  </si>
  <si>
    <t>EQUIVALENT CASE QUANTITY (ECQ)</t>
  </si>
  <si>
    <t>MUNICIPALITY</t>
  </si>
  <si>
    <t>AREA CLUSTER</t>
  </si>
  <si>
    <t>CLASS OF TRADE</t>
  </si>
  <si>
    <t>BOOKING / PRE-SELLING</t>
  </si>
  <si>
    <t>*** ask for different types</t>
  </si>
  <si>
    <t>NOTES: VIDEO SENT - GCI PHASE 1</t>
  </si>
  <si>
    <t>DISCOUNT 22% ?</t>
  </si>
  <si>
    <t>REPORT</t>
  </si>
  <si>
    <t>DICOUNT ALLOCATION MUST BE A REPORT FOR ALL DELIVERIES RECEIVED</t>
  </si>
  <si>
    <r>
      <t xml:space="preserve">SHOULD BE -  </t>
    </r>
    <r>
      <rPr>
        <b/>
        <u/>
        <sz val="10"/>
        <color theme="1"/>
        <rFont val="Candara"/>
        <family val="2"/>
      </rPr>
      <t>IN TO CASE</t>
    </r>
  </si>
  <si>
    <t>BO ALLOWANCE/ INVOICE COST ADJUSTMENT</t>
  </si>
  <si>
    <t>CONSIDER EFFECT TO VAT</t>
  </si>
  <si>
    <t>VATABLE PURCHASE</t>
  </si>
  <si>
    <t>ORIGINAL TRANSACTION</t>
  </si>
  <si>
    <t>TO BE DEDUCTED FROM VAT</t>
  </si>
  <si>
    <t>TO BE DEDUCTED FROM DISOUNT</t>
  </si>
  <si>
    <t>SHOULD BE/ ADJ</t>
  </si>
  <si>
    <t>NET PURCHASE</t>
  </si>
  <si>
    <t>NET</t>
  </si>
  <si>
    <t>AFTER THE RETURN</t>
  </si>
  <si>
    <t>RETURN TO PRINCIPAL TRANSACTION</t>
  </si>
  <si>
    <t>VAT DEDUCTION</t>
  </si>
  <si>
    <t>NET DEDUCTION</t>
  </si>
  <si>
    <t>SPECIAL NOTE ON BO ALLOWANCE ADJUSTMENT</t>
  </si>
  <si>
    <t xml:space="preserve">SYSTEM - ADJUSTMENT IS PER UNIT BASIS BEFORE VAT </t>
  </si>
  <si>
    <t>IF - AMOUNT GIVEN AS BO ALLOWANCE IS IN TOTAL, THEN THIS WILL BE ADJUSTED IN A PER UNIT BASIS</t>
  </si>
  <si>
    <t>PER AGENT, PER CUSTOMER</t>
  </si>
  <si>
    <t>PER AGENT,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</si>
</sst>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00_);_(* \(#,##0.00000\);_(* &quot;-&quot;??_);_(@_)"/>
    <numFmt numFmtId="165" formatCode="0.0%"/>
    <numFmt numFmtId="166" formatCode="_(* #,##0_);_(* \(#,##0\);_(* &quot;-&quot;??_);_(@_)"/>
    <numFmt numFmtId="167" formatCode="[$-3409]dd\-mmm\-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sz val="10"/>
      <color rgb="FFFF0000"/>
      <name val="Candara"/>
      <family val="2"/>
    </font>
    <font>
      <b/>
      <u/>
      <sz val="11"/>
      <color rgb="FFFF0000"/>
      <name val="Courier New"/>
      <family val="3"/>
    </font>
    <font>
      <b/>
      <sz val="11"/>
      <name val="Courier New"/>
      <family val="3"/>
    </font>
    <font>
      <sz val="11"/>
      <name val="Courier New"/>
      <family val="3"/>
    </font>
    <font>
      <b/>
      <i/>
      <u/>
      <sz val="11"/>
      <name val="Courier New"/>
      <family val="3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ndara"/>
      <family val="2"/>
    </font>
    <font>
      <b/>
      <sz val="8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b/>
      <u/>
      <sz val="11"/>
      <color theme="1"/>
      <name val="CandarA"/>
      <family val="2"/>
    </font>
    <font>
      <b/>
      <u/>
      <sz val="12"/>
      <color theme="1"/>
      <name val="Candar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i/>
      <sz val="14"/>
      <color theme="1"/>
      <name val="Verdana"/>
      <family val="2"/>
    </font>
    <font>
      <i/>
      <sz val="11"/>
      <color theme="1"/>
      <name val="Verdana"/>
      <family val="2"/>
    </font>
    <font>
      <b/>
      <i/>
      <sz val="11"/>
      <color theme="1"/>
      <name val="Verdana"/>
      <family val="2"/>
    </font>
    <font>
      <b/>
      <u/>
      <sz val="11"/>
      <color rgb="FFFF0000"/>
      <name val="Verdan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ndara"/>
      <family val="2"/>
    </font>
    <font>
      <i/>
      <u/>
      <sz val="11"/>
      <color theme="1"/>
      <name val="Candara"/>
      <family val="2"/>
    </font>
    <font>
      <b/>
      <u/>
      <sz val="18"/>
      <color theme="1"/>
      <name val="CandarA"/>
      <family val="2"/>
    </font>
    <font>
      <u/>
      <sz val="11"/>
      <name val="Calibri"/>
      <family val="2"/>
      <scheme val="minor"/>
    </font>
    <font>
      <b/>
      <u/>
      <sz val="11"/>
      <color theme="1"/>
      <name val="Verdana"/>
      <family val="2"/>
    </font>
    <font>
      <b/>
      <i/>
      <sz val="10"/>
      <color theme="1"/>
      <name val="Candara"/>
      <family val="2"/>
    </font>
    <font>
      <b/>
      <sz val="11"/>
      <color rgb="FFFF0000"/>
      <name val="Candara"/>
      <family val="2"/>
    </font>
    <font>
      <b/>
      <i/>
      <u/>
      <sz val="10"/>
      <color theme="1"/>
      <name val="Candara"/>
      <family val="2"/>
    </font>
    <font>
      <b/>
      <u/>
      <sz val="14"/>
      <color theme="1"/>
      <name val="Verdana"/>
      <family val="2"/>
    </font>
    <font>
      <b/>
      <u/>
      <sz val="14"/>
      <name val="Verdana"/>
      <family val="2"/>
    </font>
    <font>
      <sz val="11"/>
      <name val="Verdana"/>
      <family val="2"/>
    </font>
    <font>
      <b/>
      <u val="singleAccounting"/>
      <sz val="11"/>
      <name val="Verdana"/>
      <family val="2"/>
    </font>
    <font>
      <b/>
      <sz val="11"/>
      <name val="Verdana"/>
      <family val="2"/>
    </font>
    <font>
      <b/>
      <i/>
      <sz val="14"/>
      <color rgb="FFFF0000"/>
      <name val="Candara"/>
      <family val="2"/>
    </font>
    <font>
      <sz val="11"/>
      <color rgb="FFFF0000"/>
      <name val="Candara"/>
      <family val="2"/>
    </font>
    <font>
      <i/>
      <u/>
      <sz val="10"/>
      <color theme="1"/>
      <name val="Candara"/>
      <family val="2"/>
    </font>
    <font>
      <sz val="10"/>
      <color rgb="FFFF0000"/>
      <name val="Candar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50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43" fontId="5" fillId="0" borderId="0" xfId="1" applyFont="1"/>
    <xf numFmtId="43" fontId="5" fillId="0" borderId="0" xfId="0" applyNumberFormat="1" applyFont="1"/>
    <xf numFmtId="9" fontId="5" fillId="0" borderId="0" xfId="0" applyNumberFormat="1" applyFont="1"/>
    <xf numFmtId="9" fontId="6" fillId="0" borderId="0" xfId="2" applyFont="1" applyAlignment="1">
      <alignment horizontal="center"/>
    </xf>
    <xf numFmtId="2" fontId="5" fillId="0" borderId="0" xfId="0" applyNumberFormat="1" applyFont="1"/>
    <xf numFmtId="43" fontId="6" fillId="0" borderId="3" xfId="0" applyNumberFormat="1" applyFont="1" applyBorder="1"/>
    <xf numFmtId="43" fontId="6" fillId="2" borderId="0" xfId="1" applyFont="1" applyFill="1" applyAlignment="1">
      <alignment horizontal="center"/>
    </xf>
    <xf numFmtId="43" fontId="5" fillId="2" borderId="0" xfId="1" applyFont="1" applyFill="1"/>
    <xf numFmtId="43" fontId="5" fillId="2" borderId="0" xfId="0" applyNumberFormat="1" applyFont="1" applyFill="1"/>
    <xf numFmtId="0" fontId="6" fillId="0" borderId="0" xfId="0" applyFont="1"/>
    <xf numFmtId="43" fontId="6" fillId="0" borderId="0" xfId="0" applyNumberFormat="1" applyFont="1"/>
    <xf numFmtId="164" fontId="5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5" fillId="0" borderId="0" xfId="0" quotePrefix="1" applyFont="1"/>
    <xf numFmtId="0" fontId="7" fillId="0" borderId="0" xfId="0" applyFont="1"/>
    <xf numFmtId="0" fontId="5" fillId="0" borderId="3" xfId="0" applyFont="1" applyBorder="1"/>
    <xf numFmtId="0" fontId="5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6" fillId="2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5" fillId="2" borderId="0" xfId="0" applyFont="1" applyFill="1"/>
    <xf numFmtId="0" fontId="0" fillId="3" borderId="0" xfId="0" applyFill="1"/>
    <xf numFmtId="0" fontId="0" fillId="2" borderId="0" xfId="0" applyFill="1"/>
    <xf numFmtId="0" fontId="2" fillId="2" borderId="0" xfId="0" applyFont="1" applyFill="1"/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2" borderId="0" xfId="0" applyFont="1" applyFill="1"/>
    <xf numFmtId="0" fontId="3" fillId="3" borderId="4" xfId="0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/>
    <xf numFmtId="0" fontId="5" fillId="0" borderId="0" xfId="0" applyFont="1" applyFill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5" fillId="3" borderId="0" xfId="0" applyFont="1" applyFill="1" applyBorder="1"/>
    <xf numFmtId="43" fontId="0" fillId="0" borderId="0" xfId="1" applyFont="1"/>
    <xf numFmtId="0" fontId="12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43" fontId="0" fillId="0" borderId="0" xfId="0" applyNumberFormat="1"/>
    <xf numFmtId="43" fontId="12" fillId="0" borderId="0" xfId="1" applyFont="1"/>
    <xf numFmtId="0" fontId="12" fillId="0" borderId="0" xfId="0" applyFont="1"/>
    <xf numFmtId="43" fontId="0" fillId="0" borderId="1" xfId="0" applyNumberFormat="1" applyBorder="1"/>
    <xf numFmtId="43" fontId="12" fillId="0" borderId="0" xfId="0" applyNumberFormat="1" applyFont="1"/>
    <xf numFmtId="43" fontId="12" fillId="0" borderId="3" xfId="0" applyNumberFormat="1" applyFont="1" applyBorder="1"/>
    <xf numFmtId="0" fontId="12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3" fillId="4" borderId="0" xfId="0" applyFont="1" applyFill="1"/>
    <xf numFmtId="0" fontId="15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6" fillId="3" borderId="0" xfId="0" applyFont="1" applyFill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6" fillId="0" borderId="0" xfId="0" applyFont="1" applyFill="1" applyBorder="1"/>
    <xf numFmtId="0" fontId="6" fillId="0" borderId="0" xfId="0" applyFont="1" applyFill="1"/>
    <xf numFmtId="0" fontId="5" fillId="0" borderId="0" xfId="0" applyFont="1" applyAlignment="1">
      <alignment horizontal="center"/>
    </xf>
    <xf numFmtId="0" fontId="16" fillId="0" borderId="0" xfId="0" applyFont="1"/>
    <xf numFmtId="0" fontId="5" fillId="0" borderId="1" xfId="0" applyFont="1" applyBorder="1"/>
    <xf numFmtId="0" fontId="6" fillId="0" borderId="1" xfId="0" applyFont="1" applyBorder="1"/>
    <xf numFmtId="43" fontId="6" fillId="3" borderId="0" xfId="1" applyFont="1" applyFill="1" applyAlignment="1">
      <alignment horizontal="center"/>
    </xf>
    <xf numFmtId="43" fontId="0" fillId="0" borderId="0" xfId="1" applyFont="1" applyFill="1"/>
    <xf numFmtId="43" fontId="12" fillId="0" borderId="0" xfId="1" applyFont="1" applyFill="1" applyAlignment="1">
      <alignment horizontal="center"/>
    </xf>
    <xf numFmtId="43" fontId="12" fillId="0" borderId="0" xfId="1" applyFont="1" applyFill="1"/>
    <xf numFmtId="0" fontId="17" fillId="0" borderId="4" xfId="0" applyFont="1" applyBorder="1" applyAlignment="1">
      <alignment horizontal="left"/>
    </xf>
    <xf numFmtId="9" fontId="12" fillId="0" borderId="4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43" fontId="12" fillId="0" borderId="0" xfId="0" applyNumberFormat="1" applyFont="1" applyBorder="1"/>
    <xf numFmtId="9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3" fillId="5" borderId="0" xfId="0" applyFont="1" applyFill="1"/>
    <xf numFmtId="0" fontId="12" fillId="2" borderId="0" xfId="0" applyFont="1" applyFill="1" applyAlignment="1">
      <alignment horizontal="center"/>
    </xf>
    <xf numFmtId="0" fontId="18" fillId="0" borderId="0" xfId="0" applyFont="1"/>
    <xf numFmtId="0" fontId="18" fillId="3" borderId="0" xfId="0" applyFont="1" applyFill="1"/>
    <xf numFmtId="9" fontId="19" fillId="0" borderId="0" xfId="0" applyNumberFormat="1" applyFont="1" applyAlignment="1">
      <alignment horizontal="center"/>
    </xf>
    <xf numFmtId="0" fontId="19" fillId="3" borderId="0" xfId="0" applyFont="1" applyFill="1"/>
    <xf numFmtId="0" fontId="5" fillId="3" borderId="4" xfId="0" applyFont="1" applyFill="1" applyBorder="1" applyAlignment="1">
      <alignment horizontal="center"/>
    </xf>
    <xf numFmtId="0" fontId="18" fillId="2" borderId="0" xfId="0" applyFont="1" applyFill="1"/>
    <xf numFmtId="0" fontId="12" fillId="2" borderId="0" xfId="0" applyFont="1" applyFill="1"/>
    <xf numFmtId="0" fontId="1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8" fillId="0" borderId="4" xfId="0" applyFont="1" applyBorder="1"/>
    <xf numFmtId="0" fontId="19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0" borderId="4" xfId="0" applyFont="1" applyBorder="1" applyAlignment="1">
      <alignment horizontal="left" indent="1"/>
    </xf>
    <xf numFmtId="0" fontId="12" fillId="3" borderId="0" xfId="0" applyFont="1" applyFill="1"/>
    <xf numFmtId="0" fontId="18" fillId="0" borderId="4" xfId="0" applyFont="1" applyBorder="1" applyAlignment="1"/>
    <xf numFmtId="43" fontId="6" fillId="0" borderId="0" xfId="1" applyFont="1"/>
    <xf numFmtId="43" fontId="5" fillId="0" borderId="0" xfId="1" applyFont="1" applyAlignment="1">
      <alignment horizontal="center"/>
    </xf>
    <xf numFmtId="43" fontId="6" fillId="0" borderId="0" xfId="1" applyFont="1" applyAlignment="1">
      <alignment horizontal="center"/>
    </xf>
    <xf numFmtId="43" fontId="5" fillId="0" borderId="1" xfId="1" applyFont="1" applyBorder="1"/>
    <xf numFmtId="43" fontId="5" fillId="3" borderId="0" xfId="1" applyFont="1" applyFill="1"/>
    <xf numFmtId="43" fontId="5" fillId="3" borderId="4" xfId="1" applyFont="1" applyFill="1" applyBorder="1" applyAlignment="1">
      <alignment horizontal="center"/>
    </xf>
    <xf numFmtId="43" fontId="5" fillId="3" borderId="4" xfId="1" applyFont="1" applyFill="1" applyBorder="1"/>
    <xf numFmtId="43" fontId="6" fillId="0" borderId="1" xfId="1" applyFont="1" applyBorder="1"/>
    <xf numFmtId="43" fontId="6" fillId="3" borderId="4" xfId="1" applyFont="1" applyFill="1" applyBorder="1"/>
    <xf numFmtId="43" fontId="5" fillId="0" borderId="0" xfId="1" applyFont="1" applyFill="1"/>
    <xf numFmtId="0" fontId="5" fillId="0" borderId="4" xfId="0" applyFont="1" applyFill="1" applyBorder="1" applyAlignment="1">
      <alignment horizontal="center"/>
    </xf>
    <xf numFmtId="43" fontId="5" fillId="0" borderId="4" xfId="1" applyFont="1" applyFill="1" applyBorder="1" applyAlignment="1">
      <alignment horizontal="center"/>
    </xf>
    <xf numFmtId="0" fontId="5" fillId="0" borderId="4" xfId="0" applyFont="1" applyFill="1" applyBorder="1"/>
    <xf numFmtId="43" fontId="5" fillId="0" borderId="4" xfId="1" applyFont="1" applyFill="1" applyBorder="1"/>
    <xf numFmtId="43" fontId="6" fillId="0" borderId="4" xfId="1" applyFont="1" applyFill="1" applyBorder="1"/>
    <xf numFmtId="0" fontId="18" fillId="3" borderId="4" xfId="0" applyFont="1" applyFill="1" applyBorder="1"/>
    <xf numFmtId="0" fontId="18" fillId="3" borderId="4" xfId="0" applyFont="1" applyFill="1" applyBorder="1" applyAlignment="1">
      <alignment horizontal="left" indent="1"/>
    </xf>
    <xf numFmtId="0" fontId="20" fillId="0" borderId="0" xfId="0" applyFont="1"/>
    <xf numFmtId="0" fontId="19" fillId="0" borderId="0" xfId="0" applyFont="1"/>
    <xf numFmtId="17" fontId="18" fillId="0" borderId="4" xfId="0" quotePrefix="1" applyNumberFormat="1" applyFont="1" applyBorder="1"/>
    <xf numFmtId="0" fontId="19" fillId="0" borderId="4" xfId="0" applyFont="1" applyBorder="1"/>
    <xf numFmtId="0" fontId="22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2" fillId="0" borderId="4" xfId="0" applyFont="1" applyBorder="1"/>
    <xf numFmtId="0" fontId="23" fillId="0" borderId="0" xfId="0" applyFont="1"/>
    <xf numFmtId="0" fontId="23" fillId="0" borderId="4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43" fontId="22" fillId="0" borderId="4" xfId="1" applyFont="1" applyBorder="1"/>
    <xf numFmtId="166" fontId="22" fillId="0" borderId="4" xfId="1" applyNumberFormat="1" applyFont="1" applyBorder="1"/>
    <xf numFmtId="9" fontId="22" fillId="0" borderId="4" xfId="2" applyFont="1" applyBorder="1"/>
    <xf numFmtId="43" fontId="22" fillId="0" borderId="0" xfId="0" applyNumberFormat="1" applyFont="1"/>
    <xf numFmtId="43" fontId="23" fillId="0" borderId="0" xfId="1" applyFont="1"/>
    <xf numFmtId="0" fontId="22" fillId="0" borderId="1" xfId="0" applyFont="1" applyBorder="1"/>
    <xf numFmtId="0" fontId="23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22" fillId="6" borderId="4" xfId="0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3" fontId="27" fillId="0" borderId="3" xfId="0" applyNumberFormat="1" applyFont="1" applyBorder="1"/>
    <xf numFmtId="0" fontId="27" fillId="0" borderId="4" xfId="0" applyFont="1" applyBorder="1"/>
    <xf numFmtId="43" fontId="27" fillId="0" borderId="4" xfId="0" applyNumberFormat="1" applyFont="1" applyBorder="1"/>
    <xf numFmtId="0" fontId="23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22" fillId="0" borderId="4" xfId="0" applyFont="1" applyBorder="1" applyAlignment="1">
      <alignment horizontal="left"/>
    </xf>
    <xf numFmtId="0" fontId="18" fillId="0" borderId="4" xfId="0" applyFont="1" applyBorder="1" applyAlignment="1">
      <alignment horizontal="left" wrapText="1" indent="1"/>
    </xf>
    <xf numFmtId="0" fontId="18" fillId="0" borderId="4" xfId="0" applyFont="1" applyBorder="1" applyAlignment="1">
      <alignment wrapText="1"/>
    </xf>
    <xf numFmtId="17" fontId="18" fillId="3" borderId="4" xfId="0" quotePrefix="1" applyNumberFormat="1" applyFont="1" applyFill="1" applyBorder="1" applyAlignment="1"/>
    <xf numFmtId="0" fontId="29" fillId="0" borderId="0" xfId="0" applyFont="1"/>
    <xf numFmtId="0" fontId="22" fillId="0" borderId="9" xfId="0" applyFont="1" applyBorder="1" applyAlignment="1"/>
    <xf numFmtId="0" fontId="27" fillId="0" borderId="9" xfId="0" applyFont="1" applyBorder="1" applyAlignment="1"/>
    <xf numFmtId="0" fontId="27" fillId="0" borderId="10" xfId="0" applyFont="1" applyBorder="1" applyAlignment="1"/>
    <xf numFmtId="166" fontId="23" fillId="0" borderId="1" xfId="0" applyNumberFormat="1" applyFont="1" applyBorder="1" applyAlignment="1">
      <alignment horizontal="center"/>
    </xf>
    <xf numFmtId="9" fontId="23" fillId="0" borderId="1" xfId="2" applyFont="1" applyBorder="1" applyAlignment="1">
      <alignment horizontal="center"/>
    </xf>
    <xf numFmtId="43" fontId="22" fillId="0" borderId="9" xfId="0" applyNumberFormat="1" applyFont="1" applyBorder="1" applyAlignment="1"/>
    <xf numFmtId="167" fontId="23" fillId="0" borderId="0" xfId="0" applyNumberFormat="1" applyFont="1"/>
    <xf numFmtId="0" fontId="22" fillId="0" borderId="4" xfId="0" applyFont="1" applyFill="1" applyBorder="1" applyAlignment="1">
      <alignment horizontal="center"/>
    </xf>
    <xf numFmtId="167" fontId="22" fillId="0" borderId="4" xfId="1" applyNumberFormat="1" applyFont="1" applyBorder="1"/>
    <xf numFmtId="0" fontId="27" fillId="0" borderId="4" xfId="0" applyFont="1" applyBorder="1" applyAlignment="1"/>
    <xf numFmtId="43" fontId="27" fillId="0" borderId="4" xfId="0" applyNumberFormat="1" applyFont="1" applyBorder="1" applyAlignment="1"/>
    <xf numFmtId="43" fontId="23" fillId="0" borderId="4" xfId="1" applyFont="1" applyBorder="1"/>
    <xf numFmtId="43" fontId="25" fillId="0" borderId="8" xfId="0" applyNumberFormat="1" applyFont="1" applyBorder="1"/>
    <xf numFmtId="43" fontId="22" fillId="0" borderId="1" xfId="0" applyNumberFormat="1" applyFont="1" applyBorder="1"/>
    <xf numFmtId="43" fontId="22" fillId="0" borderId="0" xfId="0" applyNumberFormat="1" applyFont="1" applyBorder="1"/>
    <xf numFmtId="43" fontId="23" fillId="0" borderId="2" xfId="0" applyNumberFormat="1" applyFont="1" applyBorder="1"/>
    <xf numFmtId="0" fontId="22" fillId="0" borderId="0" xfId="0" applyFont="1" applyBorder="1"/>
    <xf numFmtId="0" fontId="25" fillId="0" borderId="0" xfId="0" applyFont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30" fillId="0" borderId="0" xfId="0" applyFont="1" applyBorder="1" applyAlignment="1">
      <alignment horizontal="center"/>
    </xf>
    <xf numFmtId="0" fontId="22" fillId="0" borderId="0" xfId="0" applyFont="1" applyBorder="1" applyAlignment="1">
      <alignment horizontal="right"/>
    </xf>
    <xf numFmtId="167" fontId="23" fillId="0" borderId="0" xfId="0" applyNumberFormat="1" applyFont="1" applyBorder="1"/>
    <xf numFmtId="0" fontId="26" fillId="0" borderId="0" xfId="0" applyFont="1" applyBorder="1"/>
    <xf numFmtId="0" fontId="23" fillId="0" borderId="0" xfId="0" applyFont="1" applyBorder="1"/>
    <xf numFmtId="0" fontId="24" fillId="0" borderId="0" xfId="0" applyFont="1" applyBorder="1" applyAlignment="1">
      <alignment horizontal="right"/>
    </xf>
    <xf numFmtId="0" fontId="27" fillId="0" borderId="0" xfId="0" applyFont="1" applyBorder="1" applyAlignment="1"/>
    <xf numFmtId="0" fontId="23" fillId="0" borderId="11" xfId="0" applyFont="1" applyBorder="1" applyAlignment="1">
      <alignment horizontal="right"/>
    </xf>
    <xf numFmtId="0" fontId="22" fillId="0" borderId="12" xfId="0" applyFont="1" applyBorder="1"/>
    <xf numFmtId="0" fontId="22" fillId="0" borderId="13" xfId="0" applyFont="1" applyBorder="1"/>
    <xf numFmtId="0" fontId="23" fillId="0" borderId="13" xfId="0" applyFont="1" applyBorder="1"/>
    <xf numFmtId="167" fontId="23" fillId="0" borderId="13" xfId="0" applyNumberFormat="1" applyFont="1" applyBorder="1"/>
    <xf numFmtId="0" fontId="22" fillId="0" borderId="14" xfId="0" applyFont="1" applyBorder="1"/>
    <xf numFmtId="0" fontId="22" fillId="0" borderId="15" xfId="0" applyFont="1" applyBorder="1"/>
    <xf numFmtId="0" fontId="22" fillId="0" borderId="16" xfId="0" applyFont="1" applyBorder="1"/>
    <xf numFmtId="0" fontId="25" fillId="0" borderId="15" xfId="0" applyFont="1" applyBorder="1" applyAlignment="1">
      <alignment horizontal="right"/>
    </xf>
    <xf numFmtId="0" fontId="23" fillId="0" borderId="15" xfId="0" applyFont="1" applyBorder="1" applyAlignment="1">
      <alignment horizontal="right"/>
    </xf>
    <xf numFmtId="0" fontId="23" fillId="0" borderId="18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left"/>
    </xf>
    <xf numFmtId="43" fontId="22" fillId="0" borderId="17" xfId="1" applyFont="1" applyBorder="1"/>
    <xf numFmtId="0" fontId="22" fillId="0" borderId="18" xfId="0" applyFont="1" applyBorder="1"/>
    <xf numFmtId="0" fontId="27" fillId="0" borderId="18" xfId="0" applyFont="1" applyBorder="1"/>
    <xf numFmtId="43" fontId="27" fillId="0" borderId="17" xfId="0" applyNumberFormat="1" applyFont="1" applyBorder="1"/>
    <xf numFmtId="0" fontId="26" fillId="0" borderId="15" xfId="0" applyFont="1" applyBorder="1"/>
    <xf numFmtId="0" fontId="22" fillId="0" borderId="19" xfId="0" applyFont="1" applyBorder="1"/>
    <xf numFmtId="0" fontId="22" fillId="0" borderId="20" xfId="0" applyFont="1" applyBorder="1"/>
    <xf numFmtId="0" fontId="22" fillId="0" borderId="21" xfId="0" applyFont="1" applyBorder="1"/>
    <xf numFmtId="167" fontId="22" fillId="0" borderId="9" xfId="0" applyNumberFormat="1" applyFont="1" applyBorder="1" applyAlignment="1"/>
    <xf numFmtId="0" fontId="31" fillId="0" borderId="0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23" fillId="0" borderId="0" xfId="0" applyNumberFormat="1" applyFont="1" applyBorder="1"/>
    <xf numFmtId="0" fontId="27" fillId="3" borderId="0" xfId="0" applyFont="1" applyFill="1"/>
    <xf numFmtId="0" fontId="26" fillId="3" borderId="0" xfId="0" applyFont="1" applyFill="1"/>
    <xf numFmtId="0" fontId="30" fillId="0" borderId="1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/>
    <xf numFmtId="17" fontId="18" fillId="0" borderId="0" xfId="0" quotePrefix="1" applyNumberFormat="1" applyFont="1" applyFill="1" applyBorder="1" applyAlignment="1"/>
    <xf numFmtId="0" fontId="18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horizontal="left" vertical="top"/>
    </xf>
    <xf numFmtId="17" fontId="18" fillId="0" borderId="0" xfId="0" quotePrefix="1" applyNumberFormat="1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18" fillId="7" borderId="0" xfId="0" applyFont="1" applyFill="1"/>
    <xf numFmtId="0" fontId="0" fillId="0" borderId="0" xfId="0" applyAlignment="1">
      <alignment horizontal="left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43" fontId="0" fillId="3" borderId="0" xfId="0" applyNumberFormat="1" applyFill="1"/>
    <xf numFmtId="17" fontId="18" fillId="0" borderId="4" xfId="0" quotePrefix="1" applyNumberFormat="1" applyFont="1" applyFill="1" applyBorder="1" applyAlignment="1"/>
    <xf numFmtId="0" fontId="18" fillId="0" borderId="9" xfId="0" applyFont="1" applyBorder="1"/>
    <xf numFmtId="0" fontId="19" fillId="0" borderId="10" xfId="0" applyFont="1" applyBorder="1"/>
    <xf numFmtId="0" fontId="18" fillId="0" borderId="10" xfId="0" quotePrefix="1" applyFont="1" applyBorder="1"/>
    <xf numFmtId="0" fontId="18" fillId="0" borderId="10" xfId="0" applyFont="1" applyBorder="1"/>
    <xf numFmtId="0" fontId="19" fillId="0" borderId="10" xfId="0" quotePrefix="1" applyFont="1" applyBorder="1"/>
    <xf numFmtId="0" fontId="18" fillId="0" borderId="10" xfId="0" quotePrefix="1" applyFont="1" applyBorder="1" applyAlignment="1">
      <alignment horizontal="left" indent="1"/>
    </xf>
    <xf numFmtId="0" fontId="18" fillId="0" borderId="10" xfId="0" applyFont="1" applyBorder="1" applyAlignment="1">
      <alignment horizontal="left" indent="1"/>
    </xf>
    <xf numFmtId="0" fontId="19" fillId="0" borderId="10" xfId="0" applyFont="1" applyBorder="1" applyAlignment="1">
      <alignment horizontal="left"/>
    </xf>
    <xf numFmtId="43" fontId="5" fillId="0" borderId="0" xfId="0" applyNumberFormat="1" applyFont="1" applyFill="1"/>
    <xf numFmtId="0" fontId="22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20" fillId="3" borderId="0" xfId="0" applyFont="1" applyFill="1"/>
    <xf numFmtId="0" fontId="19" fillId="0" borderId="4" xfId="0" applyFont="1" applyBorder="1" applyAlignment="1">
      <alignment horizontal="left"/>
    </xf>
    <xf numFmtId="0" fontId="19" fillId="3" borderId="10" xfId="0" applyFont="1" applyFill="1" applyBorder="1" applyAlignment="1">
      <alignment horizontal="left"/>
    </xf>
    <xf numFmtId="17" fontId="18" fillId="3" borderId="4" xfId="0" quotePrefix="1" applyNumberFormat="1" applyFont="1" applyFill="1" applyBorder="1"/>
    <xf numFmtId="0" fontId="19" fillId="0" borderId="10" xfId="0" applyFont="1" applyBorder="1" applyAlignment="1">
      <alignment horizontal="left" vertical="top" wrapText="1"/>
    </xf>
    <xf numFmtId="0" fontId="13" fillId="0" borderId="0" xfId="0" applyFont="1" applyFill="1" applyAlignment="1">
      <alignment horizontal="center"/>
    </xf>
    <xf numFmtId="0" fontId="0" fillId="0" borderId="0" xfId="0" quotePrefix="1" applyFill="1" applyAlignment="1">
      <alignment horizontal="right"/>
    </xf>
    <xf numFmtId="43" fontId="0" fillId="0" borderId="0" xfId="0" applyNumberFormat="1" applyFill="1"/>
    <xf numFmtId="0" fontId="0" fillId="0" borderId="0" xfId="0" applyFill="1" applyAlignment="1">
      <alignment horizontal="left" indent="1"/>
    </xf>
    <xf numFmtId="0" fontId="19" fillId="0" borderId="0" xfId="0" applyFont="1" applyFill="1" applyAlignment="1">
      <alignment horizontal="right"/>
    </xf>
    <xf numFmtId="0" fontId="19" fillId="0" borderId="4" xfId="0" applyFont="1" applyFill="1" applyBorder="1" applyAlignment="1">
      <alignment horizontal="center"/>
    </xf>
    <xf numFmtId="0" fontId="18" fillId="0" borderId="4" xfId="0" applyFont="1" applyFill="1" applyBorder="1"/>
    <xf numFmtId="0" fontId="19" fillId="0" borderId="0" xfId="0" applyFont="1" applyFill="1"/>
    <xf numFmtId="0" fontId="18" fillId="0" borderId="8" xfId="0" applyFont="1" applyFill="1" applyBorder="1"/>
    <xf numFmtId="0" fontId="5" fillId="0" borderId="1" xfId="0" applyFont="1" applyFill="1" applyBorder="1"/>
    <xf numFmtId="0" fontId="12" fillId="0" borderId="0" xfId="0" applyFont="1" applyFill="1"/>
    <xf numFmtId="10" fontId="12" fillId="3" borderId="4" xfId="0" applyNumberFormat="1" applyFont="1" applyFill="1" applyBorder="1" applyAlignment="1">
      <alignment horizontal="center"/>
    </xf>
    <xf numFmtId="43" fontId="0" fillId="3" borderId="0" xfId="1" applyFont="1" applyFill="1"/>
    <xf numFmtId="43" fontId="12" fillId="3" borderId="0" xfId="0" applyNumberFormat="1" applyFont="1" applyFill="1"/>
    <xf numFmtId="0" fontId="18" fillId="3" borderId="5" xfId="0" applyFont="1" applyFill="1" applyBorder="1" applyAlignment="1">
      <alignment vertical="center"/>
    </xf>
    <xf numFmtId="0" fontId="18" fillId="3" borderId="0" xfId="0" applyFont="1" applyFill="1" applyAlignment="1">
      <alignment horizontal="center"/>
    </xf>
    <xf numFmtId="0" fontId="19" fillId="3" borderId="2" xfId="0" applyFont="1" applyFill="1" applyBorder="1"/>
    <xf numFmtId="0" fontId="18" fillId="3" borderId="1" xfId="0" applyFont="1" applyFill="1" applyBorder="1"/>
    <xf numFmtId="0" fontId="34" fillId="3" borderId="0" xfId="0" applyFont="1" applyFill="1"/>
    <xf numFmtId="0" fontId="18" fillId="0" borderId="0" xfId="0" applyFont="1" applyBorder="1"/>
    <xf numFmtId="43" fontId="18" fillId="0" borderId="0" xfId="0" applyNumberFormat="1" applyFont="1"/>
    <xf numFmtId="43" fontId="12" fillId="3" borderId="0" xfId="1" applyFont="1" applyFill="1"/>
    <xf numFmtId="10" fontId="12" fillId="3" borderId="0" xfId="0" applyNumberFormat="1" applyFont="1" applyFill="1" applyAlignment="1">
      <alignment horizontal="center"/>
    </xf>
    <xf numFmtId="10" fontId="12" fillId="3" borderId="0" xfId="0" applyNumberFormat="1" applyFont="1" applyFill="1" applyAlignment="1">
      <alignment horizontal="center" vertical="center"/>
    </xf>
    <xf numFmtId="0" fontId="12" fillId="8" borderId="0" xfId="0" applyFont="1" applyFill="1"/>
    <xf numFmtId="0" fontId="19" fillId="0" borderId="4" xfId="0" applyFont="1" applyBorder="1" applyAlignment="1">
      <alignment horizontal="left" indent="1"/>
    </xf>
    <xf numFmtId="0" fontId="22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33" fillId="0" borderId="0" xfId="0" applyFont="1" applyBorder="1" applyAlignment="1">
      <alignment horizontal="center"/>
    </xf>
    <xf numFmtId="0" fontId="19" fillId="2" borderId="0" xfId="0" applyFont="1" applyFill="1"/>
    <xf numFmtId="0" fontId="12" fillId="6" borderId="0" xfId="0" applyFont="1" applyFill="1"/>
    <xf numFmtId="0" fontId="32" fillId="6" borderId="0" xfId="3" applyFill="1"/>
    <xf numFmtId="0" fontId="36" fillId="6" borderId="0" xfId="3" applyFont="1" applyFill="1"/>
    <xf numFmtId="0" fontId="0" fillId="6" borderId="0" xfId="0" applyFill="1"/>
    <xf numFmtId="0" fontId="18" fillId="3" borderId="0" xfId="0" applyFont="1" applyFill="1" applyAlignment="1">
      <alignment horizontal="right"/>
    </xf>
    <xf numFmtId="0" fontId="18" fillId="2" borderId="4" xfId="0" applyFont="1" applyFill="1" applyBorder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2" fillId="3" borderId="0" xfId="0" applyFont="1" applyFill="1"/>
    <xf numFmtId="0" fontId="22" fillId="3" borderId="4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left"/>
    </xf>
    <xf numFmtId="166" fontId="23" fillId="0" borderId="0" xfId="0" applyNumberFormat="1" applyFont="1" applyBorder="1" applyAlignment="1">
      <alignment horizontal="center"/>
    </xf>
    <xf numFmtId="9" fontId="23" fillId="0" borderId="0" xfId="2" applyFont="1" applyBorder="1" applyAlignment="1">
      <alignment horizontal="center"/>
    </xf>
    <xf numFmtId="43" fontId="22" fillId="0" borderId="0" xfId="1" applyFont="1" applyBorder="1"/>
    <xf numFmtId="43" fontId="27" fillId="0" borderId="0" xfId="0" applyNumberFormat="1" applyFont="1" applyBorder="1"/>
    <xf numFmtId="43" fontId="22" fillId="3" borderId="4" xfId="1" applyFont="1" applyFill="1" applyBorder="1"/>
    <xf numFmtId="43" fontId="22" fillId="0" borderId="4" xfId="1" applyFont="1" applyBorder="1" applyAlignment="1">
      <alignment horizontal="left"/>
    </xf>
    <xf numFmtId="43" fontId="22" fillId="0" borderId="9" xfId="1" applyFont="1" applyBorder="1" applyAlignment="1">
      <alignment horizontal="left"/>
    </xf>
    <xf numFmtId="43" fontId="22" fillId="0" borderId="10" xfId="1" applyFont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22" fillId="3" borderId="0" xfId="0" applyFont="1" applyFill="1" applyAlignment="1">
      <alignment horizontal="right"/>
    </xf>
    <xf numFmtId="0" fontId="23" fillId="0" borderId="4" xfId="0" applyFont="1" applyBorder="1"/>
    <xf numFmtId="0" fontId="23" fillId="3" borderId="0" xfId="0" applyFont="1" applyFill="1"/>
    <xf numFmtId="0" fontId="22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9" fillId="2" borderId="0" xfId="0" applyFont="1" applyFill="1" applyAlignment="1"/>
    <xf numFmtId="0" fontId="19" fillId="2" borderId="0" xfId="0" applyFont="1" applyFill="1" applyAlignment="1">
      <alignment horizontal="right"/>
    </xf>
    <xf numFmtId="0" fontId="19" fillId="2" borderId="4" xfId="0" applyFont="1" applyFill="1" applyBorder="1" applyAlignment="1">
      <alignment horizontal="center"/>
    </xf>
    <xf numFmtId="14" fontId="18" fillId="2" borderId="4" xfId="0" applyNumberFormat="1" applyFont="1" applyFill="1" applyBorder="1"/>
    <xf numFmtId="43" fontId="18" fillId="2" borderId="4" xfId="1" applyFont="1" applyFill="1" applyBorder="1"/>
    <xf numFmtId="43" fontId="18" fillId="2" borderId="0" xfId="1" applyFont="1" applyFill="1"/>
    <xf numFmtId="43" fontId="19" fillId="2" borderId="0" xfId="1" applyFont="1" applyFill="1"/>
    <xf numFmtId="43" fontId="18" fillId="2" borderId="8" xfId="1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8"/>
    </xf>
    <xf numFmtId="0" fontId="38" fillId="0" borderId="0" xfId="0" applyFont="1"/>
    <xf numFmtId="0" fontId="38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4" xfId="0" applyFont="1" applyBorder="1" applyAlignment="1">
      <alignment horizontal="center"/>
    </xf>
    <xf numFmtId="0" fontId="5" fillId="9" borderId="4" xfId="0" applyFont="1" applyFill="1" applyBorder="1"/>
    <xf numFmtId="0" fontId="6" fillId="9" borderId="4" xfId="0" applyFont="1" applyFill="1" applyBorder="1" applyAlignment="1">
      <alignment horizontal="center"/>
    </xf>
    <xf numFmtId="0" fontId="19" fillId="10" borderId="0" xfId="0" applyFont="1" applyFill="1"/>
    <xf numFmtId="0" fontId="18" fillId="10" borderId="0" xfId="0" applyFont="1" applyFill="1"/>
    <xf numFmtId="0" fontId="18" fillId="10" borderId="0" xfId="0" applyFont="1" applyFill="1" applyAlignment="1">
      <alignment horizontal="right"/>
    </xf>
    <xf numFmtId="0" fontId="18" fillId="10" borderId="4" xfId="0" applyFont="1" applyFill="1" applyBorder="1"/>
    <xf numFmtId="0" fontId="34" fillId="10" borderId="0" xfId="0" applyFont="1" applyFill="1"/>
    <xf numFmtId="0" fontId="0" fillId="0" borderId="0" xfId="0" applyAlignment="1">
      <alignment horizontal="center"/>
    </xf>
    <xf numFmtId="43" fontId="13" fillId="0" borderId="0" xfId="1" applyFont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43" fontId="14" fillId="0" borderId="0" xfId="1" applyFont="1" applyAlignment="1">
      <alignment horizontal="center"/>
    </xf>
    <xf numFmtId="0" fontId="23" fillId="0" borderId="0" xfId="0" applyFont="1" applyAlignment="1">
      <alignment horizontal="center"/>
    </xf>
    <xf numFmtId="0" fontId="39" fillId="2" borderId="0" xfId="0" applyFont="1" applyFill="1"/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left" wrapText="1"/>
    </xf>
    <xf numFmtId="0" fontId="0" fillId="0" borderId="22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0" xfId="0" applyBorder="1"/>
    <xf numFmtId="0" fontId="0" fillId="0" borderId="26" xfId="0" applyBorder="1"/>
    <xf numFmtId="0" fontId="0" fillId="0" borderId="27" xfId="0" applyBorder="1" applyAlignment="1">
      <alignment wrapText="1"/>
    </xf>
    <xf numFmtId="0" fontId="0" fillId="0" borderId="28" xfId="0" applyBorder="1"/>
    <xf numFmtId="0" fontId="12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/>
    <xf numFmtId="0" fontId="22" fillId="3" borderId="0" xfId="0" applyFont="1" applyFill="1" applyBorder="1" applyAlignment="1">
      <alignment horizontal="center"/>
    </xf>
    <xf numFmtId="43" fontId="22" fillId="3" borderId="0" xfId="1" applyFont="1" applyFill="1" applyBorder="1"/>
    <xf numFmtId="0" fontId="23" fillId="0" borderId="0" xfId="0" applyFont="1" applyBorder="1" applyAlignment="1">
      <alignment horizontal="center"/>
    </xf>
    <xf numFmtId="0" fontId="12" fillId="3" borderId="0" xfId="0" applyFont="1" applyFill="1" applyAlignment="1">
      <alignment wrapText="1"/>
    </xf>
    <xf numFmtId="0" fontId="21" fillId="0" borderId="4" xfId="0" applyFont="1" applyBorder="1"/>
    <xf numFmtId="0" fontId="5" fillId="0" borderId="0" xfId="0" applyFont="1" applyBorder="1"/>
    <xf numFmtId="43" fontId="5" fillId="0" borderId="4" xfId="1" applyFont="1" applyBorder="1"/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9" xfId="0" applyFont="1" applyBorder="1"/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166" fontId="5" fillId="0" borderId="18" xfId="1" applyNumberFormat="1" applyFont="1" applyBorder="1"/>
    <xf numFmtId="166" fontId="6" fillId="0" borderId="17" xfId="1" applyNumberFormat="1" applyFont="1" applyBorder="1"/>
    <xf numFmtId="166" fontId="5" fillId="0" borderId="34" xfId="1" applyNumberFormat="1" applyFont="1" applyBorder="1"/>
    <xf numFmtId="166" fontId="6" fillId="0" borderId="35" xfId="1" applyNumberFormat="1" applyFont="1" applyBorder="1"/>
    <xf numFmtId="0" fontId="6" fillId="0" borderId="10" xfId="0" applyFont="1" applyBorder="1" applyAlignment="1">
      <alignment horizontal="center"/>
    </xf>
    <xf numFmtId="43" fontId="5" fillId="0" borderId="18" xfId="1" applyFont="1" applyBorder="1"/>
    <xf numFmtId="43" fontId="6" fillId="0" borderId="17" xfId="1" applyFont="1" applyBorder="1"/>
    <xf numFmtId="43" fontId="5" fillId="0" borderId="34" xfId="1" applyFont="1" applyBorder="1"/>
    <xf numFmtId="43" fontId="5" fillId="0" borderId="36" xfId="1" applyFont="1" applyBorder="1"/>
    <xf numFmtId="43" fontId="6" fillId="0" borderId="35" xfId="1" applyFont="1" applyBorder="1"/>
    <xf numFmtId="14" fontId="5" fillId="0" borderId="10" xfId="0" applyNumberFormat="1" applyFont="1" applyBorder="1"/>
    <xf numFmtId="0" fontId="6" fillId="0" borderId="37" xfId="0" applyFont="1" applyBorder="1" applyAlignment="1">
      <alignment horizontal="center"/>
    </xf>
    <xf numFmtId="43" fontId="6" fillId="0" borderId="38" xfId="1" applyFont="1" applyBorder="1"/>
    <xf numFmtId="14" fontId="5" fillId="0" borderId="10" xfId="0" applyNumberFormat="1" applyFont="1" applyBorder="1" applyAlignment="1">
      <alignment horizontal="right"/>
    </xf>
    <xf numFmtId="166" fontId="5" fillId="0" borderId="4" xfId="0" applyNumberFormat="1" applyFont="1" applyBorder="1"/>
    <xf numFmtId="43" fontId="6" fillId="0" borderId="39" xfId="1" applyFont="1" applyBorder="1"/>
    <xf numFmtId="0" fontId="5" fillId="0" borderId="10" xfId="0" applyFont="1" applyBorder="1" applyAlignment="1">
      <alignment horizontal="right"/>
    </xf>
    <xf numFmtId="0" fontId="40" fillId="0" borderId="0" xfId="0" applyFont="1"/>
    <xf numFmtId="0" fontId="23" fillId="0" borderId="4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5" fillId="0" borderId="4" xfId="0" applyFont="1" applyBorder="1" applyAlignment="1">
      <alignment horizontal="right"/>
    </xf>
    <xf numFmtId="0" fontId="34" fillId="0" borderId="0" xfId="0" applyFont="1"/>
    <xf numFmtId="43" fontId="22" fillId="0" borderId="0" xfId="1" applyFont="1"/>
    <xf numFmtId="0" fontId="22" fillId="0" borderId="0" xfId="0" applyFont="1" applyAlignment="1">
      <alignment vertical="top"/>
    </xf>
    <xf numFmtId="9" fontId="22" fillId="0" borderId="0" xfId="0" applyNumberFormat="1" applyFont="1" applyAlignment="1">
      <alignment horizontal="left" vertical="top" wrapText="1"/>
    </xf>
    <xf numFmtId="0" fontId="22" fillId="0" borderId="0" xfId="0" applyFont="1" applyFill="1" applyAlignment="1">
      <alignment horizontal="right"/>
    </xf>
    <xf numFmtId="0" fontId="42" fillId="3" borderId="0" xfId="0" applyFont="1" applyFill="1"/>
    <xf numFmtId="0" fontId="43" fillId="3" borderId="0" xfId="0" applyFont="1" applyFill="1"/>
    <xf numFmtId="166" fontId="44" fillId="3" borderId="0" xfId="0" applyNumberFormat="1" applyFont="1" applyFill="1"/>
    <xf numFmtId="0" fontId="45" fillId="3" borderId="0" xfId="0" applyFont="1" applyFill="1"/>
    <xf numFmtId="43" fontId="45" fillId="3" borderId="0" xfId="1" applyFont="1" applyFill="1"/>
    <xf numFmtId="0" fontId="41" fillId="3" borderId="0" xfId="0" applyFont="1" applyFill="1"/>
    <xf numFmtId="0" fontId="25" fillId="3" borderId="0" xfId="0" applyFont="1" applyFill="1"/>
    <xf numFmtId="43" fontId="18" fillId="0" borderId="4" xfId="0" applyNumberFormat="1" applyFont="1" applyBorder="1"/>
    <xf numFmtId="0" fontId="18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43" fontId="19" fillId="0" borderId="0" xfId="0" applyNumberFormat="1" applyFont="1"/>
    <xf numFmtId="0" fontId="19" fillId="11" borderId="4" xfId="0" applyFont="1" applyFill="1" applyBorder="1" applyAlignment="1">
      <alignment horizontal="center" vertical="center" wrapText="1"/>
    </xf>
    <xf numFmtId="0" fontId="18" fillId="11" borderId="4" xfId="0" applyFont="1" applyFill="1" applyBorder="1"/>
    <xf numFmtId="0" fontId="47" fillId="2" borderId="0" xfId="0" applyFont="1" applyFill="1"/>
    <xf numFmtId="0" fontId="48" fillId="0" borderId="0" xfId="0" applyFont="1"/>
    <xf numFmtId="0" fontId="49" fillId="0" borderId="0" xfId="0" applyFont="1"/>
    <xf numFmtId="43" fontId="49" fillId="0" borderId="0" xfId="0" applyNumberFormat="1" applyFont="1"/>
    <xf numFmtId="43" fontId="49" fillId="0" borderId="0" xfId="1" applyFont="1"/>
    <xf numFmtId="0" fontId="48" fillId="0" borderId="0" xfId="0" applyFont="1" applyAlignment="1">
      <alignment horizontal="center"/>
    </xf>
    <xf numFmtId="43" fontId="5" fillId="0" borderId="0" xfId="0" applyNumberFormat="1" applyFont="1" applyAlignment="1">
      <alignment horizontal="left"/>
    </xf>
    <xf numFmtId="0" fontId="5" fillId="0" borderId="0" xfId="0" applyNumberFormat="1" applyFont="1" applyAlignment="1"/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3" fillId="0" borderId="4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3" borderId="4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7" fillId="0" borderId="0" xfId="0" applyFont="1" applyBorder="1" applyAlignment="1">
      <alignment horizontal="right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25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26" xfId="0" applyFont="1" applyBorder="1" applyAlignment="1">
      <alignment horizontal="center" vertical="center"/>
    </xf>
    <xf numFmtId="0" fontId="46" fillId="0" borderId="27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19" fillId="2" borderId="0" xfId="0" applyFont="1" applyFill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35" fillId="2" borderId="22" xfId="0" applyFont="1" applyFill="1" applyBorder="1" applyAlignment="1">
      <alignment horizontal="center" vertical="center"/>
    </xf>
    <xf numFmtId="0" fontId="35" fillId="2" borderId="23" xfId="0" applyFont="1" applyFill="1" applyBorder="1" applyAlignment="1">
      <alignment horizontal="center" vertical="center"/>
    </xf>
    <xf numFmtId="0" fontId="35" fillId="2" borderId="24" xfId="0" applyFont="1" applyFill="1" applyBorder="1" applyAlignment="1">
      <alignment horizontal="center" vertical="center"/>
    </xf>
    <xf numFmtId="0" fontId="35" fillId="2" borderId="25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/>
    </xf>
    <xf numFmtId="0" fontId="35" fillId="2" borderId="26" xfId="0" applyFont="1" applyFill="1" applyBorder="1" applyAlignment="1">
      <alignment horizontal="center" vertical="center"/>
    </xf>
    <xf numFmtId="0" fontId="35" fillId="2" borderId="27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2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left"/>
    </xf>
    <xf numFmtId="0" fontId="33" fillId="3" borderId="1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7" fillId="0" borderId="22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4" xfId="0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28" xfId="0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28</xdr:row>
      <xdr:rowOff>50800</xdr:rowOff>
    </xdr:from>
    <xdr:to>
      <xdr:col>7</xdr:col>
      <xdr:colOff>558800</xdr:colOff>
      <xdr:row>28</xdr:row>
      <xdr:rowOff>177800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32EFBB2-AB63-184B-B1CE-8528B8DA8DFC}"/>
            </a:ext>
          </a:extLst>
        </xdr:cNvPr>
        <xdr:cNvSpPr/>
      </xdr:nvSpPr>
      <xdr:spPr>
        <a:xfrm>
          <a:off x="9626600" y="48514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29</xdr:row>
      <xdr:rowOff>38100</xdr:rowOff>
    </xdr:from>
    <xdr:to>
      <xdr:col>7</xdr:col>
      <xdr:colOff>558800</xdr:colOff>
      <xdr:row>29</xdr:row>
      <xdr:rowOff>165100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8E34CBA-E039-CB4F-B1AE-5990C5D0D2C6}"/>
            </a:ext>
          </a:extLst>
        </xdr:cNvPr>
        <xdr:cNvSpPr/>
      </xdr:nvSpPr>
      <xdr:spPr>
        <a:xfrm>
          <a:off x="9626600" y="50292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37</xdr:row>
      <xdr:rowOff>50800</xdr:rowOff>
    </xdr:from>
    <xdr:to>
      <xdr:col>7</xdr:col>
      <xdr:colOff>558800</xdr:colOff>
      <xdr:row>37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2FEF875-9F41-0046-A0B1-91F262B2B603}"/>
            </a:ext>
          </a:extLst>
        </xdr:cNvPr>
        <xdr:cNvSpPr/>
      </xdr:nvSpPr>
      <xdr:spPr>
        <a:xfrm>
          <a:off x="9702800" y="48514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38</xdr:row>
      <xdr:rowOff>38100</xdr:rowOff>
    </xdr:from>
    <xdr:to>
      <xdr:col>7</xdr:col>
      <xdr:colOff>558800</xdr:colOff>
      <xdr:row>38</xdr:row>
      <xdr:rowOff>165100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0033D49-93AC-7C40-A58E-E66D403533F6}"/>
            </a:ext>
          </a:extLst>
        </xdr:cNvPr>
        <xdr:cNvSpPr/>
      </xdr:nvSpPr>
      <xdr:spPr>
        <a:xfrm>
          <a:off x="9702800" y="50292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46</xdr:row>
      <xdr:rowOff>50800</xdr:rowOff>
    </xdr:from>
    <xdr:to>
      <xdr:col>7</xdr:col>
      <xdr:colOff>558800</xdr:colOff>
      <xdr:row>46</xdr:row>
      <xdr:rowOff>177800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DB3B06F-3401-114E-A5EB-C3B567730AC4}"/>
            </a:ext>
          </a:extLst>
        </xdr:cNvPr>
        <xdr:cNvSpPr/>
      </xdr:nvSpPr>
      <xdr:spPr>
        <a:xfrm>
          <a:off x="9702800" y="48514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47</xdr:row>
      <xdr:rowOff>38100</xdr:rowOff>
    </xdr:from>
    <xdr:to>
      <xdr:col>7</xdr:col>
      <xdr:colOff>558800</xdr:colOff>
      <xdr:row>47</xdr:row>
      <xdr:rowOff>165100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2E97967-CBC7-8242-ACFB-A971D21538C5}"/>
            </a:ext>
          </a:extLst>
        </xdr:cNvPr>
        <xdr:cNvSpPr/>
      </xdr:nvSpPr>
      <xdr:spPr>
        <a:xfrm>
          <a:off x="9702800" y="50292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55</xdr:row>
      <xdr:rowOff>50800</xdr:rowOff>
    </xdr:from>
    <xdr:to>
      <xdr:col>7</xdr:col>
      <xdr:colOff>558800</xdr:colOff>
      <xdr:row>55</xdr:row>
      <xdr:rowOff>177800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DAA9B9D-9FDE-4B46-9AC2-5E8D4D354111}"/>
            </a:ext>
          </a:extLst>
        </xdr:cNvPr>
        <xdr:cNvSpPr/>
      </xdr:nvSpPr>
      <xdr:spPr>
        <a:xfrm>
          <a:off x="9702800" y="48514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56</xdr:row>
      <xdr:rowOff>38100</xdr:rowOff>
    </xdr:from>
    <xdr:to>
      <xdr:col>7</xdr:col>
      <xdr:colOff>558800</xdr:colOff>
      <xdr:row>56</xdr:row>
      <xdr:rowOff>165100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717E4CD-85E3-014B-9C16-F937DD506DDF}"/>
            </a:ext>
          </a:extLst>
        </xdr:cNvPr>
        <xdr:cNvSpPr/>
      </xdr:nvSpPr>
      <xdr:spPr>
        <a:xfrm>
          <a:off x="9702800" y="50292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65</xdr:row>
      <xdr:rowOff>50800</xdr:rowOff>
    </xdr:from>
    <xdr:to>
      <xdr:col>7</xdr:col>
      <xdr:colOff>558800</xdr:colOff>
      <xdr:row>65</xdr:row>
      <xdr:rowOff>177800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0516EB7-AE78-4241-B54E-BF5B8CDF8D98}"/>
            </a:ext>
          </a:extLst>
        </xdr:cNvPr>
        <xdr:cNvSpPr/>
      </xdr:nvSpPr>
      <xdr:spPr>
        <a:xfrm>
          <a:off x="9702800" y="48514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66</xdr:row>
      <xdr:rowOff>38100</xdr:rowOff>
    </xdr:from>
    <xdr:to>
      <xdr:col>7</xdr:col>
      <xdr:colOff>558800</xdr:colOff>
      <xdr:row>66</xdr:row>
      <xdr:rowOff>165100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61D7707-DFAE-444E-83B9-DA90EDDEA47D}"/>
            </a:ext>
          </a:extLst>
        </xdr:cNvPr>
        <xdr:cNvSpPr/>
      </xdr:nvSpPr>
      <xdr:spPr>
        <a:xfrm>
          <a:off x="9702800" y="5029200"/>
          <a:ext cx="139700" cy="127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177800</xdr:colOff>
      <xdr:row>71</xdr:row>
      <xdr:rowOff>5862</xdr:rowOff>
    </xdr:from>
    <xdr:to>
      <xdr:col>0</xdr:col>
      <xdr:colOff>3695700</xdr:colOff>
      <xdr:row>73</xdr:row>
      <xdr:rowOff>5862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D63327A-7785-4C40-A7D9-B689EAEFF7B0}"/>
            </a:ext>
          </a:extLst>
        </xdr:cNvPr>
        <xdr:cNvSpPr/>
      </xdr:nvSpPr>
      <xdr:spPr>
        <a:xfrm>
          <a:off x="177800" y="13379939"/>
          <a:ext cx="3517900" cy="3907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GENERATE DELIVERY RECEIPT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12</xdr:row>
      <xdr:rowOff>38100</xdr:rowOff>
    </xdr:from>
    <xdr:to>
      <xdr:col>1</xdr:col>
      <xdr:colOff>647700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57400" y="2333625"/>
          <a:ext cx="247650" cy="152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PH" sz="1100"/>
        </a:p>
      </xdr:txBody>
    </xdr:sp>
    <xdr:clientData/>
  </xdr:twoCellAnchor>
  <xdr:twoCellAnchor>
    <xdr:from>
      <xdr:col>1</xdr:col>
      <xdr:colOff>1066800</xdr:colOff>
      <xdr:row>12</xdr:row>
      <xdr:rowOff>28575</xdr:rowOff>
    </xdr:from>
    <xdr:to>
      <xdr:col>2</xdr:col>
      <xdr:colOff>190500</xdr:colOff>
      <xdr:row>12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724150" y="2324100"/>
          <a:ext cx="247650" cy="152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zoomScale="120" zoomScaleNormal="120" workbookViewId="0">
      <pane xSplit="2" ySplit="1" topLeftCell="C75" activePane="bottomRight" state="frozen"/>
      <selection pane="topRight" activeCell="C1" sqref="C1"/>
      <selection pane="bottomLeft" activeCell="A2" sqref="A2"/>
      <selection pane="bottomRight" activeCell="C89" sqref="C89"/>
    </sheetView>
  </sheetViews>
  <sheetFormatPr baseColWidth="10" defaultColWidth="10.83203125" defaultRowHeight="15" x14ac:dyDescent="0.2"/>
  <cols>
    <col min="1" max="1" width="3.1640625" style="93" bestFit="1" customWidth="1"/>
    <col min="2" max="2" width="12" style="93" customWidth="1"/>
    <col min="3" max="3" width="95.33203125" style="93" bestFit="1" customWidth="1"/>
    <col min="4" max="4" width="37.1640625" style="93" bestFit="1" customWidth="1"/>
    <col min="5" max="5" width="31.1640625" style="225" bestFit="1" customWidth="1"/>
    <col min="6" max="6" width="74.5" style="93" bestFit="1" customWidth="1"/>
    <col min="7" max="16384" width="10.83203125" style="93"/>
  </cols>
  <sheetData>
    <row r="1" spans="1:6" s="109" customFormat="1" x14ac:dyDescent="0.2">
      <c r="A1" s="108"/>
      <c r="B1" s="108"/>
      <c r="C1" s="108" t="s">
        <v>372</v>
      </c>
      <c r="D1" s="108" t="s">
        <v>373</v>
      </c>
      <c r="E1" s="218" t="s">
        <v>520</v>
      </c>
    </row>
    <row r="2" spans="1:6" x14ac:dyDescent="0.2">
      <c r="A2" s="107">
        <v>1</v>
      </c>
      <c r="B2" s="420" t="s">
        <v>374</v>
      </c>
      <c r="C2" s="133" t="s">
        <v>375</v>
      </c>
      <c r="D2" s="112" t="s">
        <v>398</v>
      </c>
      <c r="E2" s="219"/>
      <c r="F2" s="93" t="s">
        <v>660</v>
      </c>
    </row>
    <row r="3" spans="1:6" x14ac:dyDescent="0.2">
      <c r="A3" s="107">
        <f>A2+1</f>
        <v>2</v>
      </c>
      <c r="B3" s="421"/>
      <c r="C3" s="133" t="s">
        <v>376</v>
      </c>
      <c r="D3" s="112" t="s">
        <v>398</v>
      </c>
      <c r="E3" s="219"/>
      <c r="F3" s="93" t="s">
        <v>661</v>
      </c>
    </row>
    <row r="4" spans="1:6" x14ac:dyDescent="0.2">
      <c r="A4" s="107"/>
      <c r="B4" s="421"/>
      <c r="C4" s="110" t="s">
        <v>378</v>
      </c>
      <c r="D4" s="112"/>
      <c r="E4" s="219"/>
      <c r="F4" s="93" t="s">
        <v>662</v>
      </c>
    </row>
    <row r="5" spans="1:6" x14ac:dyDescent="0.2">
      <c r="A5" s="107"/>
      <c r="B5" s="421"/>
      <c r="C5" s="110" t="s">
        <v>379</v>
      </c>
      <c r="D5" s="112"/>
      <c r="E5" s="219"/>
    </row>
    <row r="6" spans="1:6" x14ac:dyDescent="0.2">
      <c r="A6" s="107"/>
      <c r="B6" s="421"/>
      <c r="C6" s="110" t="s">
        <v>380</v>
      </c>
      <c r="D6" s="112"/>
      <c r="E6" s="219"/>
    </row>
    <row r="7" spans="1:6" x14ac:dyDescent="0.2">
      <c r="A7" s="107">
        <f>A3+1</f>
        <v>3</v>
      </c>
      <c r="B7" s="421"/>
      <c r="C7" s="131" t="s">
        <v>231</v>
      </c>
      <c r="D7" s="112" t="s">
        <v>398</v>
      </c>
      <c r="E7" s="219"/>
    </row>
    <row r="8" spans="1:6" x14ac:dyDescent="0.2">
      <c r="A8" s="107"/>
      <c r="B8" s="421"/>
      <c r="C8" s="110" t="s">
        <v>381</v>
      </c>
      <c r="D8" s="162" t="s">
        <v>399</v>
      </c>
      <c r="E8" s="220" t="s">
        <v>522</v>
      </c>
      <c r="F8" s="93" t="s">
        <v>665</v>
      </c>
    </row>
    <row r="9" spans="1:6" x14ac:dyDescent="0.2">
      <c r="A9" s="107"/>
      <c r="B9" s="421"/>
      <c r="C9" s="110" t="s">
        <v>400</v>
      </c>
      <c r="D9" s="112"/>
      <c r="E9" s="219"/>
      <c r="F9" s="93" t="s">
        <v>669</v>
      </c>
    </row>
    <row r="10" spans="1:6" x14ac:dyDescent="0.2">
      <c r="A10" s="107"/>
      <c r="B10" s="421"/>
      <c r="C10" s="249" t="s">
        <v>614</v>
      </c>
      <c r="D10" s="132" t="s">
        <v>658</v>
      </c>
      <c r="E10" s="219"/>
      <c r="F10" s="93" t="s">
        <v>667</v>
      </c>
    </row>
    <row r="11" spans="1:6" x14ac:dyDescent="0.2">
      <c r="A11" s="107"/>
      <c r="B11" s="421"/>
      <c r="C11" s="110" t="s">
        <v>615</v>
      </c>
      <c r="D11" s="112"/>
      <c r="E11" s="219"/>
      <c r="F11" s="93" t="s">
        <v>666</v>
      </c>
    </row>
    <row r="12" spans="1:6" x14ac:dyDescent="0.2">
      <c r="A12" s="107"/>
      <c r="B12" s="421"/>
      <c r="C12" s="110" t="s">
        <v>616</v>
      </c>
      <c r="D12" s="112"/>
      <c r="E12" s="219"/>
      <c r="F12" s="93" t="s">
        <v>668</v>
      </c>
    </row>
    <row r="13" spans="1:6" x14ac:dyDescent="0.2">
      <c r="A13" s="107"/>
      <c r="B13" s="421"/>
      <c r="C13" s="110" t="s">
        <v>629</v>
      </c>
      <c r="D13" s="112"/>
      <c r="E13" s="219"/>
    </row>
    <row r="14" spans="1:6" x14ac:dyDescent="0.2">
      <c r="A14" s="107">
        <f>A7+1</f>
        <v>4</v>
      </c>
      <c r="B14" s="421"/>
      <c r="C14" s="133" t="s">
        <v>377</v>
      </c>
      <c r="D14" s="162" t="s">
        <v>399</v>
      </c>
      <c r="E14" s="220"/>
    </row>
    <row r="15" spans="1:6" x14ac:dyDescent="0.2">
      <c r="A15" s="107"/>
      <c r="B15" s="421"/>
      <c r="C15" s="110" t="s">
        <v>382</v>
      </c>
      <c r="D15" s="112"/>
      <c r="E15" s="219"/>
    </row>
    <row r="16" spans="1:6" x14ac:dyDescent="0.2">
      <c r="A16" s="107"/>
      <c r="B16" s="421"/>
      <c r="C16" s="110" t="s">
        <v>383</v>
      </c>
      <c r="D16" s="112"/>
      <c r="E16" s="219"/>
    </row>
    <row r="17" spans="1:6" x14ac:dyDescent="0.2">
      <c r="A17" s="107"/>
      <c r="B17" s="421"/>
      <c r="C17" s="110" t="s">
        <v>384</v>
      </c>
      <c r="D17" s="112"/>
      <c r="E17" s="219"/>
      <c r="F17" s="93" t="s">
        <v>386</v>
      </c>
    </row>
    <row r="18" spans="1:6" x14ac:dyDescent="0.2">
      <c r="A18" s="107"/>
      <c r="B18" s="421"/>
      <c r="C18" s="110" t="s">
        <v>401</v>
      </c>
      <c r="D18" s="112"/>
      <c r="E18" s="219"/>
    </row>
    <row r="19" spans="1:6" x14ac:dyDescent="0.2">
      <c r="A19" s="107"/>
      <c r="B19" s="421"/>
      <c r="C19" s="278" t="s">
        <v>646</v>
      </c>
      <c r="D19" s="232" t="s">
        <v>399</v>
      </c>
      <c r="E19" s="219"/>
    </row>
    <row r="20" spans="1:6" x14ac:dyDescent="0.2">
      <c r="A20" s="107">
        <f>A14+1</f>
        <v>5</v>
      </c>
      <c r="B20" s="421"/>
      <c r="C20" s="133" t="s">
        <v>387</v>
      </c>
      <c r="D20" s="112" t="s">
        <v>398</v>
      </c>
      <c r="E20" s="220" t="s">
        <v>521</v>
      </c>
    </row>
    <row r="21" spans="1:6" x14ac:dyDescent="0.2">
      <c r="A21" s="107"/>
      <c r="B21" s="421"/>
      <c r="C21" s="110" t="s">
        <v>397</v>
      </c>
      <c r="D21" s="112"/>
      <c r="E21" s="219"/>
    </row>
    <row r="22" spans="1:6" x14ac:dyDescent="0.2">
      <c r="A22" s="107"/>
      <c r="B22" s="421"/>
      <c r="C22" s="249" t="s">
        <v>695</v>
      </c>
      <c r="D22" s="162" t="s">
        <v>399</v>
      </c>
      <c r="E22" s="219"/>
    </row>
    <row r="23" spans="1:6" x14ac:dyDescent="0.2">
      <c r="A23" s="107">
        <f>A20+1</f>
        <v>6</v>
      </c>
      <c r="B23" s="421"/>
      <c r="C23" s="133" t="s">
        <v>385</v>
      </c>
      <c r="D23" s="112" t="s">
        <v>398</v>
      </c>
      <c r="E23" s="219"/>
    </row>
    <row r="24" spans="1:6" x14ac:dyDescent="0.2">
      <c r="A24" s="107">
        <f>A23+1</f>
        <v>7</v>
      </c>
      <c r="B24" s="421"/>
      <c r="C24" s="133" t="s">
        <v>417</v>
      </c>
      <c r="D24" s="112"/>
      <c r="E24" s="219"/>
    </row>
    <row r="25" spans="1:6" ht="32" x14ac:dyDescent="0.2">
      <c r="A25" s="107"/>
      <c r="B25" s="421"/>
      <c r="C25" s="160" t="s">
        <v>480</v>
      </c>
      <c r="D25" s="161" t="s">
        <v>481</v>
      </c>
      <c r="E25" s="221"/>
    </row>
    <row r="26" spans="1:6" x14ac:dyDescent="0.2">
      <c r="A26" s="107"/>
      <c r="B26" s="421"/>
      <c r="C26" s="110" t="s">
        <v>379</v>
      </c>
      <c r="D26" s="112" t="s">
        <v>398</v>
      </c>
      <c r="E26" s="219"/>
    </row>
    <row r="27" spans="1:6" x14ac:dyDescent="0.2">
      <c r="A27" s="107"/>
      <c r="B27" s="421"/>
      <c r="C27" s="110" t="s">
        <v>418</v>
      </c>
      <c r="D27" s="112" t="s">
        <v>398</v>
      </c>
      <c r="E27" s="219"/>
    </row>
    <row r="28" spans="1:6" x14ac:dyDescent="0.2">
      <c r="A28" s="107"/>
      <c r="B28" s="421"/>
      <c r="C28" s="110" t="s">
        <v>419</v>
      </c>
      <c r="D28" s="112" t="s">
        <v>398</v>
      </c>
      <c r="E28" s="219"/>
    </row>
    <row r="29" spans="1:6" x14ac:dyDescent="0.2">
      <c r="A29" s="107"/>
      <c r="B29" s="421"/>
      <c r="C29" s="110" t="s">
        <v>421</v>
      </c>
      <c r="D29" s="267" t="s">
        <v>399</v>
      </c>
      <c r="E29" s="222"/>
    </row>
    <row r="30" spans="1:6" x14ac:dyDescent="0.2">
      <c r="A30" s="107"/>
      <c r="B30" s="421"/>
      <c r="C30" s="110" t="s">
        <v>420</v>
      </c>
      <c r="D30" s="112" t="s">
        <v>398</v>
      </c>
      <c r="E30" s="222"/>
    </row>
    <row r="31" spans="1:6" x14ac:dyDescent="0.2">
      <c r="A31" s="107"/>
      <c r="B31" s="421"/>
      <c r="C31" s="110" t="s">
        <v>433</v>
      </c>
      <c r="D31" s="112" t="s">
        <v>398</v>
      </c>
      <c r="E31" s="222"/>
    </row>
    <row r="32" spans="1:6" x14ac:dyDescent="0.2">
      <c r="A32" s="107"/>
      <c r="B32" s="421"/>
      <c r="C32" s="110" t="s">
        <v>434</v>
      </c>
      <c r="D32" s="112" t="s">
        <v>398</v>
      </c>
      <c r="E32" s="219"/>
    </row>
    <row r="33" spans="1:5" x14ac:dyDescent="0.2">
      <c r="A33" s="107"/>
      <c r="B33" s="422"/>
      <c r="C33" s="110" t="s">
        <v>435</v>
      </c>
      <c r="D33" s="112" t="s">
        <v>398</v>
      </c>
      <c r="E33" s="219"/>
    </row>
    <row r="34" spans="1:5" ht="15" customHeight="1" x14ac:dyDescent="0.2">
      <c r="A34" s="233"/>
      <c r="B34" s="423" t="s">
        <v>343</v>
      </c>
      <c r="C34" s="240" t="s">
        <v>532</v>
      </c>
      <c r="D34" s="251" t="s">
        <v>432</v>
      </c>
      <c r="E34" s="219"/>
    </row>
    <row r="35" spans="1:5" ht="15" customHeight="1" x14ac:dyDescent="0.2">
      <c r="A35" s="233"/>
      <c r="B35" s="424"/>
      <c r="C35" s="240" t="s">
        <v>528</v>
      </c>
      <c r="D35" s="162" t="s">
        <v>399</v>
      </c>
      <c r="E35" s="220"/>
    </row>
    <row r="36" spans="1:5" ht="15" customHeight="1" x14ac:dyDescent="0.2">
      <c r="A36" s="233"/>
      <c r="B36" s="424"/>
      <c r="C36" s="240" t="s">
        <v>631</v>
      </c>
      <c r="D36" s="251" t="s">
        <v>432</v>
      </c>
      <c r="E36" s="220"/>
    </row>
    <row r="37" spans="1:5" ht="15" customHeight="1" x14ac:dyDescent="0.2">
      <c r="A37" s="233"/>
      <c r="B37" s="424"/>
      <c r="C37" s="110" t="s">
        <v>630</v>
      </c>
      <c r="D37" s="232"/>
      <c r="E37" s="220"/>
    </row>
    <row r="38" spans="1:5" ht="15" customHeight="1" x14ac:dyDescent="0.2">
      <c r="A38" s="233"/>
      <c r="B38" s="424"/>
      <c r="C38" s="110" t="s">
        <v>632</v>
      </c>
      <c r="D38" s="232"/>
      <c r="E38" s="220"/>
    </row>
    <row r="39" spans="1:5" x14ac:dyDescent="0.2">
      <c r="A39" s="233"/>
      <c r="B39" s="424"/>
      <c r="C39" s="250" t="s">
        <v>533</v>
      </c>
      <c r="D39" s="232"/>
      <c r="E39" s="220"/>
    </row>
    <row r="40" spans="1:5" x14ac:dyDescent="0.2">
      <c r="A40" s="233"/>
      <c r="B40" s="424"/>
      <c r="C40" s="250" t="s">
        <v>536</v>
      </c>
      <c r="D40" s="232"/>
      <c r="E40" s="220"/>
    </row>
    <row r="41" spans="1:5" x14ac:dyDescent="0.2">
      <c r="A41" s="233"/>
      <c r="B41" s="424"/>
      <c r="C41" s="250" t="s">
        <v>534</v>
      </c>
      <c r="D41" s="232"/>
      <c r="E41" s="220"/>
    </row>
    <row r="42" spans="1:5" x14ac:dyDescent="0.2">
      <c r="A42" s="233"/>
      <c r="B42" s="424"/>
      <c r="C42" s="250" t="s">
        <v>535</v>
      </c>
      <c r="D42" s="232"/>
      <c r="E42" s="220"/>
    </row>
    <row r="43" spans="1:5" ht="15" customHeight="1" x14ac:dyDescent="0.2">
      <c r="A43" s="233"/>
      <c r="B43" s="424"/>
      <c r="C43" s="131" t="s">
        <v>633</v>
      </c>
      <c r="D43" s="251" t="s">
        <v>432</v>
      </c>
      <c r="E43" s="220"/>
    </row>
    <row r="44" spans="1:5" x14ac:dyDescent="0.2">
      <c r="A44" s="233"/>
      <c r="B44" s="424"/>
      <c r="C44" s="240" t="s">
        <v>519</v>
      </c>
      <c r="D44" s="251" t="s">
        <v>432</v>
      </c>
      <c r="E44" s="220"/>
    </row>
    <row r="45" spans="1:5" ht="15" customHeight="1" x14ac:dyDescent="0.2">
      <c r="A45" s="233">
        <v>1</v>
      </c>
      <c r="B45" s="424"/>
      <c r="C45" s="234" t="s">
        <v>425</v>
      </c>
      <c r="D45" s="251" t="s">
        <v>432</v>
      </c>
      <c r="E45" s="223"/>
    </row>
    <row r="46" spans="1:5" x14ac:dyDescent="0.2">
      <c r="A46" s="233"/>
      <c r="B46" s="424"/>
      <c r="C46" s="235" t="s">
        <v>426</v>
      </c>
      <c r="D46" s="107"/>
      <c r="E46" s="224"/>
    </row>
    <row r="47" spans="1:5" x14ac:dyDescent="0.2">
      <c r="A47" s="233"/>
      <c r="B47" s="424"/>
      <c r="C47" s="236" t="s">
        <v>427</v>
      </c>
      <c r="D47" s="107"/>
      <c r="E47" s="224"/>
    </row>
    <row r="48" spans="1:5" x14ac:dyDescent="0.2">
      <c r="A48" s="233"/>
      <c r="B48" s="424"/>
      <c r="C48" s="235" t="s">
        <v>428</v>
      </c>
      <c r="D48" s="107"/>
      <c r="E48" s="224"/>
    </row>
    <row r="49" spans="1:6" x14ac:dyDescent="0.2">
      <c r="A49" s="233"/>
      <c r="B49" s="424"/>
      <c r="C49" s="236" t="s">
        <v>430</v>
      </c>
      <c r="D49" s="107"/>
      <c r="E49" s="224"/>
    </row>
    <row r="50" spans="1:6" x14ac:dyDescent="0.2">
      <c r="A50" s="233"/>
      <c r="B50" s="424"/>
      <c r="C50" s="236" t="s">
        <v>429</v>
      </c>
      <c r="D50" s="107"/>
      <c r="E50" s="224"/>
    </row>
    <row r="51" spans="1:6" x14ac:dyDescent="0.2">
      <c r="A51" s="233"/>
      <c r="B51" s="424"/>
      <c r="C51" s="235" t="s">
        <v>431</v>
      </c>
      <c r="D51" s="107"/>
      <c r="E51" s="224"/>
    </row>
    <row r="52" spans="1:6" x14ac:dyDescent="0.2">
      <c r="A52" s="233">
        <v>2</v>
      </c>
      <c r="B52" s="424"/>
      <c r="C52" s="234" t="s">
        <v>441</v>
      </c>
      <c r="D52" s="132" t="s">
        <v>432</v>
      </c>
      <c r="E52" s="223"/>
      <c r="F52" s="93" t="s">
        <v>440</v>
      </c>
    </row>
    <row r="53" spans="1:6" x14ac:dyDescent="0.2">
      <c r="A53" s="233">
        <v>3</v>
      </c>
      <c r="B53" s="424"/>
      <c r="C53" s="237" t="s">
        <v>437</v>
      </c>
      <c r="D53" s="132" t="s">
        <v>432</v>
      </c>
      <c r="E53" s="223"/>
    </row>
    <row r="54" spans="1:6" x14ac:dyDescent="0.2">
      <c r="A54" s="233"/>
      <c r="B54" s="424"/>
      <c r="C54" s="238" t="s">
        <v>442</v>
      </c>
      <c r="D54" s="107"/>
      <c r="E54" s="224"/>
      <c r="F54" s="93" t="s">
        <v>439</v>
      </c>
    </row>
    <row r="55" spans="1:6" x14ac:dyDescent="0.2">
      <c r="A55" s="233"/>
      <c r="B55" s="424"/>
      <c r="C55" s="238" t="s">
        <v>443</v>
      </c>
      <c r="D55" s="107"/>
      <c r="E55" s="224"/>
    </row>
    <row r="56" spans="1:6" x14ac:dyDescent="0.2">
      <c r="A56" s="233"/>
      <c r="B56" s="424"/>
      <c r="C56" s="238" t="s">
        <v>465</v>
      </c>
      <c r="D56" s="107"/>
      <c r="E56" s="224"/>
    </row>
    <row r="57" spans="1:6" x14ac:dyDescent="0.2">
      <c r="A57" s="233"/>
      <c r="B57" s="424"/>
      <c r="C57" s="238" t="s">
        <v>444</v>
      </c>
      <c r="D57" s="107"/>
      <c r="E57" s="224"/>
    </row>
    <row r="58" spans="1:6" x14ac:dyDescent="0.2">
      <c r="A58" s="233"/>
      <c r="B58" s="424"/>
      <c r="C58" s="239" t="s">
        <v>445</v>
      </c>
      <c r="D58" s="107"/>
      <c r="E58" s="224"/>
    </row>
    <row r="59" spans="1:6" x14ac:dyDescent="0.2">
      <c r="A59" s="233"/>
      <c r="B59" s="424"/>
      <c r="C59" s="239" t="s">
        <v>446</v>
      </c>
      <c r="D59" s="107"/>
      <c r="E59" s="224"/>
    </row>
    <row r="60" spans="1:6" x14ac:dyDescent="0.2">
      <c r="A60" s="233"/>
      <c r="B60" s="424"/>
      <c r="C60" s="239" t="s">
        <v>447</v>
      </c>
      <c r="D60" s="107"/>
      <c r="E60" s="224"/>
    </row>
    <row r="61" spans="1:6" x14ac:dyDescent="0.2">
      <c r="A61" s="233"/>
      <c r="B61" s="424"/>
      <c r="C61" s="239" t="s">
        <v>485</v>
      </c>
      <c r="D61" s="107"/>
      <c r="E61" s="224"/>
    </row>
    <row r="62" spans="1:6" x14ac:dyDescent="0.2">
      <c r="A62" s="233">
        <v>5</v>
      </c>
      <c r="B62" s="424"/>
      <c r="C62" s="234" t="s">
        <v>698</v>
      </c>
      <c r="D62" s="107" t="s">
        <v>483</v>
      </c>
      <c r="E62" s="224"/>
    </row>
    <row r="63" spans="1:6" x14ac:dyDescent="0.2">
      <c r="A63" s="233"/>
      <c r="B63" s="424"/>
      <c r="C63" s="239" t="s">
        <v>436</v>
      </c>
      <c r="D63" s="107"/>
      <c r="E63" s="224"/>
    </row>
    <row r="64" spans="1:6" x14ac:dyDescent="0.2">
      <c r="A64" s="233"/>
      <c r="B64" s="424"/>
      <c r="C64" s="239" t="s">
        <v>671</v>
      </c>
      <c r="D64" s="107"/>
      <c r="E64" s="224"/>
    </row>
    <row r="65" spans="1:5" x14ac:dyDescent="0.2">
      <c r="A65" s="233"/>
      <c r="B65" s="424"/>
      <c r="C65" s="239" t="s">
        <v>672</v>
      </c>
      <c r="D65" s="107"/>
      <c r="E65" s="224"/>
    </row>
    <row r="66" spans="1:5" x14ac:dyDescent="0.2">
      <c r="A66" s="233"/>
      <c r="B66" s="424"/>
      <c r="C66" s="239" t="s">
        <v>673</v>
      </c>
      <c r="D66" s="107"/>
      <c r="E66" s="224"/>
    </row>
    <row r="67" spans="1:5" x14ac:dyDescent="0.2">
      <c r="A67" s="233"/>
      <c r="B67" s="424"/>
      <c r="C67" s="239" t="s">
        <v>484</v>
      </c>
      <c r="D67" s="107"/>
      <c r="E67" s="224"/>
    </row>
    <row r="68" spans="1:5" x14ac:dyDescent="0.2">
      <c r="A68" s="233"/>
      <c r="B68" s="424"/>
      <c r="C68" s="239" t="s">
        <v>697</v>
      </c>
      <c r="D68" s="107"/>
      <c r="E68" s="224"/>
    </row>
    <row r="69" spans="1:5" x14ac:dyDescent="0.2">
      <c r="A69" s="233">
        <v>6</v>
      </c>
      <c r="B69" s="424"/>
      <c r="C69" s="234" t="s">
        <v>486</v>
      </c>
      <c r="D69" s="107"/>
      <c r="E69" s="224"/>
    </row>
    <row r="70" spans="1:5" x14ac:dyDescent="0.2">
      <c r="A70" s="233"/>
      <c r="B70" s="424"/>
      <c r="C70" s="234" t="s">
        <v>699</v>
      </c>
      <c r="D70" s="107"/>
      <c r="E70" s="224"/>
    </row>
    <row r="71" spans="1:5" x14ac:dyDescent="0.2">
      <c r="A71" s="233">
        <v>7</v>
      </c>
      <c r="B71" s="424"/>
      <c r="C71" s="234" t="s">
        <v>455</v>
      </c>
      <c r="D71" s="107"/>
      <c r="E71" s="224"/>
    </row>
    <row r="72" spans="1:5" x14ac:dyDescent="0.2">
      <c r="A72" s="233"/>
      <c r="B72" s="424"/>
      <c r="C72" s="236" t="s">
        <v>700</v>
      </c>
      <c r="D72" s="107"/>
      <c r="E72" s="224"/>
    </row>
    <row r="73" spans="1:5" x14ac:dyDescent="0.2">
      <c r="A73" s="272"/>
      <c r="B73" s="424"/>
      <c r="C73" s="240" t="s">
        <v>518</v>
      </c>
      <c r="D73" s="107"/>
      <c r="E73" s="224"/>
    </row>
    <row r="74" spans="1:5" x14ac:dyDescent="0.2">
      <c r="A74" s="93">
        <v>8</v>
      </c>
      <c r="B74" s="424"/>
      <c r="C74" s="234" t="s">
        <v>703</v>
      </c>
      <c r="D74" s="132" t="s">
        <v>432</v>
      </c>
      <c r="E74" s="224"/>
    </row>
    <row r="75" spans="1:5" ht="16" x14ac:dyDescent="0.2">
      <c r="B75" s="424"/>
      <c r="C75" s="252" t="s">
        <v>482</v>
      </c>
      <c r="D75" s="107"/>
      <c r="E75" s="224"/>
    </row>
    <row r="76" spans="1:5" x14ac:dyDescent="0.2">
      <c r="B76" s="424"/>
      <c r="C76" s="133" t="s">
        <v>417</v>
      </c>
      <c r="D76" s="107"/>
    </row>
    <row r="77" spans="1:5" x14ac:dyDescent="0.2">
      <c r="B77" s="424"/>
      <c r="C77" s="107" t="s">
        <v>488</v>
      </c>
      <c r="D77" s="107"/>
    </row>
    <row r="78" spans="1:5" x14ac:dyDescent="0.2">
      <c r="B78" s="424"/>
      <c r="C78" s="133" t="s">
        <v>642</v>
      </c>
      <c r="D78" s="107"/>
    </row>
    <row r="79" spans="1:5" x14ac:dyDescent="0.2">
      <c r="B79" s="424"/>
      <c r="C79" s="133" t="s">
        <v>634</v>
      </c>
      <c r="D79" s="107"/>
    </row>
    <row r="80" spans="1:5" x14ac:dyDescent="0.2">
      <c r="B80" s="424"/>
      <c r="C80" s="110" t="s">
        <v>638</v>
      </c>
      <c r="D80" s="107"/>
    </row>
    <row r="81" spans="2:4" x14ac:dyDescent="0.2">
      <c r="B81" s="424"/>
      <c r="C81" s="110" t="s">
        <v>639</v>
      </c>
      <c r="D81" s="107"/>
    </row>
    <row r="82" spans="2:4" x14ac:dyDescent="0.2">
      <c r="B82" s="424"/>
      <c r="C82" s="110" t="s">
        <v>640</v>
      </c>
      <c r="D82" s="107"/>
    </row>
    <row r="83" spans="2:4" x14ac:dyDescent="0.2">
      <c r="B83" s="424"/>
      <c r="C83" s="110" t="s">
        <v>641</v>
      </c>
      <c r="D83" s="107"/>
    </row>
    <row r="84" spans="2:4" x14ac:dyDescent="0.2">
      <c r="B84" s="424"/>
      <c r="C84" s="133" t="s">
        <v>635</v>
      </c>
      <c r="D84" s="107"/>
    </row>
    <row r="85" spans="2:4" x14ac:dyDescent="0.2">
      <c r="B85" s="424"/>
      <c r="C85" s="133" t="s">
        <v>636</v>
      </c>
      <c r="D85" s="107"/>
    </row>
    <row r="86" spans="2:4" x14ac:dyDescent="0.2">
      <c r="B86" s="425"/>
      <c r="C86" s="133" t="s">
        <v>637</v>
      </c>
      <c r="D86" s="107"/>
    </row>
    <row r="88" spans="2:4" x14ac:dyDescent="0.2">
      <c r="C88" s="93" t="s">
        <v>921</v>
      </c>
    </row>
    <row r="89" spans="2:4" x14ac:dyDescent="0.2">
      <c r="C89" s="393" t="s">
        <v>922</v>
      </c>
    </row>
    <row r="92" spans="2:4" x14ac:dyDescent="0.2">
      <c r="C92" s="131" t="s">
        <v>701</v>
      </c>
    </row>
    <row r="93" spans="2:4" x14ac:dyDescent="0.2">
      <c r="C93" s="93" t="s">
        <v>692</v>
      </c>
    </row>
    <row r="94" spans="2:4" x14ac:dyDescent="0.2">
      <c r="C94" s="93" t="s">
        <v>702</v>
      </c>
    </row>
    <row r="95" spans="2:4" x14ac:dyDescent="0.2">
      <c r="C95" s="93" t="s">
        <v>693</v>
      </c>
    </row>
    <row r="96" spans="2:4" x14ac:dyDescent="0.2">
      <c r="C96" s="93" t="s">
        <v>694</v>
      </c>
    </row>
    <row r="98" spans="3:3" x14ac:dyDescent="0.2">
      <c r="C98" s="131" t="s">
        <v>696</v>
      </c>
    </row>
  </sheetData>
  <mergeCells count="2">
    <mergeCell ref="B2:B33"/>
    <mergeCell ref="B34:B8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34"/>
  <sheetViews>
    <sheetView topLeftCell="A52" zoomScale="140" zoomScaleNormal="140" workbookViewId="0">
      <selection activeCell="B85" sqref="B85"/>
    </sheetView>
  </sheetViews>
  <sheetFormatPr baseColWidth="10" defaultColWidth="11.5" defaultRowHeight="15" x14ac:dyDescent="0.2"/>
  <cols>
    <col min="1" max="1" width="27.83203125" bestFit="1" customWidth="1"/>
    <col min="2" max="2" width="24.6640625" bestFit="1" customWidth="1"/>
    <col min="3" max="3" width="13.5" customWidth="1"/>
    <col min="4" max="4" width="15.33203125" customWidth="1"/>
    <col min="5" max="5" width="14.6640625" customWidth="1"/>
    <col min="9" max="10" width="15.1640625" bestFit="1" customWidth="1"/>
    <col min="11" max="11" width="16.5" bestFit="1" customWidth="1"/>
    <col min="12" max="12" width="15.1640625" bestFit="1" customWidth="1"/>
    <col min="14" max="14" width="15.1640625" bestFit="1" customWidth="1"/>
    <col min="15" max="15" width="16.5" bestFit="1" customWidth="1"/>
  </cols>
  <sheetData>
    <row r="1" spans="1:6" s="93" customFormat="1" x14ac:dyDescent="0.2">
      <c r="C1" s="45"/>
      <c r="D1" s="241"/>
    </row>
    <row r="2" spans="1:6" s="331" customFormat="1" x14ac:dyDescent="0.2">
      <c r="A2" s="330" t="s">
        <v>737</v>
      </c>
      <c r="C2" s="332" t="s">
        <v>734</v>
      </c>
      <c r="D2" s="333" t="s">
        <v>736</v>
      </c>
    </row>
    <row r="3" spans="1:6" s="331" customFormat="1" x14ac:dyDescent="0.2">
      <c r="A3" s="334"/>
    </row>
    <row r="4" spans="1:6" s="331" customFormat="1" x14ac:dyDescent="0.2">
      <c r="A4" s="334" t="s">
        <v>718</v>
      </c>
      <c r="F4" s="331" t="s">
        <v>780</v>
      </c>
    </row>
    <row r="5" spans="1:6" s="331" customFormat="1" x14ac:dyDescent="0.2">
      <c r="A5" s="331" t="s">
        <v>537</v>
      </c>
      <c r="F5" s="331" t="s">
        <v>781</v>
      </c>
    </row>
    <row r="6" spans="1:6" s="331" customFormat="1" x14ac:dyDescent="0.2"/>
    <row r="7" spans="1:6" s="331" customFormat="1" x14ac:dyDescent="0.2">
      <c r="B7" s="331" t="s">
        <v>524</v>
      </c>
    </row>
    <row r="8" spans="1:6" s="331" customFormat="1" x14ac:dyDescent="0.2"/>
    <row r="9" spans="1:6" s="93" customFormat="1" x14ac:dyDescent="0.2">
      <c r="C9" s="45"/>
      <c r="D9" s="241"/>
    </row>
    <row r="10" spans="1:6" s="93" customFormat="1" x14ac:dyDescent="0.2">
      <c r="A10" s="96" t="s">
        <v>690</v>
      </c>
      <c r="B10" s="94"/>
      <c r="C10" s="94"/>
      <c r="D10" s="94"/>
    </row>
    <row r="11" spans="1:6" s="93" customFormat="1" x14ac:dyDescent="0.2">
      <c r="A11" s="96"/>
      <c r="B11" s="288" t="s">
        <v>734</v>
      </c>
      <c r="C11" s="475" t="s">
        <v>735</v>
      </c>
      <c r="D11" s="476"/>
    </row>
    <row r="12" spans="1:6" s="93" customFormat="1" x14ac:dyDescent="0.2">
      <c r="A12" s="271" t="s">
        <v>727</v>
      </c>
      <c r="B12" s="94"/>
      <c r="C12" s="94"/>
      <c r="D12" s="94"/>
    </row>
    <row r="13" spans="1:6" s="93" customFormat="1" x14ac:dyDescent="0.2">
      <c r="A13" s="271"/>
      <c r="B13" s="94"/>
      <c r="C13" s="94"/>
      <c r="D13" s="94"/>
    </row>
    <row r="14" spans="1:6" s="93" customFormat="1" x14ac:dyDescent="0.2">
      <c r="A14" s="94" t="s">
        <v>537</v>
      </c>
      <c r="B14" s="94"/>
      <c r="C14" s="94"/>
      <c r="D14" s="94"/>
    </row>
    <row r="15" spans="1:6" s="93" customFormat="1" x14ac:dyDescent="0.2">
      <c r="A15" s="94"/>
      <c r="B15" s="94" t="s">
        <v>524</v>
      </c>
      <c r="C15" s="94"/>
      <c r="D15" s="94"/>
    </row>
    <row r="16" spans="1:6" s="93" customFormat="1" x14ac:dyDescent="0.2">
      <c r="A16" s="94"/>
      <c r="B16" s="94"/>
      <c r="C16" s="94"/>
      <c r="D16" s="94"/>
    </row>
    <row r="17" spans="1:15" s="225" customFormat="1" x14ac:dyDescent="0.2"/>
    <row r="18" spans="1:15" s="93" customFormat="1" x14ac:dyDescent="0.2">
      <c r="A18" s="98"/>
      <c r="B18" s="35" t="s">
        <v>729</v>
      </c>
      <c r="C18" s="98"/>
      <c r="D18" s="98"/>
    </row>
    <row r="19" spans="1:15" s="93" customFormat="1" x14ac:dyDescent="0.2">
      <c r="A19" s="98"/>
      <c r="B19" s="35" t="s">
        <v>728</v>
      </c>
      <c r="C19" s="98"/>
      <c r="D19" s="98"/>
    </row>
    <row r="20" spans="1:15" x14ac:dyDescent="0.2">
      <c r="A20" s="35" t="s">
        <v>679</v>
      </c>
      <c r="B20" s="35" t="s">
        <v>154</v>
      </c>
      <c r="C20" s="35"/>
      <c r="D20" s="98"/>
    </row>
    <row r="21" spans="1:15" x14ac:dyDescent="0.2">
      <c r="A21" s="35" t="s">
        <v>680</v>
      </c>
      <c r="B21" s="35" t="s">
        <v>730</v>
      </c>
      <c r="C21" s="35"/>
      <c r="D21" s="98"/>
    </row>
    <row r="22" spans="1:15" s="93" customFormat="1" x14ac:dyDescent="0.2"/>
    <row r="23" spans="1:15" s="93" customFormat="1" x14ac:dyDescent="0.2">
      <c r="A23" s="96" t="s">
        <v>651</v>
      </c>
      <c r="B23" s="94"/>
      <c r="C23" s="94"/>
      <c r="D23" s="94"/>
      <c r="E23" s="94"/>
      <c r="F23" s="94"/>
    </row>
    <row r="24" spans="1:15" s="93" customFormat="1" x14ac:dyDescent="0.2">
      <c r="A24" s="94" t="s">
        <v>648</v>
      </c>
      <c r="B24" s="94" t="s">
        <v>650</v>
      </c>
      <c r="C24" s="94"/>
      <c r="D24" s="94"/>
      <c r="E24" s="94" t="s">
        <v>461</v>
      </c>
      <c r="F24" s="94"/>
    </row>
    <row r="25" spans="1:15" s="93" customFormat="1" x14ac:dyDescent="0.2">
      <c r="A25" s="94"/>
      <c r="B25" s="94"/>
      <c r="C25" s="94" t="s">
        <v>731</v>
      </c>
      <c r="D25" s="94"/>
      <c r="E25" s="94"/>
      <c r="F25" s="94" t="s">
        <v>461</v>
      </c>
    </row>
    <row r="27" spans="1:15" s="93" customFormat="1" x14ac:dyDescent="0.2">
      <c r="A27" s="463" t="s">
        <v>676</v>
      </c>
      <c r="B27" s="463"/>
      <c r="C27" s="463"/>
      <c r="D27" s="463"/>
      <c r="E27" s="463"/>
      <c r="F27" s="463"/>
      <c r="G27" s="463"/>
      <c r="H27" s="463"/>
      <c r="I27" s="463"/>
      <c r="J27" s="463"/>
      <c r="K27" s="98"/>
      <c r="L27" s="98"/>
      <c r="M27" s="98"/>
      <c r="N27" s="98"/>
      <c r="O27" s="98"/>
    </row>
    <row r="28" spans="1:15" s="93" customFormat="1" x14ac:dyDescent="0.2">
      <c r="A28" s="314"/>
      <c r="B28" s="314"/>
      <c r="C28" s="314"/>
      <c r="D28" s="314" t="s">
        <v>416</v>
      </c>
      <c r="E28" s="464"/>
      <c r="F28" s="464"/>
      <c r="G28" s="464"/>
      <c r="H28" s="464"/>
      <c r="I28" s="314"/>
      <c r="J28" s="314"/>
      <c r="K28" s="98"/>
      <c r="L28" s="98"/>
      <c r="M28" s="98"/>
      <c r="N28" s="98"/>
      <c r="O28" s="98"/>
    </row>
    <row r="29" spans="1:15" s="93" customFormat="1" x14ac:dyDescent="0.2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</row>
    <row r="30" spans="1:15" s="93" customFormat="1" x14ac:dyDescent="0.2">
      <c r="A30" s="315" t="s">
        <v>5</v>
      </c>
      <c r="B30" s="465"/>
      <c r="C30" s="465"/>
      <c r="D30" s="465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5" s="93" customFormat="1" x14ac:dyDescent="0.2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</row>
    <row r="32" spans="1:15" s="93" customFormat="1" x14ac:dyDescent="0.2">
      <c r="A32" s="316" t="s">
        <v>154</v>
      </c>
      <c r="B32" s="316" t="s">
        <v>422</v>
      </c>
      <c r="C32" s="316" t="s">
        <v>13</v>
      </c>
      <c r="D32" s="316" t="s">
        <v>408</v>
      </c>
      <c r="E32" s="316" t="s">
        <v>56</v>
      </c>
      <c r="F32" s="316" t="s">
        <v>57</v>
      </c>
      <c r="G32" s="316" t="s">
        <v>411</v>
      </c>
      <c r="H32" s="316" t="s">
        <v>412</v>
      </c>
      <c r="I32" s="316" t="s">
        <v>682</v>
      </c>
      <c r="J32" s="316" t="s">
        <v>683</v>
      </c>
      <c r="K32" s="316" t="s">
        <v>414</v>
      </c>
      <c r="L32" s="316" t="s">
        <v>415</v>
      </c>
      <c r="M32" s="316" t="s">
        <v>684</v>
      </c>
      <c r="N32" s="316" t="s">
        <v>6</v>
      </c>
      <c r="O32" s="316" t="s">
        <v>413</v>
      </c>
    </row>
    <row r="33" spans="1:19" s="93" customFormat="1" x14ac:dyDescent="0.2">
      <c r="A33" s="289" t="s">
        <v>681</v>
      </c>
      <c r="B33" s="289">
        <v>1111</v>
      </c>
      <c r="C33" s="317">
        <v>40858</v>
      </c>
      <c r="D33" s="318">
        <v>61910.5</v>
      </c>
      <c r="E33" s="318">
        <f>'FINAL COST COMPUTATION'!F6-'FINAL COST COMPUTATION'!G6</f>
        <v>1238.2099999999991</v>
      </c>
      <c r="F33" s="318">
        <f>'FINAL COST COMPUTATION'!G6-'FINAL COST COMPUTATION'!H6</f>
        <v>1213.4500000000044</v>
      </c>
      <c r="G33" s="318">
        <f>'FINAL COST COMPUTATION'!H6-'FINAL COST COMPUTATION'!I6</f>
        <v>1189.179999999993</v>
      </c>
      <c r="H33" s="318">
        <f>'FINAL COST COMPUTATION'!I6-'FINAL COST COMPUTATION'!J6</f>
        <v>1165.3900000000067</v>
      </c>
      <c r="I33" s="318">
        <f>'FINAL COST COMPUTATION'!J6-'FINAL COST COMPUTATION'!K6</f>
        <v>1142.0899999999965</v>
      </c>
      <c r="J33" s="318">
        <f>'FINAL COST COMPUTATION'!K6-'FINAL COST COMPUTATION'!L6</f>
        <v>559.62999999999738</v>
      </c>
      <c r="K33" s="318">
        <f>'FINAL COST COMPUTATION'!L6-'FINAL COST COMPUTATION'!M6</f>
        <v>415.51000000000204</v>
      </c>
      <c r="L33" s="318">
        <f>SUM(E33:K33)</f>
        <v>6923.4599999999991</v>
      </c>
      <c r="M33" s="318">
        <f>'FINAL COST COMPUTATION'!O12</f>
        <v>6598.4499999999971</v>
      </c>
      <c r="N33" s="318">
        <f>'FINAL COST COMPUTATION'!O13</f>
        <v>560</v>
      </c>
      <c r="O33" s="318">
        <f>D33-L33+M33+N33</f>
        <v>62145.49</v>
      </c>
      <c r="P33" s="273"/>
    </row>
    <row r="34" spans="1:19" s="93" customFormat="1" x14ac:dyDescent="0.2">
      <c r="A34" s="289"/>
      <c r="B34" s="289"/>
      <c r="C34" s="289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Q34" s="98" t="s">
        <v>724</v>
      </c>
      <c r="R34" s="98"/>
      <c r="S34" s="98"/>
    </row>
    <row r="35" spans="1:19" s="93" customFormat="1" x14ac:dyDescent="0.2">
      <c r="A35" s="466" t="s">
        <v>685</v>
      </c>
      <c r="B35" s="467"/>
      <c r="C35" s="467"/>
      <c r="D35" s="467"/>
      <c r="E35" s="46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Q35" s="98" t="s">
        <v>723</v>
      </c>
      <c r="R35" s="98"/>
      <c r="S35" s="98"/>
    </row>
    <row r="36" spans="1:19" s="93" customFormat="1" x14ac:dyDescent="0.2">
      <c r="A36" s="469"/>
      <c r="B36" s="470"/>
      <c r="C36" s="470"/>
      <c r="D36" s="470"/>
      <c r="E36" s="471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Q36" s="98" t="s">
        <v>725</v>
      </c>
      <c r="R36" s="98"/>
      <c r="S36" s="98"/>
    </row>
    <row r="37" spans="1:19" s="93" customFormat="1" x14ac:dyDescent="0.2">
      <c r="A37" s="472"/>
      <c r="B37" s="473"/>
      <c r="C37" s="473"/>
      <c r="D37" s="473"/>
      <c r="E37" s="474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Q37" s="98"/>
      <c r="R37" s="98"/>
      <c r="S37" s="98"/>
    </row>
    <row r="38" spans="1:19" s="93" customFormat="1" x14ac:dyDescent="0.2">
      <c r="A38" s="289"/>
      <c r="B38" s="289"/>
      <c r="C38" s="289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Q38" s="98" t="s">
        <v>726</v>
      </c>
      <c r="R38" s="98"/>
      <c r="S38" s="98"/>
    </row>
    <row r="39" spans="1:19" s="93" customFormat="1" x14ac:dyDescent="0.2">
      <c r="A39" s="289"/>
      <c r="B39" s="289"/>
      <c r="C39" s="289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</row>
    <row r="40" spans="1:19" s="93" customFormat="1" x14ac:dyDescent="0.2">
      <c r="A40" s="289"/>
      <c r="B40" s="289"/>
      <c r="C40" s="289"/>
      <c r="D40" s="318"/>
      <c r="E40" s="318"/>
      <c r="F40" s="318"/>
      <c r="G40" s="318"/>
      <c r="H40" s="318"/>
      <c r="I40" s="318"/>
      <c r="J40" s="318"/>
      <c r="K40" s="318"/>
      <c r="L40" s="318"/>
      <c r="M40" s="318"/>
      <c r="N40" s="318"/>
      <c r="O40" s="318"/>
    </row>
    <row r="41" spans="1:19" s="93" customFormat="1" x14ac:dyDescent="0.2">
      <c r="A41" s="289"/>
      <c r="B41" s="289"/>
      <c r="C41" s="289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</row>
    <row r="42" spans="1:19" s="93" customFormat="1" x14ac:dyDescent="0.2">
      <c r="A42" s="289"/>
      <c r="B42" s="289"/>
      <c r="C42" s="289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</row>
    <row r="43" spans="1:19" s="93" customFormat="1" x14ac:dyDescent="0.2">
      <c r="A43" s="98"/>
      <c r="B43" s="98"/>
      <c r="C43" s="98"/>
      <c r="D43" s="319"/>
      <c r="E43" s="319"/>
      <c r="F43" s="319"/>
      <c r="G43" s="319"/>
      <c r="H43" s="319"/>
      <c r="I43" s="319"/>
      <c r="J43" s="319"/>
      <c r="K43" s="319"/>
      <c r="L43" s="98"/>
      <c r="M43" s="98"/>
      <c r="N43" s="98"/>
      <c r="O43" s="98"/>
    </row>
    <row r="44" spans="1:19" s="93" customFormat="1" ht="16" thickBot="1" x14ac:dyDescent="0.25">
      <c r="A44" s="98"/>
      <c r="B44" s="98"/>
      <c r="C44" s="98"/>
      <c r="D44" s="320" t="s">
        <v>122</v>
      </c>
      <c r="E44" s="321"/>
      <c r="F44" s="321"/>
      <c r="G44" s="321"/>
      <c r="H44" s="321"/>
      <c r="I44" s="321"/>
      <c r="J44" s="321"/>
      <c r="K44" s="321"/>
      <c r="L44" s="98"/>
      <c r="M44" s="98"/>
      <c r="N44" s="98"/>
      <c r="O44" s="98"/>
    </row>
    <row r="45" spans="1:19" s="225" customFormat="1" ht="16" thickTop="1" x14ac:dyDescent="0.2">
      <c r="D45" s="260"/>
      <c r="E45" s="224"/>
      <c r="F45" s="224"/>
      <c r="G45" s="224"/>
      <c r="H45" s="224"/>
      <c r="I45" s="224"/>
      <c r="J45" s="224"/>
      <c r="K45" s="224"/>
    </row>
    <row r="46" spans="1:19" x14ac:dyDescent="0.2">
      <c r="A46" s="284" t="s">
        <v>664</v>
      </c>
    </row>
    <row r="47" spans="1:19" x14ac:dyDescent="0.2">
      <c r="A47" s="285" t="s">
        <v>689</v>
      </c>
    </row>
    <row r="48" spans="1:19" x14ac:dyDescent="0.2">
      <c r="A48" s="286" t="s">
        <v>197</v>
      </c>
    </row>
    <row r="49" spans="1:11" x14ac:dyDescent="0.2">
      <c r="A49" s="287"/>
    </row>
    <row r="50" spans="1:11" x14ac:dyDescent="0.2">
      <c r="A50" s="287"/>
    </row>
    <row r="51" spans="1:11" x14ac:dyDescent="0.2">
      <c r="A51" s="287"/>
    </row>
    <row r="53" spans="1:11" s="93" customFormat="1" x14ac:dyDescent="0.2">
      <c r="A53" s="128" t="s">
        <v>231</v>
      </c>
      <c r="B53" s="128"/>
      <c r="D53" s="93" t="s">
        <v>654</v>
      </c>
    </row>
    <row r="54" spans="1:11" s="93" customFormat="1" x14ac:dyDescent="0.2">
      <c r="A54" s="129" t="s">
        <v>381</v>
      </c>
      <c r="B54" s="128"/>
      <c r="D54" s="93" t="s">
        <v>655</v>
      </c>
    </row>
    <row r="55" spans="1:11" s="93" customFormat="1" x14ac:dyDescent="0.2"/>
    <row r="56" spans="1:11" s="93" customFormat="1" x14ac:dyDescent="0.2"/>
    <row r="57" spans="1:11" s="93" customFormat="1" x14ac:dyDescent="0.2">
      <c r="A57" s="94" t="s">
        <v>406</v>
      </c>
      <c r="B57" s="94"/>
      <c r="C57" s="94"/>
      <c r="D57" s="94"/>
      <c r="E57" s="94"/>
      <c r="G57" s="94" t="s">
        <v>774</v>
      </c>
      <c r="H57" s="94"/>
      <c r="I57" s="94"/>
      <c r="J57" s="94"/>
      <c r="K57" s="94"/>
    </row>
    <row r="58" spans="1:11" s="93" customFormat="1" x14ac:dyDescent="0.2">
      <c r="A58" s="94"/>
      <c r="B58" s="94" t="s">
        <v>407</v>
      </c>
      <c r="C58" s="94"/>
      <c r="D58" s="94"/>
      <c r="E58" s="94"/>
      <c r="G58" s="98" t="s">
        <v>643</v>
      </c>
    </row>
    <row r="59" spans="1:11" s="93" customFormat="1" x14ac:dyDescent="0.2">
      <c r="G59" s="98" t="s">
        <v>644</v>
      </c>
    </row>
    <row r="60" spans="1:11" s="93" customFormat="1" x14ac:dyDescent="0.2">
      <c r="G60" s="98" t="s">
        <v>653</v>
      </c>
    </row>
    <row r="61" spans="1:11" s="93" customFormat="1" x14ac:dyDescent="0.2"/>
    <row r="62" spans="1:11" s="93" customFormat="1" x14ac:dyDescent="0.2"/>
    <row r="63" spans="1:11" s="93" customFormat="1" x14ac:dyDescent="0.2"/>
    <row r="64" spans="1:11" s="93" customFormat="1" x14ac:dyDescent="0.2"/>
    <row r="65" spans="1:8" s="93" customFormat="1" x14ac:dyDescent="0.2"/>
    <row r="66" spans="1:8" s="93" customFormat="1" x14ac:dyDescent="0.2">
      <c r="A66" s="96" t="s">
        <v>646</v>
      </c>
      <c r="B66" s="94"/>
      <c r="C66" s="94"/>
      <c r="D66" s="94"/>
      <c r="E66" s="94"/>
      <c r="F66" s="94"/>
      <c r="H66" s="94" t="s">
        <v>775</v>
      </c>
    </row>
    <row r="67" spans="1:8" s="93" customFormat="1" x14ac:dyDescent="0.2">
      <c r="A67" s="94" t="s">
        <v>647</v>
      </c>
      <c r="B67" s="94" t="s">
        <v>16</v>
      </c>
      <c r="C67" s="94" t="s">
        <v>10</v>
      </c>
      <c r="D67" s="94" t="s">
        <v>168</v>
      </c>
      <c r="E67" s="94" t="s">
        <v>21</v>
      </c>
      <c r="F67" s="94"/>
      <c r="H67" s="94" t="s">
        <v>776</v>
      </c>
    </row>
    <row r="68" spans="1:8" s="93" customFormat="1" x14ac:dyDescent="0.2">
      <c r="A68" s="94"/>
      <c r="B68" s="94"/>
      <c r="C68" s="94"/>
      <c r="D68" s="94"/>
      <c r="E68" s="94"/>
      <c r="F68" s="94"/>
      <c r="H68" s="94" t="s">
        <v>777</v>
      </c>
    </row>
    <row r="69" spans="1:8" s="93" customFormat="1" x14ac:dyDescent="0.2">
      <c r="A69" s="94" t="s">
        <v>648</v>
      </c>
      <c r="B69" s="94" t="s">
        <v>649</v>
      </c>
      <c r="C69" s="94"/>
      <c r="D69" s="94"/>
      <c r="E69" s="94" t="s">
        <v>461</v>
      </c>
      <c r="F69" s="94"/>
      <c r="H69" s="94" t="s">
        <v>778</v>
      </c>
    </row>
    <row r="70" spans="1:8" s="93" customFormat="1" x14ac:dyDescent="0.2">
      <c r="A70" s="94"/>
      <c r="B70" s="94"/>
      <c r="C70" s="94" t="s">
        <v>650</v>
      </c>
      <c r="D70" s="94"/>
      <c r="E70" s="94"/>
      <c r="F70" s="94" t="s">
        <v>461</v>
      </c>
      <c r="H70" s="94" t="s">
        <v>779</v>
      </c>
    </row>
    <row r="71" spans="1:8" s="93" customFormat="1" x14ac:dyDescent="0.2"/>
    <row r="73" spans="1:8" x14ac:dyDescent="0.2">
      <c r="A73" s="111" t="s">
        <v>659</v>
      </c>
    </row>
    <row r="74" spans="1:8" x14ac:dyDescent="0.2">
      <c r="A74" s="96" t="s">
        <v>614</v>
      </c>
      <c r="B74" s="94"/>
      <c r="C74" s="94"/>
      <c r="D74" s="94"/>
      <c r="E74" s="94"/>
    </row>
    <row r="75" spans="1:8" x14ac:dyDescent="0.2">
      <c r="A75" s="98" t="s">
        <v>15</v>
      </c>
      <c r="B75" s="94"/>
      <c r="C75" s="94"/>
      <c r="D75" s="94"/>
      <c r="E75" s="94"/>
    </row>
    <row r="76" spans="1:8" x14ac:dyDescent="0.2">
      <c r="A76" s="98" t="s">
        <v>117</v>
      </c>
      <c r="B76" s="94"/>
      <c r="C76" s="94"/>
      <c r="D76" s="94"/>
      <c r="E76" s="94"/>
    </row>
    <row r="77" spans="1:8" x14ac:dyDescent="0.2">
      <c r="A77" s="98" t="s">
        <v>160</v>
      </c>
      <c r="B77" s="94"/>
      <c r="C77" s="94"/>
      <c r="D77" s="94"/>
      <c r="E77" s="94"/>
    </row>
    <row r="78" spans="1:8" x14ac:dyDescent="0.2">
      <c r="A78" s="94"/>
      <c r="B78" s="94"/>
      <c r="C78" s="94" t="s">
        <v>670</v>
      </c>
      <c r="D78" s="268" t="s">
        <v>657</v>
      </c>
      <c r="E78" s="268" t="s">
        <v>627</v>
      </c>
    </row>
    <row r="79" spans="1:8" x14ac:dyDescent="0.2">
      <c r="A79" s="94" t="s">
        <v>622</v>
      </c>
      <c r="B79" s="94"/>
      <c r="C79" s="128"/>
      <c r="D79" s="94">
        <v>60</v>
      </c>
      <c r="E79" s="94">
        <f>D85</f>
        <v>90</v>
      </c>
    </row>
    <row r="80" spans="1:8" x14ac:dyDescent="0.2">
      <c r="A80" s="94"/>
      <c r="B80" s="94"/>
      <c r="C80" s="94"/>
      <c r="D80" s="94"/>
      <c r="E80" s="94"/>
    </row>
    <row r="81" spans="1:6" x14ac:dyDescent="0.2">
      <c r="A81" s="94" t="s">
        <v>623</v>
      </c>
      <c r="B81" s="94" t="s">
        <v>628</v>
      </c>
      <c r="C81" s="94"/>
      <c r="D81" s="94">
        <f>D79</f>
        <v>60</v>
      </c>
      <c r="E81" s="94">
        <f>E79</f>
        <v>90</v>
      </c>
    </row>
    <row r="82" spans="1:6" x14ac:dyDescent="0.2">
      <c r="A82" s="94"/>
      <c r="B82" s="94" t="s">
        <v>617</v>
      </c>
      <c r="C82" s="94"/>
      <c r="D82" s="94">
        <v>80</v>
      </c>
      <c r="E82" s="94">
        <v>100</v>
      </c>
    </row>
    <row r="83" spans="1:6" x14ac:dyDescent="0.2">
      <c r="A83" s="94"/>
      <c r="B83" s="94" t="s">
        <v>618</v>
      </c>
      <c r="C83" s="94"/>
      <c r="D83" s="94">
        <v>40</v>
      </c>
      <c r="E83" s="94">
        <v>0</v>
      </c>
    </row>
    <row r="84" spans="1:6" x14ac:dyDescent="0.2">
      <c r="A84" s="94"/>
      <c r="B84" s="94" t="s">
        <v>619</v>
      </c>
      <c r="C84" s="94"/>
      <c r="D84" s="94">
        <v>10</v>
      </c>
      <c r="E84" s="94">
        <v>0</v>
      </c>
    </row>
    <row r="85" spans="1:6" x14ac:dyDescent="0.2">
      <c r="A85" s="94"/>
      <c r="B85" s="94"/>
      <c r="C85" s="94"/>
      <c r="D85" s="269">
        <f>D81+D82-D83-D84</f>
        <v>90</v>
      </c>
      <c r="E85" s="269">
        <f>E81+E82-E83-E84</f>
        <v>190</v>
      </c>
    </row>
    <row r="88" spans="1:6" x14ac:dyDescent="0.2">
      <c r="A88" s="96" t="s">
        <v>519</v>
      </c>
      <c r="B88" s="94"/>
      <c r="C88" s="94"/>
      <c r="D88" s="94"/>
      <c r="E88" s="94"/>
      <c r="F88" s="93"/>
    </row>
    <row r="89" spans="1:6" x14ac:dyDescent="0.2">
      <c r="A89" s="94" t="s">
        <v>15</v>
      </c>
      <c r="B89" s="94"/>
      <c r="C89" s="94"/>
      <c r="D89" s="94"/>
      <c r="E89" s="94"/>
      <c r="F89" s="93"/>
    </row>
    <row r="90" spans="1:6" x14ac:dyDescent="0.2">
      <c r="A90" s="94" t="s">
        <v>539</v>
      </c>
      <c r="B90" s="94"/>
      <c r="C90" s="94"/>
      <c r="D90" s="94"/>
      <c r="E90" s="94"/>
      <c r="F90" s="93"/>
    </row>
    <row r="91" spans="1:6" x14ac:dyDescent="0.2">
      <c r="A91" s="94"/>
      <c r="B91" s="94"/>
      <c r="C91" s="94"/>
      <c r="D91" s="94"/>
      <c r="E91" s="94"/>
      <c r="F91" s="93"/>
    </row>
    <row r="92" spans="1:6" x14ac:dyDescent="0.2">
      <c r="A92" s="94"/>
      <c r="B92" s="94"/>
      <c r="C92" s="94"/>
      <c r="D92" s="94"/>
      <c r="E92" s="94"/>
      <c r="F92" s="93"/>
    </row>
    <row r="93" spans="1:6" x14ac:dyDescent="0.2">
      <c r="A93" s="94" t="s">
        <v>965</v>
      </c>
      <c r="B93" s="94" t="s">
        <v>966</v>
      </c>
      <c r="C93" s="94"/>
      <c r="D93" s="94"/>
      <c r="E93" s="94"/>
      <c r="F93" s="93"/>
    </row>
    <row r="94" spans="1:6" x14ac:dyDescent="0.2">
      <c r="A94" s="94" t="s">
        <v>964</v>
      </c>
      <c r="B94" s="94"/>
      <c r="C94" s="94"/>
      <c r="D94" s="94"/>
      <c r="E94" s="94"/>
      <c r="F94" s="93"/>
    </row>
    <row r="95" spans="1:6" x14ac:dyDescent="0.2">
      <c r="A95" s="94" t="s">
        <v>5</v>
      </c>
      <c r="B95" s="94"/>
      <c r="C95" s="94" t="s">
        <v>670</v>
      </c>
      <c r="D95" s="268" t="s">
        <v>626</v>
      </c>
      <c r="E95" s="268" t="s">
        <v>627</v>
      </c>
    </row>
    <row r="96" spans="1:6" x14ac:dyDescent="0.2">
      <c r="A96" s="94" t="s">
        <v>621</v>
      </c>
      <c r="B96" s="94"/>
      <c r="C96" s="128"/>
      <c r="D96" s="94">
        <v>100</v>
      </c>
      <c r="E96" s="94">
        <f>D102</f>
        <v>155</v>
      </c>
    </row>
    <row r="97" spans="1:5" x14ac:dyDescent="0.2">
      <c r="A97" s="94"/>
      <c r="B97" s="94"/>
      <c r="C97" s="94"/>
      <c r="D97" s="94"/>
      <c r="E97" s="94"/>
    </row>
    <row r="98" spans="1:5" x14ac:dyDescent="0.2">
      <c r="A98" s="94" t="s">
        <v>620</v>
      </c>
      <c r="B98" s="94" t="s">
        <v>624</v>
      </c>
      <c r="C98" s="94"/>
      <c r="D98" s="94">
        <f>D96</f>
        <v>100</v>
      </c>
      <c r="E98" s="94">
        <f>E96</f>
        <v>155</v>
      </c>
    </row>
    <row r="99" spans="1:5" x14ac:dyDescent="0.2">
      <c r="A99" s="94"/>
      <c r="B99" s="94" t="s">
        <v>625</v>
      </c>
      <c r="C99" s="94"/>
      <c r="D99" s="94">
        <v>85</v>
      </c>
      <c r="E99" s="94">
        <v>50</v>
      </c>
    </row>
    <row r="100" spans="1:5" x14ac:dyDescent="0.2">
      <c r="A100" s="94"/>
      <c r="B100" s="94" t="s">
        <v>540</v>
      </c>
      <c r="C100" s="94"/>
      <c r="D100" s="94">
        <v>25</v>
      </c>
      <c r="E100" s="94">
        <v>0</v>
      </c>
    </row>
    <row r="101" spans="1:5" x14ac:dyDescent="0.2">
      <c r="A101" s="94"/>
      <c r="B101" s="94" t="s">
        <v>541</v>
      </c>
      <c r="C101" s="94"/>
      <c r="D101" s="270">
        <v>5</v>
      </c>
      <c r="E101" s="94">
        <v>0</v>
      </c>
    </row>
    <row r="102" spans="1:5" x14ac:dyDescent="0.2">
      <c r="A102" s="94"/>
      <c r="B102" s="94" t="s">
        <v>620</v>
      </c>
      <c r="C102" s="94"/>
      <c r="D102" s="269">
        <f>D98+D99-D100-D101</f>
        <v>155</v>
      </c>
      <c r="E102" s="269">
        <f>E98+E99-E100-E101</f>
        <v>205</v>
      </c>
    </row>
    <row r="105" spans="1:5" x14ac:dyDescent="0.2">
      <c r="A105" s="283" t="s">
        <v>713</v>
      </c>
      <c r="B105" s="98"/>
      <c r="C105" s="98"/>
      <c r="D105" s="98"/>
      <c r="E105" s="98"/>
    </row>
    <row r="106" spans="1:5" x14ac:dyDescent="0.2">
      <c r="A106" s="98" t="s">
        <v>714</v>
      </c>
      <c r="B106" s="98"/>
      <c r="C106" s="98"/>
      <c r="D106" s="98"/>
      <c r="E106" s="98"/>
    </row>
    <row r="107" spans="1:5" x14ac:dyDescent="0.2">
      <c r="A107" s="98" t="s">
        <v>15</v>
      </c>
      <c r="B107" s="98"/>
      <c r="C107" s="98"/>
      <c r="D107" s="98"/>
      <c r="E107" s="98"/>
    </row>
    <row r="108" spans="1:5" x14ac:dyDescent="0.2">
      <c r="A108" s="98" t="s">
        <v>117</v>
      </c>
      <c r="B108" s="98"/>
      <c r="C108" s="98"/>
      <c r="D108" s="98"/>
      <c r="E108" s="98"/>
    </row>
    <row r="109" spans="1:5" x14ac:dyDescent="0.2">
      <c r="A109" s="98" t="s">
        <v>160</v>
      </c>
      <c r="B109" s="98"/>
      <c r="C109" s="98"/>
      <c r="D109" s="98"/>
      <c r="E109" s="98"/>
    </row>
    <row r="110" spans="1:5" x14ac:dyDescent="0.2">
      <c r="A110" s="98" t="s">
        <v>733</v>
      </c>
      <c r="B110" s="412" t="s">
        <v>967</v>
      </c>
      <c r="C110" s="98"/>
      <c r="D110" s="98"/>
      <c r="E110" s="98"/>
    </row>
    <row r="111" spans="1:5" x14ac:dyDescent="0.2">
      <c r="A111" s="98" t="s">
        <v>963</v>
      </c>
      <c r="B111" s="98"/>
      <c r="C111" s="98"/>
      <c r="D111" s="98"/>
      <c r="E111" s="98"/>
    </row>
    <row r="112" spans="1:5" x14ac:dyDescent="0.2">
      <c r="A112" s="98" t="s">
        <v>964</v>
      </c>
      <c r="B112" s="98"/>
      <c r="C112" s="98"/>
      <c r="D112" s="98"/>
      <c r="E112" s="98"/>
    </row>
    <row r="113" spans="1:5" x14ac:dyDescent="0.2">
      <c r="A113" s="98"/>
      <c r="B113" s="98"/>
      <c r="C113" s="98"/>
      <c r="D113" s="98"/>
      <c r="E113" s="98"/>
    </row>
    <row r="114" spans="1:5" x14ac:dyDescent="0.2">
      <c r="A114" s="98" t="s">
        <v>715</v>
      </c>
      <c r="B114" s="98"/>
      <c r="C114" s="98"/>
      <c r="D114" s="98"/>
      <c r="E114" s="98"/>
    </row>
    <row r="115" spans="1:5" x14ac:dyDescent="0.2">
      <c r="A115" s="98" t="s">
        <v>716</v>
      </c>
      <c r="B115" s="98"/>
      <c r="C115" s="98"/>
      <c r="D115" s="98"/>
      <c r="E115" s="98"/>
    </row>
    <row r="116" spans="1:5" x14ac:dyDescent="0.2">
      <c r="A116" s="342" t="s">
        <v>717</v>
      </c>
      <c r="B116" s="98"/>
      <c r="C116" s="98"/>
      <c r="D116" s="98"/>
      <c r="E116" s="98"/>
    </row>
    <row r="117" spans="1:5" x14ac:dyDescent="0.2">
      <c r="A117" s="98" t="s">
        <v>732</v>
      </c>
      <c r="B117" s="98"/>
      <c r="C117" s="98"/>
      <c r="D117" s="98"/>
      <c r="E117" s="98"/>
    </row>
    <row r="118" spans="1:5" x14ac:dyDescent="0.2">
      <c r="A118" s="94"/>
      <c r="B118" s="94"/>
      <c r="C118" s="94"/>
      <c r="D118" s="94"/>
      <c r="E118" s="94"/>
    </row>
    <row r="119" spans="1:5" x14ac:dyDescent="0.2">
      <c r="A119" s="94"/>
      <c r="B119" s="94"/>
      <c r="C119" s="94" t="s">
        <v>670</v>
      </c>
      <c r="D119" s="268" t="s">
        <v>626</v>
      </c>
      <c r="E119" s="268" t="s">
        <v>627</v>
      </c>
    </row>
    <row r="120" spans="1:5" x14ac:dyDescent="0.2">
      <c r="A120" s="94" t="s">
        <v>621</v>
      </c>
      <c r="B120" s="94"/>
      <c r="C120" s="128"/>
      <c r="D120" s="94">
        <v>100</v>
      </c>
      <c r="E120" s="94">
        <f>D126</f>
        <v>155</v>
      </c>
    </row>
    <row r="121" spans="1:5" x14ac:dyDescent="0.2">
      <c r="A121" s="94"/>
      <c r="B121" s="94"/>
      <c r="C121" s="94"/>
      <c r="D121" s="94"/>
      <c r="E121" s="94"/>
    </row>
    <row r="122" spans="1:5" x14ac:dyDescent="0.2">
      <c r="A122" s="94" t="s">
        <v>620</v>
      </c>
      <c r="B122" s="94" t="s">
        <v>624</v>
      </c>
      <c r="C122" s="94"/>
      <c r="D122" s="94">
        <f>D120</f>
        <v>100</v>
      </c>
      <c r="E122" s="94">
        <f>E120</f>
        <v>155</v>
      </c>
    </row>
    <row r="123" spans="1:5" x14ac:dyDescent="0.2">
      <c r="A123" s="94"/>
      <c r="B123" s="94" t="s">
        <v>625</v>
      </c>
      <c r="C123" s="94"/>
      <c r="D123" s="94">
        <v>85</v>
      </c>
      <c r="E123" s="94">
        <v>50</v>
      </c>
    </row>
    <row r="124" spans="1:5" x14ac:dyDescent="0.2">
      <c r="A124" s="94"/>
      <c r="B124" s="94" t="s">
        <v>540</v>
      </c>
      <c r="C124" s="94"/>
      <c r="D124" s="94">
        <v>25</v>
      </c>
      <c r="E124" s="94">
        <v>0</v>
      </c>
    </row>
    <row r="125" spans="1:5" x14ac:dyDescent="0.2">
      <c r="A125" s="94"/>
      <c r="B125" s="94" t="s">
        <v>541</v>
      </c>
      <c r="C125" s="94"/>
      <c r="D125" s="270">
        <v>5</v>
      </c>
      <c r="E125" s="94">
        <v>0</v>
      </c>
    </row>
    <row r="126" spans="1:5" x14ac:dyDescent="0.2">
      <c r="A126" s="94"/>
      <c r="B126" s="94" t="s">
        <v>620</v>
      </c>
      <c r="C126" s="94"/>
      <c r="D126" s="269">
        <f>D122+D123-D124-D125</f>
        <v>155</v>
      </c>
      <c r="E126" s="269">
        <f>E122+E123-E124-E125</f>
        <v>205</v>
      </c>
    </row>
    <row r="128" spans="1:5" x14ac:dyDescent="0.2">
      <c r="A128" t="s">
        <v>455</v>
      </c>
    </row>
    <row r="129" spans="1:1" x14ac:dyDescent="0.2">
      <c r="A129" t="s">
        <v>768</v>
      </c>
    </row>
    <row r="130" spans="1:1" x14ac:dyDescent="0.2">
      <c r="A130" t="s">
        <v>769</v>
      </c>
    </row>
    <row r="131" spans="1:1" x14ac:dyDescent="0.2">
      <c r="A131" s="34" t="s">
        <v>770</v>
      </c>
    </row>
    <row r="133" spans="1:1" x14ac:dyDescent="0.2">
      <c r="A133" t="s">
        <v>771</v>
      </c>
    </row>
    <row r="134" spans="1:1" x14ac:dyDescent="0.2">
      <c r="A134" t="s">
        <v>772</v>
      </c>
    </row>
  </sheetData>
  <mergeCells count="5">
    <mergeCell ref="A27:J27"/>
    <mergeCell ref="E28:H28"/>
    <mergeCell ref="B30:D30"/>
    <mergeCell ref="A35:E37"/>
    <mergeCell ref="C11:D11"/>
  </mergeCells>
  <hyperlinks>
    <hyperlink ref="A48" location="'FINAL COST COMPUTATION'!A18" display="CHAMPION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7"/>
  <sheetViews>
    <sheetView topLeftCell="A123" zoomScale="130" zoomScaleNormal="130" workbookViewId="0">
      <selection activeCell="H43" sqref="H43"/>
    </sheetView>
  </sheetViews>
  <sheetFormatPr baseColWidth="10" defaultColWidth="10.83203125" defaultRowHeight="15" x14ac:dyDescent="0.2"/>
  <cols>
    <col min="1" max="1" width="17.6640625" style="93" customWidth="1"/>
    <col min="2" max="2" width="10.83203125" style="93"/>
    <col min="3" max="3" width="14.33203125" style="93" customWidth="1"/>
    <col min="4" max="4" width="14.1640625" style="93" bestFit="1" customWidth="1"/>
    <col min="5" max="5" width="15.33203125" style="93" customWidth="1"/>
    <col min="6" max="7" width="10.83203125" style="93"/>
    <col min="8" max="8" width="16.5" style="93" bestFit="1" customWidth="1"/>
    <col min="9" max="9" width="20" style="93" customWidth="1"/>
    <col min="10" max="11" width="16.5" style="93" bestFit="1" customWidth="1"/>
    <col min="12" max="17" width="10.83203125" style="93"/>
    <col min="18" max="18" width="27" style="93" bestFit="1" customWidth="1"/>
    <col min="19" max="20" width="10.83203125" style="93"/>
    <col min="21" max="21" width="15.1640625" style="93" bestFit="1" customWidth="1"/>
    <col min="22" max="16384" width="10.83203125" style="93"/>
  </cols>
  <sheetData>
    <row r="1" spans="1:15" x14ac:dyDescent="0.2">
      <c r="A1" s="130" t="s">
        <v>326</v>
      </c>
    </row>
    <row r="3" spans="1:15" ht="18" x14ac:dyDescent="0.25">
      <c r="A3" s="478" t="s">
        <v>404</v>
      </c>
      <c r="B3" s="478"/>
      <c r="C3" s="478"/>
      <c r="D3" s="478"/>
      <c r="E3" s="478"/>
      <c r="F3" s="478"/>
      <c r="G3" s="478"/>
      <c r="H3" s="225"/>
      <c r="I3" s="478" t="s">
        <v>405</v>
      </c>
      <c r="J3" s="478"/>
      <c r="K3" s="478"/>
      <c r="L3" s="478"/>
      <c r="M3" s="478"/>
      <c r="N3" s="478"/>
      <c r="O3" s="478"/>
    </row>
    <row r="4" spans="1:15" x14ac:dyDescent="0.2">
      <c r="A4" s="45" t="s">
        <v>316</v>
      </c>
      <c r="B4" s="45"/>
      <c r="C4" s="122"/>
      <c r="D4" s="122"/>
      <c r="E4" s="45"/>
      <c r="F4" s="122"/>
      <c r="G4" s="122"/>
      <c r="H4" s="225"/>
      <c r="I4" s="45" t="s">
        <v>316</v>
      </c>
      <c r="J4" s="45"/>
      <c r="K4" s="122"/>
      <c r="L4" s="122"/>
      <c r="M4" s="45"/>
      <c r="N4" s="122"/>
      <c r="O4" s="122"/>
    </row>
    <row r="5" spans="1:15" x14ac:dyDescent="0.2">
      <c r="A5" s="45"/>
      <c r="B5" s="477" t="s">
        <v>40</v>
      </c>
      <c r="C5" s="477"/>
      <c r="D5" s="477"/>
      <c r="E5" s="477" t="s">
        <v>319</v>
      </c>
      <c r="F5" s="477"/>
      <c r="G5" s="477"/>
      <c r="H5" s="225"/>
      <c r="I5" s="45"/>
      <c r="J5" s="477" t="s">
        <v>319</v>
      </c>
      <c r="K5" s="477"/>
      <c r="L5" s="477"/>
      <c r="M5" s="477" t="s">
        <v>40</v>
      </c>
      <c r="N5" s="477"/>
      <c r="O5" s="477"/>
    </row>
    <row r="6" spans="1:15" x14ac:dyDescent="0.2">
      <c r="A6" s="45"/>
      <c r="B6" s="123" t="s">
        <v>317</v>
      </c>
      <c r="C6" s="124" t="s">
        <v>168</v>
      </c>
      <c r="D6" s="124" t="s">
        <v>318</v>
      </c>
      <c r="E6" s="123" t="s">
        <v>320</v>
      </c>
      <c r="F6" s="124" t="s">
        <v>168</v>
      </c>
      <c r="G6" s="124" t="s">
        <v>318</v>
      </c>
      <c r="H6" s="225"/>
      <c r="I6" s="45"/>
      <c r="J6" s="123" t="s">
        <v>320</v>
      </c>
      <c r="K6" s="124" t="s">
        <v>168</v>
      </c>
      <c r="L6" s="124" t="s">
        <v>318</v>
      </c>
      <c r="M6" s="123" t="s">
        <v>317</v>
      </c>
      <c r="N6" s="124" t="s">
        <v>168</v>
      </c>
      <c r="O6" s="124" t="s">
        <v>318</v>
      </c>
    </row>
    <row r="7" spans="1:15" x14ac:dyDescent="0.2">
      <c r="A7" s="45"/>
      <c r="B7" s="125">
        <v>1</v>
      </c>
      <c r="C7" s="126">
        <v>11231.23</v>
      </c>
      <c r="D7" s="127">
        <f>B7*C7</f>
        <v>11231.23</v>
      </c>
      <c r="E7" s="125">
        <v>50</v>
      </c>
      <c r="F7" s="126">
        <f>D7/E7</f>
        <v>224.62459999999999</v>
      </c>
      <c r="G7" s="127">
        <f>E7*F7</f>
        <v>11231.23</v>
      </c>
      <c r="H7" s="225"/>
      <c r="I7" s="45"/>
      <c r="J7" s="125">
        <v>50</v>
      </c>
      <c r="K7" s="126">
        <f>F7</f>
        <v>224.62459999999999</v>
      </c>
      <c r="L7" s="127">
        <f>J7*K7</f>
        <v>11231.23</v>
      </c>
      <c r="M7" s="125">
        <v>1</v>
      </c>
      <c r="N7" s="126">
        <f>L7/M7</f>
        <v>11231.23</v>
      </c>
      <c r="O7" s="127">
        <f>M7*N7</f>
        <v>11231.23</v>
      </c>
    </row>
    <row r="8" spans="1:15" x14ac:dyDescent="0.2">
      <c r="A8" s="45"/>
      <c r="B8" s="45"/>
      <c r="C8" s="122"/>
      <c r="D8" s="122"/>
      <c r="E8" s="45"/>
      <c r="F8" s="122"/>
      <c r="G8" s="122"/>
      <c r="H8" s="225"/>
      <c r="I8" s="45"/>
      <c r="J8" s="45"/>
      <c r="K8" s="122"/>
      <c r="L8" s="122"/>
      <c r="M8" s="45"/>
      <c r="N8" s="122"/>
      <c r="O8" s="122"/>
    </row>
    <row r="9" spans="1:15" x14ac:dyDescent="0.2">
      <c r="A9" s="45" t="s">
        <v>393</v>
      </c>
      <c r="B9" s="45"/>
      <c r="C9" s="122"/>
      <c r="D9" s="122"/>
      <c r="E9" s="45"/>
      <c r="F9" s="122"/>
      <c r="G9" s="122"/>
      <c r="H9" s="225"/>
      <c r="I9" s="45" t="s">
        <v>393</v>
      </c>
      <c r="J9" s="45"/>
      <c r="K9" s="122"/>
      <c r="L9" s="122"/>
      <c r="M9" s="45"/>
      <c r="N9" s="122"/>
      <c r="O9" s="122"/>
    </row>
    <row r="10" spans="1:15" x14ac:dyDescent="0.2">
      <c r="A10" s="45"/>
      <c r="B10" s="477" t="s">
        <v>40</v>
      </c>
      <c r="C10" s="477"/>
      <c r="D10" s="477"/>
      <c r="E10" s="477" t="s">
        <v>319</v>
      </c>
      <c r="F10" s="477"/>
      <c r="G10" s="477"/>
      <c r="H10" s="225"/>
      <c r="I10" s="45"/>
      <c r="J10" s="477" t="s">
        <v>319</v>
      </c>
      <c r="K10" s="477"/>
      <c r="L10" s="477"/>
      <c r="M10" s="477" t="s">
        <v>40</v>
      </c>
      <c r="N10" s="477"/>
      <c r="O10" s="477"/>
    </row>
    <row r="11" spans="1:15" x14ac:dyDescent="0.2">
      <c r="A11" s="45"/>
      <c r="B11" s="123" t="s">
        <v>317</v>
      </c>
      <c r="C11" s="124" t="s">
        <v>49</v>
      </c>
      <c r="D11" s="124" t="s">
        <v>395</v>
      </c>
      <c r="E11" s="123" t="s">
        <v>320</v>
      </c>
      <c r="F11" s="124" t="s">
        <v>49</v>
      </c>
      <c r="G11" s="124" t="s">
        <v>395</v>
      </c>
      <c r="H11" s="225"/>
      <c r="I11" s="45"/>
      <c r="J11" s="123" t="s">
        <v>320</v>
      </c>
      <c r="K11" s="124" t="s">
        <v>49</v>
      </c>
      <c r="L11" s="124" t="s">
        <v>395</v>
      </c>
      <c r="M11" s="123" t="s">
        <v>317</v>
      </c>
      <c r="N11" s="124" t="s">
        <v>49</v>
      </c>
      <c r="O11" s="124" t="s">
        <v>395</v>
      </c>
    </row>
    <row r="12" spans="1:15" x14ac:dyDescent="0.2">
      <c r="A12" s="45"/>
      <c r="B12" s="125">
        <v>10</v>
      </c>
      <c r="C12" s="126">
        <v>10</v>
      </c>
      <c r="D12" s="127">
        <f>B12*C12</f>
        <v>100</v>
      </c>
      <c r="E12" s="125">
        <v>500</v>
      </c>
      <c r="F12" s="126">
        <f>D12/E12</f>
        <v>0.2</v>
      </c>
      <c r="G12" s="127">
        <f>E12*F12</f>
        <v>100</v>
      </c>
      <c r="H12" s="225"/>
      <c r="I12" s="45"/>
      <c r="J12" s="125">
        <v>10</v>
      </c>
      <c r="K12" s="126">
        <v>10</v>
      </c>
      <c r="L12" s="127">
        <f>J12*K12</f>
        <v>100</v>
      </c>
      <c r="M12" s="125">
        <v>500</v>
      </c>
      <c r="N12" s="126">
        <f>L12/M12</f>
        <v>0.2</v>
      </c>
      <c r="O12" s="127">
        <f>M12*N12</f>
        <v>100</v>
      </c>
    </row>
    <row r="13" spans="1:15" x14ac:dyDescent="0.2">
      <c r="A13" s="45"/>
      <c r="B13" s="45"/>
      <c r="C13" s="122"/>
      <c r="D13" s="122"/>
      <c r="E13" s="45"/>
      <c r="F13" s="122"/>
      <c r="G13" s="122"/>
      <c r="H13" s="225"/>
      <c r="I13" s="45"/>
      <c r="J13" s="45"/>
      <c r="K13" s="122"/>
      <c r="L13" s="122"/>
      <c r="M13" s="45"/>
      <c r="N13" s="122"/>
      <c r="O13" s="122"/>
    </row>
    <row r="14" spans="1:15" x14ac:dyDescent="0.2">
      <c r="A14" s="45" t="s">
        <v>394</v>
      </c>
      <c r="B14" s="45"/>
      <c r="C14" s="122"/>
      <c r="D14" s="122"/>
      <c r="E14" s="45"/>
      <c r="F14" s="122"/>
      <c r="G14" s="122"/>
      <c r="H14" s="225"/>
      <c r="I14" s="45" t="s">
        <v>394</v>
      </c>
      <c r="J14" s="45"/>
      <c r="K14" s="122"/>
      <c r="L14" s="122"/>
      <c r="M14" s="45"/>
      <c r="N14" s="122"/>
      <c r="O14" s="122"/>
    </row>
    <row r="15" spans="1:15" x14ac:dyDescent="0.2">
      <c r="A15" s="45"/>
      <c r="B15" s="477" t="s">
        <v>40</v>
      </c>
      <c r="C15" s="477"/>
      <c r="D15" s="477"/>
      <c r="E15" s="477" t="s">
        <v>319</v>
      </c>
      <c r="F15" s="477"/>
      <c r="G15" s="477"/>
      <c r="H15" s="225"/>
      <c r="I15" s="45"/>
      <c r="J15" s="477" t="s">
        <v>40</v>
      </c>
      <c r="K15" s="477"/>
      <c r="L15" s="477"/>
      <c r="M15" s="477" t="s">
        <v>319</v>
      </c>
      <c r="N15" s="477"/>
      <c r="O15" s="477"/>
    </row>
    <row r="16" spans="1:15" x14ac:dyDescent="0.2">
      <c r="A16" s="45"/>
      <c r="B16" s="123" t="s">
        <v>317</v>
      </c>
      <c r="C16" s="124" t="s">
        <v>50</v>
      </c>
      <c r="D16" s="124" t="s">
        <v>396</v>
      </c>
      <c r="E16" s="123" t="s">
        <v>320</v>
      </c>
      <c r="F16" s="124" t="s">
        <v>50</v>
      </c>
      <c r="G16" s="124" t="s">
        <v>396</v>
      </c>
      <c r="H16" s="225"/>
      <c r="I16" s="45"/>
      <c r="J16" s="123" t="s">
        <v>320</v>
      </c>
      <c r="K16" s="124" t="s">
        <v>50</v>
      </c>
      <c r="L16" s="124" t="s">
        <v>396</v>
      </c>
      <c r="M16" s="123" t="s">
        <v>317</v>
      </c>
      <c r="N16" s="124" t="s">
        <v>50</v>
      </c>
      <c r="O16" s="124" t="s">
        <v>396</v>
      </c>
    </row>
    <row r="17" spans="1:15" x14ac:dyDescent="0.2">
      <c r="A17" s="45"/>
      <c r="B17" s="125">
        <v>10</v>
      </c>
      <c r="C17" s="126">
        <v>10</v>
      </c>
      <c r="D17" s="127">
        <f>B17*C17</f>
        <v>100</v>
      </c>
      <c r="E17" s="125">
        <v>500</v>
      </c>
      <c r="F17" s="126">
        <f>D17/E17</f>
        <v>0.2</v>
      </c>
      <c r="G17" s="127">
        <f>E17*F17</f>
        <v>100</v>
      </c>
      <c r="H17" s="225"/>
      <c r="I17" s="45"/>
      <c r="J17" s="125">
        <v>10</v>
      </c>
      <c r="K17" s="126">
        <v>10</v>
      </c>
      <c r="L17" s="127">
        <f>J17*K17</f>
        <v>100</v>
      </c>
      <c r="M17" s="125">
        <v>500</v>
      </c>
      <c r="N17" s="126">
        <f>L17/M17</f>
        <v>0.2</v>
      </c>
      <c r="O17" s="127">
        <f>M17*N17</f>
        <v>100</v>
      </c>
    </row>
    <row r="18" spans="1:15" x14ac:dyDescent="0.2">
      <c r="A18" s="45"/>
      <c r="B18" s="45"/>
      <c r="C18" s="122"/>
      <c r="D18" s="122"/>
      <c r="E18" s="45"/>
      <c r="F18" s="122"/>
      <c r="G18" s="122"/>
      <c r="H18" s="225"/>
      <c r="I18" s="45"/>
      <c r="J18" s="45"/>
      <c r="K18" s="122"/>
      <c r="L18" s="122"/>
      <c r="M18" s="45"/>
      <c r="N18" s="122"/>
      <c r="O18" s="122"/>
    </row>
    <row r="19" spans="1:15" x14ac:dyDescent="0.2">
      <c r="A19" s="45" t="s">
        <v>402</v>
      </c>
      <c r="B19" s="45"/>
      <c r="C19" s="122"/>
      <c r="D19" s="122"/>
      <c r="E19" s="45"/>
      <c r="F19" s="122"/>
      <c r="G19" s="122"/>
      <c r="H19" s="225"/>
      <c r="I19" s="45" t="s">
        <v>402</v>
      </c>
      <c r="J19" s="45"/>
      <c r="K19" s="122"/>
      <c r="L19" s="122"/>
      <c r="M19" s="45"/>
      <c r="N19" s="122"/>
      <c r="O19" s="122"/>
    </row>
    <row r="20" spans="1:15" x14ac:dyDescent="0.2">
      <c r="A20" s="45"/>
      <c r="B20" s="477" t="s">
        <v>40</v>
      </c>
      <c r="C20" s="477"/>
      <c r="D20" s="477"/>
      <c r="E20" s="477" t="s">
        <v>319</v>
      </c>
      <c r="F20" s="477"/>
      <c r="G20" s="477"/>
      <c r="H20" s="225"/>
      <c r="I20" s="45"/>
      <c r="J20" s="477" t="s">
        <v>40</v>
      </c>
      <c r="K20" s="477"/>
      <c r="L20" s="477"/>
      <c r="M20" s="477" t="s">
        <v>319</v>
      </c>
      <c r="N20" s="477"/>
      <c r="O20" s="477"/>
    </row>
    <row r="21" spans="1:15" x14ac:dyDescent="0.2">
      <c r="A21" s="45"/>
      <c r="B21" s="123" t="s">
        <v>317</v>
      </c>
      <c r="C21" s="124" t="s">
        <v>51</v>
      </c>
      <c r="D21" s="124" t="s">
        <v>403</v>
      </c>
      <c r="E21" s="123" t="s">
        <v>320</v>
      </c>
      <c r="F21" s="124" t="s">
        <v>51</v>
      </c>
      <c r="G21" s="124" t="s">
        <v>403</v>
      </c>
      <c r="H21" s="225"/>
      <c r="I21" s="45"/>
      <c r="J21" s="123" t="s">
        <v>320</v>
      </c>
      <c r="K21" s="124" t="s">
        <v>51</v>
      </c>
      <c r="L21" s="124" t="s">
        <v>403</v>
      </c>
      <c r="M21" s="123" t="s">
        <v>317</v>
      </c>
      <c r="N21" s="124" t="s">
        <v>51</v>
      </c>
      <c r="O21" s="124" t="s">
        <v>403</v>
      </c>
    </row>
    <row r="22" spans="1:15" x14ac:dyDescent="0.2">
      <c r="A22" s="45"/>
      <c r="B22" s="125">
        <v>10</v>
      </c>
      <c r="C22" s="126">
        <v>10</v>
      </c>
      <c r="D22" s="127">
        <f>B22*C22</f>
        <v>100</v>
      </c>
      <c r="E22" s="125">
        <v>500</v>
      </c>
      <c r="F22" s="126">
        <f>D22/E22</f>
        <v>0.2</v>
      </c>
      <c r="G22" s="127">
        <f>E22*F22</f>
        <v>100</v>
      </c>
      <c r="H22" s="225"/>
      <c r="I22" s="45"/>
      <c r="J22" s="125">
        <v>10</v>
      </c>
      <c r="K22" s="126">
        <v>10</v>
      </c>
      <c r="L22" s="127">
        <f>J22*K22</f>
        <v>100</v>
      </c>
      <c r="M22" s="125">
        <v>500</v>
      </c>
      <c r="N22" s="126">
        <f>L22/M22</f>
        <v>0.2</v>
      </c>
      <c r="O22" s="127">
        <f>M22*N22</f>
        <v>100</v>
      </c>
    </row>
    <row r="25" spans="1:15" x14ac:dyDescent="0.2">
      <c r="A25" s="128" t="s">
        <v>231</v>
      </c>
      <c r="B25" s="128"/>
      <c r="D25" s="93" t="s">
        <v>654</v>
      </c>
    </row>
    <row r="26" spans="1:15" x14ac:dyDescent="0.2">
      <c r="A26" s="129" t="s">
        <v>381</v>
      </c>
      <c r="B26" s="128"/>
      <c r="D26" s="93" t="s">
        <v>655</v>
      </c>
    </row>
    <row r="29" spans="1:15" x14ac:dyDescent="0.2">
      <c r="A29" s="226" t="s">
        <v>406</v>
      </c>
      <c r="B29" s="226"/>
      <c r="C29" s="226"/>
      <c r="D29" s="226"/>
      <c r="E29" s="226"/>
      <c r="G29" s="93" t="s">
        <v>523</v>
      </c>
    </row>
    <row r="30" spans="1:15" x14ac:dyDescent="0.2">
      <c r="A30" s="226"/>
      <c r="B30" s="226" t="s">
        <v>407</v>
      </c>
      <c r="C30" s="226"/>
      <c r="D30" s="226"/>
      <c r="E30" s="226"/>
      <c r="G30" s="93" t="s">
        <v>643</v>
      </c>
    </row>
    <row r="31" spans="1:15" x14ac:dyDescent="0.2">
      <c r="G31" s="93" t="s">
        <v>644</v>
      </c>
    </row>
    <row r="32" spans="1:15" x14ac:dyDescent="0.2">
      <c r="G32" s="93" t="s">
        <v>653</v>
      </c>
    </row>
    <row r="34" spans="1:6" x14ac:dyDescent="0.2">
      <c r="A34" s="96" t="s">
        <v>651</v>
      </c>
      <c r="B34" s="94"/>
      <c r="C34" s="94"/>
      <c r="D34" s="94"/>
      <c r="E34" s="94"/>
      <c r="F34" s="94"/>
    </row>
    <row r="35" spans="1:6" x14ac:dyDescent="0.2">
      <c r="A35" s="94" t="s">
        <v>648</v>
      </c>
      <c r="B35" s="94" t="s">
        <v>650</v>
      </c>
      <c r="C35" s="94"/>
      <c r="D35" s="94"/>
      <c r="E35" s="94" t="s">
        <v>461</v>
      </c>
      <c r="F35" s="94"/>
    </row>
    <row r="36" spans="1:6" x14ac:dyDescent="0.2">
      <c r="A36" s="94"/>
      <c r="B36" s="94"/>
      <c r="C36" s="94" t="s">
        <v>645</v>
      </c>
      <c r="D36" s="94"/>
      <c r="E36" s="94"/>
      <c r="F36" s="94" t="s">
        <v>461</v>
      </c>
    </row>
    <row r="38" spans="1:6" x14ac:dyDescent="0.2">
      <c r="A38" s="96" t="s">
        <v>646</v>
      </c>
      <c r="B38" s="94"/>
      <c r="C38" s="94"/>
      <c r="D38" s="94"/>
      <c r="E38" s="94"/>
      <c r="F38" s="94"/>
    </row>
    <row r="39" spans="1:6" x14ac:dyDescent="0.2">
      <c r="A39" s="94" t="s">
        <v>647</v>
      </c>
      <c r="B39" s="94" t="s">
        <v>16</v>
      </c>
      <c r="C39" s="94" t="s">
        <v>10</v>
      </c>
      <c r="D39" s="94" t="s">
        <v>168</v>
      </c>
      <c r="E39" s="94" t="s">
        <v>21</v>
      </c>
      <c r="F39" s="94"/>
    </row>
    <row r="40" spans="1:6" x14ac:dyDescent="0.2">
      <c r="A40" s="94"/>
      <c r="B40" s="94"/>
      <c r="C40" s="94"/>
      <c r="D40" s="94"/>
      <c r="E40" s="94"/>
      <c r="F40" s="94"/>
    </row>
    <row r="41" spans="1:6" x14ac:dyDescent="0.2">
      <c r="A41" s="94" t="s">
        <v>648</v>
      </c>
      <c r="B41" s="94" t="s">
        <v>649</v>
      </c>
      <c r="C41" s="94"/>
      <c r="D41" s="94"/>
      <c r="E41" s="94" t="s">
        <v>461</v>
      </c>
      <c r="F41" s="94"/>
    </row>
    <row r="42" spans="1:6" x14ac:dyDescent="0.2">
      <c r="A42" s="94"/>
      <c r="B42" s="94"/>
      <c r="C42" s="94" t="s">
        <v>650</v>
      </c>
      <c r="D42" s="94"/>
      <c r="E42" s="94"/>
      <c r="F42" s="94" t="s">
        <v>461</v>
      </c>
    </row>
    <row r="44" spans="1:6" x14ac:dyDescent="0.2">
      <c r="A44" s="480" t="s">
        <v>410</v>
      </c>
      <c r="B44" s="480"/>
      <c r="C44" s="480"/>
      <c r="D44" s="480"/>
      <c r="E44" s="480"/>
    </row>
    <row r="45" spans="1:6" x14ac:dyDescent="0.2">
      <c r="A45" s="225"/>
      <c r="B45" s="225"/>
      <c r="C45" s="225"/>
      <c r="D45" s="225"/>
      <c r="E45" s="225"/>
    </row>
    <row r="46" spans="1:6" x14ac:dyDescent="0.2">
      <c r="A46" s="257" t="s">
        <v>5</v>
      </c>
      <c r="B46" s="481"/>
      <c r="C46" s="481"/>
      <c r="D46" s="481"/>
      <c r="E46" s="225"/>
    </row>
    <row r="47" spans="1:6" x14ac:dyDescent="0.2">
      <c r="A47" s="225"/>
      <c r="B47" s="225"/>
      <c r="C47" s="225"/>
      <c r="D47" s="225"/>
      <c r="E47" s="225"/>
    </row>
    <row r="48" spans="1:6" x14ac:dyDescent="0.2">
      <c r="A48" s="258" t="s">
        <v>154</v>
      </c>
      <c r="B48" s="258" t="s">
        <v>422</v>
      </c>
      <c r="C48" s="258" t="s">
        <v>13</v>
      </c>
      <c r="D48" s="258" t="s">
        <v>408</v>
      </c>
      <c r="E48" s="258" t="s">
        <v>409</v>
      </c>
    </row>
    <row r="49" spans="1:5" x14ac:dyDescent="0.2">
      <c r="A49" s="259"/>
      <c r="B49" s="259"/>
      <c r="C49" s="259"/>
      <c r="D49" s="259"/>
      <c r="E49" s="259"/>
    </row>
    <row r="50" spans="1:5" x14ac:dyDescent="0.2">
      <c r="A50" s="259"/>
      <c r="B50" s="259"/>
      <c r="C50" s="259"/>
      <c r="D50" s="259"/>
      <c r="E50" s="259"/>
    </row>
    <row r="51" spans="1:5" x14ac:dyDescent="0.2">
      <c r="A51" s="259"/>
      <c r="B51" s="259"/>
      <c r="C51" s="259"/>
      <c r="D51" s="259"/>
      <c r="E51" s="259"/>
    </row>
    <row r="52" spans="1:5" x14ac:dyDescent="0.2">
      <c r="A52" s="259"/>
      <c r="B52" s="259"/>
      <c r="C52" s="259"/>
      <c r="D52" s="259"/>
      <c r="E52" s="259"/>
    </row>
    <row r="53" spans="1:5" x14ac:dyDescent="0.2">
      <c r="A53" s="259"/>
      <c r="B53" s="259"/>
      <c r="C53" s="259"/>
      <c r="D53" s="259"/>
      <c r="E53" s="259"/>
    </row>
    <row r="54" spans="1:5" x14ac:dyDescent="0.2">
      <c r="A54" s="259"/>
      <c r="B54" s="259"/>
      <c r="C54" s="259"/>
      <c r="D54" s="259"/>
      <c r="E54" s="259"/>
    </row>
    <row r="55" spans="1:5" x14ac:dyDescent="0.2">
      <c r="A55" s="259"/>
      <c r="B55" s="259"/>
      <c r="C55" s="259"/>
      <c r="D55" s="259"/>
      <c r="E55" s="259"/>
    </row>
    <row r="56" spans="1:5" x14ac:dyDescent="0.2">
      <c r="A56" s="259"/>
      <c r="B56" s="259"/>
      <c r="C56" s="259"/>
      <c r="D56" s="259"/>
      <c r="E56" s="259"/>
    </row>
    <row r="57" spans="1:5" x14ac:dyDescent="0.2">
      <c r="A57" s="259"/>
      <c r="B57" s="259"/>
      <c r="C57" s="259"/>
      <c r="D57" s="259"/>
      <c r="E57" s="259"/>
    </row>
    <row r="58" spans="1:5" x14ac:dyDescent="0.2">
      <c r="A58" s="259"/>
      <c r="B58" s="259"/>
      <c r="C58" s="259"/>
      <c r="D58" s="259"/>
      <c r="E58" s="259"/>
    </row>
    <row r="59" spans="1:5" x14ac:dyDescent="0.2">
      <c r="A59" s="225"/>
      <c r="B59" s="225"/>
      <c r="C59" s="225"/>
      <c r="D59" s="225"/>
      <c r="E59" s="225"/>
    </row>
    <row r="60" spans="1:5" ht="16" thickBot="1" x14ac:dyDescent="0.25">
      <c r="A60" s="225"/>
      <c r="B60" s="225"/>
      <c r="C60" s="260" t="s">
        <v>122</v>
      </c>
      <c r="D60" s="261"/>
      <c r="E60" s="225"/>
    </row>
    <row r="61" spans="1:5" ht="16" thickTop="1" x14ac:dyDescent="0.2"/>
    <row r="84" spans="1:5" x14ac:dyDescent="0.2">
      <c r="A84" s="480" t="s">
        <v>423</v>
      </c>
      <c r="B84" s="480"/>
      <c r="C84" s="480"/>
      <c r="D84" s="480"/>
      <c r="E84" s="480"/>
    </row>
    <row r="85" spans="1:5" x14ac:dyDescent="0.2">
      <c r="A85" s="225"/>
      <c r="B85" s="225"/>
      <c r="C85" s="225"/>
      <c r="D85" s="225"/>
      <c r="E85" s="225"/>
    </row>
    <row r="86" spans="1:5" x14ac:dyDescent="0.2">
      <c r="A86" s="257" t="s">
        <v>5</v>
      </c>
      <c r="B86" s="481"/>
      <c r="C86" s="481"/>
      <c r="D86" s="481"/>
      <c r="E86" s="225"/>
    </row>
    <row r="87" spans="1:5" x14ac:dyDescent="0.2">
      <c r="A87" s="225"/>
      <c r="B87" s="225"/>
      <c r="C87" s="225"/>
      <c r="D87" s="225"/>
      <c r="E87" s="225"/>
    </row>
    <row r="88" spans="1:5" x14ac:dyDescent="0.2">
      <c r="A88" s="258" t="s">
        <v>154</v>
      </c>
      <c r="B88" s="258" t="s">
        <v>422</v>
      </c>
      <c r="C88" s="258" t="s">
        <v>13</v>
      </c>
      <c r="D88" s="258" t="s">
        <v>408</v>
      </c>
      <c r="E88" s="258" t="s">
        <v>424</v>
      </c>
    </row>
    <row r="89" spans="1:5" x14ac:dyDescent="0.2">
      <c r="A89" s="259"/>
      <c r="B89" s="259"/>
      <c r="C89" s="259"/>
      <c r="D89" s="259"/>
      <c r="E89" s="259"/>
    </row>
    <row r="90" spans="1:5" x14ac:dyDescent="0.2">
      <c r="A90" s="259"/>
      <c r="B90" s="259"/>
      <c r="C90" s="259"/>
      <c r="D90" s="259"/>
      <c r="E90" s="259"/>
    </row>
    <row r="91" spans="1:5" x14ac:dyDescent="0.2">
      <c r="A91" s="259"/>
      <c r="B91" s="259"/>
      <c r="C91" s="259"/>
      <c r="D91" s="259"/>
      <c r="E91" s="259"/>
    </row>
    <row r="92" spans="1:5" x14ac:dyDescent="0.2">
      <c r="A92" s="259"/>
      <c r="B92" s="259"/>
      <c r="C92" s="259"/>
      <c r="D92" s="259"/>
      <c r="E92" s="259"/>
    </row>
    <row r="93" spans="1:5" x14ac:dyDescent="0.2">
      <c r="A93" s="259"/>
      <c r="B93" s="259"/>
      <c r="C93" s="259"/>
      <c r="D93" s="259"/>
      <c r="E93" s="259"/>
    </row>
    <row r="94" spans="1:5" x14ac:dyDescent="0.2">
      <c r="A94" s="259"/>
      <c r="B94" s="259"/>
      <c r="C94" s="259"/>
      <c r="D94" s="259"/>
      <c r="E94" s="259"/>
    </row>
    <row r="95" spans="1:5" x14ac:dyDescent="0.2">
      <c r="A95" s="259"/>
      <c r="B95" s="259"/>
      <c r="C95" s="259"/>
      <c r="D95" s="259"/>
      <c r="E95" s="259"/>
    </row>
    <row r="96" spans="1:5" x14ac:dyDescent="0.2">
      <c r="A96" s="259"/>
      <c r="B96" s="259"/>
      <c r="C96" s="259"/>
      <c r="D96" s="259"/>
      <c r="E96" s="259"/>
    </row>
    <row r="97" spans="1:20" x14ac:dyDescent="0.2">
      <c r="A97" s="259"/>
      <c r="B97" s="259"/>
      <c r="C97" s="259"/>
      <c r="D97" s="259"/>
      <c r="E97" s="259"/>
    </row>
    <row r="98" spans="1:20" x14ac:dyDescent="0.2">
      <c r="A98" s="259"/>
      <c r="B98" s="259"/>
      <c r="C98" s="259"/>
      <c r="D98" s="259"/>
      <c r="E98" s="259"/>
    </row>
    <row r="99" spans="1:20" x14ac:dyDescent="0.2">
      <c r="A99" s="225"/>
      <c r="B99" s="225"/>
      <c r="C99" s="225"/>
      <c r="D99" s="225"/>
      <c r="E99" s="225"/>
    </row>
    <row r="100" spans="1:20" ht="16" thickBot="1" x14ac:dyDescent="0.25">
      <c r="A100" s="225"/>
      <c r="B100" s="225"/>
      <c r="C100" s="260" t="s">
        <v>122</v>
      </c>
      <c r="D100" s="261"/>
      <c r="E100" s="225"/>
    </row>
    <row r="101" spans="1:20" ht="16" thickTop="1" x14ac:dyDescent="0.2"/>
    <row r="103" spans="1:20" customFormat="1" ht="48" x14ac:dyDescent="0.2">
      <c r="B103" s="63" t="s">
        <v>99</v>
      </c>
      <c r="E103" s="51"/>
      <c r="F103" s="80"/>
      <c r="N103" s="104" t="s">
        <v>214</v>
      </c>
      <c r="O103" s="105" t="s">
        <v>6</v>
      </c>
      <c r="P103" s="104" t="s">
        <v>193</v>
      </c>
      <c r="Q103" s="104" t="s">
        <v>60</v>
      </c>
    </row>
    <row r="104" spans="1:20" s="52" customFormat="1" x14ac:dyDescent="0.2">
      <c r="C104" s="52" t="s">
        <v>16</v>
      </c>
      <c r="D104" s="52" t="s">
        <v>10</v>
      </c>
      <c r="E104" s="52" t="s">
        <v>203</v>
      </c>
      <c r="F104" s="81" t="s">
        <v>41</v>
      </c>
      <c r="G104" s="53">
        <v>0.02</v>
      </c>
      <c r="H104" s="53">
        <v>0.02</v>
      </c>
      <c r="I104" s="53">
        <v>0.02</v>
      </c>
      <c r="J104" s="53">
        <v>0.02</v>
      </c>
      <c r="K104" s="53">
        <v>0.02</v>
      </c>
      <c r="L104" s="53">
        <v>0.01</v>
      </c>
      <c r="M104" s="54">
        <v>7.4999999999999997E-3</v>
      </c>
      <c r="N104" s="54">
        <v>0.12</v>
      </c>
      <c r="O104" s="105"/>
      <c r="P104" s="104"/>
      <c r="Q104" s="104"/>
    </row>
    <row r="105" spans="1:20" customFormat="1" x14ac:dyDescent="0.2">
      <c r="A105">
        <v>138</v>
      </c>
      <c r="B105" t="s">
        <v>194</v>
      </c>
      <c r="C105">
        <v>50</v>
      </c>
      <c r="E105">
        <v>466.07</v>
      </c>
      <c r="F105" s="80">
        <f>C105*E105</f>
        <v>23303.5</v>
      </c>
      <c r="G105" s="51">
        <f>ROUND(F105*(1-$G$2),2)</f>
        <v>23303.5</v>
      </c>
      <c r="H105" s="51">
        <f>ROUND(G105*(1-$H$2),2)</f>
        <v>23303.5</v>
      </c>
      <c r="I105" s="51">
        <f>ROUND(H105*(1-$I$2),2)</f>
        <v>23303.5</v>
      </c>
      <c r="J105" s="51">
        <f>ROUND(I105*(1-$J$2),2)</f>
        <v>23303.5</v>
      </c>
      <c r="K105" s="51">
        <f>ROUND(J105*(1-$K$2),2)</f>
        <v>23303.5</v>
      </c>
      <c r="L105" s="51">
        <f>ROUND(K105*(1-$L$2),2)</f>
        <v>23303.5</v>
      </c>
      <c r="M105" s="51">
        <f>ROUND(L105*(1-$M$2),2)</f>
        <v>23303.5</v>
      </c>
      <c r="N105" s="51">
        <f>ROUND(M105*(1+$N$2),2)</f>
        <v>23303.5</v>
      </c>
      <c r="O105">
        <v>8</v>
      </c>
      <c r="P105" s="55">
        <f>N105+O105*C105</f>
        <v>23703.5</v>
      </c>
      <c r="Q105" s="55">
        <f>P105/C105</f>
        <v>474.07</v>
      </c>
    </row>
    <row r="106" spans="1:20" customFormat="1" x14ac:dyDescent="0.2">
      <c r="A106">
        <v>155</v>
      </c>
      <c r="B106" t="s">
        <v>195</v>
      </c>
      <c r="C106">
        <v>20</v>
      </c>
      <c r="E106">
        <v>466.07</v>
      </c>
      <c r="F106" s="80">
        <f>C106*E106</f>
        <v>9321.4</v>
      </c>
      <c r="G106" s="51">
        <f>ROUND(F106*(1-$G$2),2)</f>
        <v>9321.4</v>
      </c>
      <c r="H106" s="51">
        <f>ROUND(G106*(1-$H$2),2)</f>
        <v>9321.4</v>
      </c>
      <c r="I106" s="51">
        <f>ROUND(H106*(1-$I$2),2)</f>
        <v>9321.4</v>
      </c>
      <c r="J106" s="51">
        <f>ROUND(I106*(1-$J$2),2)</f>
        <v>9321.4</v>
      </c>
      <c r="K106" s="51">
        <f>ROUND(J106*(1-$K$2),2)</f>
        <v>9321.4</v>
      </c>
      <c r="L106" s="51">
        <f>ROUND(K106*(1-$L$2),2)</f>
        <v>9321.4</v>
      </c>
      <c r="M106" s="51">
        <f>ROUND(L106*(1-$M$2),2)</f>
        <v>9321.4</v>
      </c>
      <c r="N106" s="51">
        <f>ROUND(M106*(1+$N$2),2)</f>
        <v>9321.4</v>
      </c>
      <c r="O106">
        <v>8</v>
      </c>
      <c r="P106" s="55">
        <f>N106+O106*C106</f>
        <v>9481.4</v>
      </c>
      <c r="Q106" s="55">
        <f>P106/C106</f>
        <v>474.07</v>
      </c>
    </row>
    <row r="107" spans="1:20" customFormat="1" x14ac:dyDescent="0.2">
      <c r="A107">
        <v>641</v>
      </c>
      <c r="B107" t="s">
        <v>196</v>
      </c>
      <c r="C107">
        <v>40</v>
      </c>
      <c r="E107">
        <v>732.14</v>
      </c>
      <c r="F107" s="80">
        <f>C107*E107</f>
        <v>29285.599999999999</v>
      </c>
      <c r="G107" s="51">
        <f>ROUND(F107*(1-$G$2),2)</f>
        <v>29285.599999999999</v>
      </c>
      <c r="H107" s="51">
        <f>ROUND(G107*(1-$H$2),2)</f>
        <v>29285.599999999999</v>
      </c>
      <c r="I107" s="51">
        <f>ROUND(H107*(1-$I$2),2)</f>
        <v>29285.599999999999</v>
      </c>
      <c r="J107" s="51">
        <f>ROUND(I107*(1-$J$2),2)</f>
        <v>29285.599999999999</v>
      </c>
      <c r="K107" s="51">
        <f>ROUND(J107*(1-$K$2),2)</f>
        <v>29285.599999999999</v>
      </c>
      <c r="L107" s="51">
        <f>ROUND(K107*(1-$L$2),2)</f>
        <v>29285.599999999999</v>
      </c>
      <c r="M107" s="51">
        <f>ROUND(L107*(1-$M$2),2)</f>
        <v>29285.599999999999</v>
      </c>
      <c r="N107" s="51">
        <f>ROUND(M107*(1+$N$2),2)</f>
        <v>29285.599999999999</v>
      </c>
      <c r="P107" s="55">
        <f>N107+O107*C107</f>
        <v>29285.599999999999</v>
      </c>
      <c r="Q107" s="55">
        <f>P107/C107</f>
        <v>732.14</v>
      </c>
    </row>
    <row r="108" spans="1:20" customFormat="1" x14ac:dyDescent="0.2">
      <c r="B108" s="52" t="s">
        <v>41</v>
      </c>
      <c r="E108" s="51"/>
      <c r="F108" s="82">
        <f t="shared" ref="F108:N108" si="0">SUM(F105:F107)</f>
        <v>61910.5</v>
      </c>
      <c r="G108" s="56">
        <f t="shared" si="0"/>
        <v>61910.5</v>
      </c>
      <c r="H108" s="56">
        <f t="shared" si="0"/>
        <v>61910.5</v>
      </c>
      <c r="I108" s="56">
        <f t="shared" si="0"/>
        <v>61910.5</v>
      </c>
      <c r="J108" s="56">
        <f t="shared" si="0"/>
        <v>61910.5</v>
      </c>
      <c r="K108" s="56">
        <f t="shared" si="0"/>
        <v>61910.5</v>
      </c>
      <c r="L108" s="56">
        <f t="shared" si="0"/>
        <v>61910.5</v>
      </c>
      <c r="M108" s="56">
        <f t="shared" si="0"/>
        <v>61910.5</v>
      </c>
      <c r="N108" s="56">
        <f t="shared" si="0"/>
        <v>61910.5</v>
      </c>
      <c r="P108" s="56">
        <f>SUM(P105:P107)</f>
        <v>62470.5</v>
      </c>
    </row>
    <row r="109" spans="1:20" customFormat="1" x14ac:dyDescent="0.2">
      <c r="E109" s="51"/>
      <c r="Q109" s="103"/>
      <c r="R109" s="479" t="s">
        <v>528</v>
      </c>
      <c r="S109" s="479"/>
      <c r="T109" s="479"/>
    </row>
    <row r="110" spans="1:20" customFormat="1" x14ac:dyDescent="0.2">
      <c r="E110" s="51"/>
      <c r="M110" s="57" t="s">
        <v>198</v>
      </c>
      <c r="Q110" s="103"/>
      <c r="R110" s="103"/>
      <c r="S110" s="253" t="s">
        <v>526</v>
      </c>
      <c r="T110" s="253" t="s">
        <v>527</v>
      </c>
    </row>
    <row r="111" spans="1:20" customFormat="1" x14ac:dyDescent="0.2">
      <c r="E111" s="51"/>
      <c r="M111" s="57" t="s">
        <v>206</v>
      </c>
      <c r="N111" s="57"/>
      <c r="O111" s="59">
        <f>F108</f>
        <v>61910.5</v>
      </c>
      <c r="P111" t="s">
        <v>215</v>
      </c>
      <c r="Q111" s="254" t="s">
        <v>529</v>
      </c>
      <c r="R111" s="103" t="s">
        <v>524</v>
      </c>
      <c r="S111" s="255">
        <f>O116</f>
        <v>62145.49</v>
      </c>
      <c r="T111" s="103"/>
    </row>
    <row r="112" spans="1:20" customFormat="1" x14ac:dyDescent="0.2">
      <c r="E112" s="51"/>
      <c r="M112" t="s">
        <v>199</v>
      </c>
      <c r="O112" s="58">
        <f>'FINAL COST COMPUTATION'!O10</f>
        <v>-6923.4599999999991</v>
      </c>
      <c r="P112" t="s">
        <v>216</v>
      </c>
      <c r="Q112" s="103"/>
      <c r="R112" s="103"/>
      <c r="S112" s="103"/>
      <c r="T112" s="103"/>
    </row>
    <row r="113" spans="5:23" customFormat="1" x14ac:dyDescent="0.2">
      <c r="E113" s="51"/>
      <c r="F113" s="99" t="s">
        <v>312</v>
      </c>
      <c r="G113" s="99" t="s">
        <v>313</v>
      </c>
      <c r="H113" s="99"/>
      <c r="M113" s="57" t="s">
        <v>200</v>
      </c>
      <c r="N113" s="57"/>
      <c r="O113" s="59">
        <f>O111+O112</f>
        <v>54987.040000000001</v>
      </c>
      <c r="Q113" s="103"/>
      <c r="R113" s="256" t="s">
        <v>525</v>
      </c>
      <c r="S113" s="103"/>
      <c r="T113" s="255">
        <f>O116</f>
        <v>62145.49</v>
      </c>
    </row>
    <row r="114" spans="5:23" customFormat="1" x14ac:dyDescent="0.2">
      <c r="E114" s="51"/>
      <c r="F114" s="99"/>
      <c r="G114" s="99" t="s">
        <v>314</v>
      </c>
      <c r="H114" s="99"/>
      <c r="M114" t="s">
        <v>201</v>
      </c>
      <c r="O114" s="55">
        <f>'FINAL COST COMPUTATION'!O12</f>
        <v>6598.4499999999971</v>
      </c>
      <c r="P114" t="s">
        <v>217</v>
      </c>
      <c r="Q114" s="103"/>
      <c r="R114" s="103"/>
      <c r="S114" s="103"/>
      <c r="T114" s="103"/>
    </row>
    <row r="115" spans="5:23" customFormat="1" x14ac:dyDescent="0.2">
      <c r="E115" s="51"/>
      <c r="F115" s="106" t="s">
        <v>315</v>
      </c>
      <c r="G115" s="99">
        <f>466.07*1.12+8</f>
        <v>529.99840000000006</v>
      </c>
      <c r="H115" s="99"/>
      <c r="M115" t="s">
        <v>6</v>
      </c>
      <c r="O115" s="58">
        <f>O105*C105+O106*C106+O107*C107</f>
        <v>560</v>
      </c>
      <c r="P115" t="s">
        <v>218</v>
      </c>
      <c r="Q115" s="93"/>
      <c r="R115" s="93"/>
      <c r="S115" s="93"/>
      <c r="T115" s="93"/>
      <c r="U115" s="93"/>
    </row>
    <row r="116" spans="5:23" customFormat="1" ht="16" thickBot="1" x14ac:dyDescent="0.25">
      <c r="E116" s="51"/>
      <c r="M116" s="57" t="s">
        <v>202</v>
      </c>
      <c r="O116" s="60">
        <f>O113+O114+O115</f>
        <v>62145.49</v>
      </c>
      <c r="Q116" s="93"/>
      <c r="R116" s="93"/>
      <c r="S116" s="93"/>
      <c r="T116" s="93"/>
      <c r="U116" s="93"/>
      <c r="W116" s="55"/>
    </row>
    <row r="117" spans="5:23" customFormat="1" ht="16" thickTop="1" x14ac:dyDescent="0.2">
      <c r="E117" s="51"/>
      <c r="Q117" s="93"/>
      <c r="R117" s="93"/>
      <c r="S117" s="93"/>
      <c r="T117" s="93"/>
      <c r="U117" s="93"/>
      <c r="W117" s="55"/>
    </row>
  </sheetData>
  <mergeCells count="23">
    <mergeCell ref="R109:T109"/>
    <mergeCell ref="J15:L15"/>
    <mergeCell ref="M15:O15"/>
    <mergeCell ref="B5:D5"/>
    <mergeCell ref="E5:G5"/>
    <mergeCell ref="B10:D10"/>
    <mergeCell ref="E10:G10"/>
    <mergeCell ref="B15:D15"/>
    <mergeCell ref="E15:G15"/>
    <mergeCell ref="A84:E84"/>
    <mergeCell ref="B86:D86"/>
    <mergeCell ref="J20:L20"/>
    <mergeCell ref="M20:O20"/>
    <mergeCell ref="A44:E44"/>
    <mergeCell ref="B46:D46"/>
    <mergeCell ref="B20:D20"/>
    <mergeCell ref="E20:G20"/>
    <mergeCell ref="A3:G3"/>
    <mergeCell ref="I3:O3"/>
    <mergeCell ref="J5:L5"/>
    <mergeCell ref="M5:O5"/>
    <mergeCell ref="J10:L10"/>
    <mergeCell ref="M10:O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3"/>
  <sheetViews>
    <sheetView workbookViewId="0">
      <selection activeCell="E20" sqref="E20"/>
    </sheetView>
  </sheetViews>
  <sheetFormatPr baseColWidth="10" defaultColWidth="11.5" defaultRowHeight="15" x14ac:dyDescent="0.2"/>
  <cols>
    <col min="1" max="1" width="57.83203125" bestFit="1" customWidth="1"/>
    <col min="2" max="2" width="18.83203125" bestFit="1" customWidth="1"/>
    <col min="4" max="4" width="14" bestFit="1" customWidth="1"/>
    <col min="5" max="5" width="19.83203125" bestFit="1" customWidth="1"/>
    <col min="6" max="6" width="15" bestFit="1" customWidth="1"/>
    <col min="7" max="7" width="21.1640625" bestFit="1" customWidth="1"/>
  </cols>
  <sheetData>
    <row r="1" spans="1:8" x14ac:dyDescent="0.2">
      <c r="A1" t="s">
        <v>321</v>
      </c>
    </row>
    <row r="2" spans="1:8" x14ac:dyDescent="0.2">
      <c r="A2" t="s">
        <v>322</v>
      </c>
    </row>
    <row r="4" spans="1:8" x14ac:dyDescent="0.2">
      <c r="A4" t="s">
        <v>323</v>
      </c>
    </row>
    <row r="6" spans="1:8" x14ac:dyDescent="0.2">
      <c r="A6" s="103" t="s">
        <v>325</v>
      </c>
      <c r="B6" s="103" t="s">
        <v>388</v>
      </c>
      <c r="C6" s="103"/>
      <c r="D6" s="103"/>
      <c r="E6" s="103"/>
      <c r="F6" s="103"/>
    </row>
    <row r="7" spans="1:8" x14ac:dyDescent="0.2">
      <c r="A7" s="103"/>
      <c r="B7" s="103"/>
      <c r="C7" s="103"/>
      <c r="D7" s="103"/>
      <c r="E7" s="103"/>
      <c r="F7" s="103"/>
      <c r="G7" s="103"/>
    </row>
    <row r="8" spans="1:8" x14ac:dyDescent="0.2">
      <c r="A8" s="103"/>
      <c r="B8" s="103"/>
      <c r="C8" s="103"/>
      <c r="D8" s="103"/>
      <c r="E8" s="103"/>
      <c r="F8" s="103"/>
      <c r="G8" s="103"/>
    </row>
    <row r="9" spans="1:8" x14ac:dyDescent="0.2">
      <c r="A9" s="103" t="s">
        <v>324</v>
      </c>
      <c r="B9" s="103"/>
      <c r="C9" s="103"/>
      <c r="D9" s="103"/>
      <c r="E9" s="103"/>
      <c r="F9" s="103"/>
      <c r="G9" s="103"/>
    </row>
    <row r="10" spans="1:8" x14ac:dyDescent="0.2">
      <c r="A10" s="74" t="s">
        <v>250</v>
      </c>
      <c r="B10" s="45"/>
      <c r="C10" s="74" t="s">
        <v>251</v>
      </c>
      <c r="D10" s="45"/>
      <c r="E10" s="103"/>
      <c r="F10" s="103"/>
      <c r="G10" s="103"/>
    </row>
    <row r="11" spans="1:8" x14ac:dyDescent="0.2">
      <c r="A11" s="45"/>
      <c r="B11" s="45"/>
      <c r="C11" s="45"/>
      <c r="D11" s="45"/>
      <c r="E11" s="103"/>
      <c r="F11" s="103"/>
      <c r="G11" s="103"/>
    </row>
    <row r="12" spans="1:8" x14ac:dyDescent="0.2">
      <c r="A12" s="262"/>
      <c r="B12" s="262"/>
      <c r="C12" s="262"/>
      <c r="D12" s="262"/>
      <c r="E12" s="103"/>
      <c r="F12" s="103"/>
      <c r="G12" s="103"/>
    </row>
    <row r="13" spans="1:8" x14ac:dyDescent="0.2">
      <c r="A13" s="103"/>
      <c r="B13" s="103"/>
      <c r="C13" s="103"/>
      <c r="D13" s="103"/>
      <c r="E13" s="103"/>
      <c r="F13" s="103"/>
      <c r="G13" s="103"/>
    </row>
    <row r="14" spans="1:8" x14ac:dyDescent="0.2">
      <c r="A14" s="103"/>
      <c r="B14" s="103"/>
      <c r="C14" s="103"/>
      <c r="D14" s="103"/>
      <c r="E14" s="103"/>
      <c r="F14" s="103"/>
      <c r="G14" s="103"/>
    </row>
    <row r="15" spans="1:8" x14ac:dyDescent="0.2">
      <c r="A15" s="103" t="s">
        <v>326</v>
      </c>
      <c r="B15" s="103"/>
      <c r="C15" s="103"/>
      <c r="D15" s="103"/>
      <c r="E15" s="103" t="s">
        <v>331</v>
      </c>
      <c r="F15" s="103"/>
      <c r="G15" s="103"/>
    </row>
    <row r="16" spans="1:8" x14ac:dyDescent="0.2">
      <c r="A16" s="103"/>
      <c r="B16" s="103"/>
      <c r="C16" s="103"/>
      <c r="D16" s="263" t="s">
        <v>390</v>
      </c>
      <c r="E16" s="263" t="s">
        <v>389</v>
      </c>
      <c r="F16" s="263" t="s">
        <v>391</v>
      </c>
      <c r="G16" s="263" t="s">
        <v>392</v>
      </c>
      <c r="H16" s="111" t="s">
        <v>21</v>
      </c>
    </row>
    <row r="17" spans="1:7" x14ac:dyDescent="0.2">
      <c r="A17" s="103" t="s">
        <v>327</v>
      </c>
      <c r="B17" s="103" t="s">
        <v>328</v>
      </c>
      <c r="C17" s="103"/>
      <c r="D17" s="103">
        <v>500</v>
      </c>
      <c r="E17" s="103">
        <v>50</v>
      </c>
      <c r="F17" s="103">
        <f>D17/E17</f>
        <v>10</v>
      </c>
      <c r="G17" s="103"/>
    </row>
    <row r="18" spans="1:7" x14ac:dyDescent="0.2">
      <c r="A18" s="103" t="s">
        <v>49</v>
      </c>
      <c r="B18" s="103" t="s">
        <v>329</v>
      </c>
      <c r="C18" s="103"/>
      <c r="D18" s="103">
        <v>600</v>
      </c>
      <c r="E18" s="103">
        <v>50</v>
      </c>
      <c r="F18" s="103">
        <f t="shared" ref="F18:F19" si="0">D18/E18</f>
        <v>12</v>
      </c>
      <c r="G18" s="103"/>
    </row>
    <row r="19" spans="1:7" x14ac:dyDescent="0.2">
      <c r="A19" s="103" t="s">
        <v>50</v>
      </c>
      <c r="B19" s="103" t="s">
        <v>330</v>
      </c>
      <c r="C19" s="103"/>
      <c r="D19" s="103">
        <v>700</v>
      </c>
      <c r="E19" s="103">
        <v>50</v>
      </c>
      <c r="F19" s="103">
        <f t="shared" si="0"/>
        <v>14</v>
      </c>
      <c r="G19" s="103"/>
    </row>
    <row r="20" spans="1:7" x14ac:dyDescent="0.2">
      <c r="A20" s="103"/>
      <c r="B20" s="103"/>
      <c r="C20" s="103"/>
      <c r="D20" s="103"/>
      <c r="E20" s="103"/>
      <c r="F20" s="103"/>
      <c r="G20" s="103"/>
    </row>
    <row r="21" spans="1:7" x14ac:dyDescent="0.2">
      <c r="A21" s="103" t="s">
        <v>332</v>
      </c>
      <c r="B21" s="103"/>
      <c r="C21" s="103"/>
      <c r="D21" s="103"/>
      <c r="E21" s="103"/>
      <c r="F21" s="103"/>
      <c r="G21" s="103"/>
    </row>
    <row r="22" spans="1:7" x14ac:dyDescent="0.2">
      <c r="A22" s="103" t="s">
        <v>333</v>
      </c>
      <c r="B22" s="103"/>
      <c r="C22" s="103"/>
      <c r="D22" s="103"/>
      <c r="E22" s="103"/>
      <c r="F22" s="103"/>
      <c r="G22" s="103"/>
    </row>
    <row r="23" spans="1:7" x14ac:dyDescent="0.2">
      <c r="A23" s="103"/>
      <c r="B23" s="103"/>
      <c r="C23" s="103"/>
      <c r="D23" s="103"/>
      <c r="E23" s="103"/>
      <c r="F23" s="103"/>
      <c r="G23" s="103"/>
    </row>
    <row r="24" spans="1:7" x14ac:dyDescent="0.2">
      <c r="A24" s="103" t="s">
        <v>334</v>
      </c>
      <c r="B24" s="103"/>
      <c r="C24" s="103"/>
      <c r="D24" s="103"/>
      <c r="E24" s="103"/>
      <c r="F24" s="103"/>
      <c r="G24" s="103"/>
    </row>
    <row r="25" spans="1:7" x14ac:dyDescent="0.2">
      <c r="A25" s="103"/>
      <c r="B25" s="103"/>
      <c r="C25" s="103"/>
      <c r="D25" s="103"/>
      <c r="E25" s="103"/>
      <c r="F25" s="103"/>
      <c r="G25" s="103"/>
    </row>
    <row r="26" spans="1:7" x14ac:dyDescent="0.2">
      <c r="A26" s="103"/>
      <c r="B26" s="103"/>
      <c r="C26" s="103"/>
      <c r="D26" s="103"/>
      <c r="E26" s="103"/>
      <c r="F26" s="103"/>
      <c r="G26" s="103"/>
    </row>
    <row r="27" spans="1:7" x14ac:dyDescent="0.2">
      <c r="A27" s="103" t="s">
        <v>335</v>
      </c>
      <c r="B27" s="103"/>
      <c r="C27" s="103"/>
      <c r="D27" s="103"/>
      <c r="E27" s="103"/>
      <c r="F27" s="103"/>
      <c r="G27" s="103"/>
    </row>
    <row r="28" spans="1:7" x14ac:dyDescent="0.2">
      <c r="A28" s="103"/>
      <c r="B28" s="103"/>
      <c r="C28" s="103"/>
      <c r="D28" s="103"/>
      <c r="E28" s="103"/>
      <c r="F28" s="103"/>
      <c r="G28" s="103"/>
    </row>
    <row r="29" spans="1:7" x14ac:dyDescent="0.2">
      <c r="A29" s="103" t="s">
        <v>336</v>
      </c>
      <c r="B29" s="103"/>
      <c r="C29" s="103"/>
      <c r="D29" s="103"/>
      <c r="E29" s="103"/>
      <c r="F29" s="103"/>
      <c r="G29" s="103"/>
    </row>
    <row r="30" spans="1:7" x14ac:dyDescent="0.2">
      <c r="A30" s="103"/>
      <c r="B30" s="103"/>
      <c r="C30" s="103"/>
      <c r="D30" s="103"/>
      <c r="E30" s="103"/>
      <c r="F30" s="103"/>
      <c r="G30" s="103"/>
    </row>
    <row r="31" spans="1:7" x14ac:dyDescent="0.2">
      <c r="A31" s="103" t="s">
        <v>337</v>
      </c>
      <c r="B31" s="103"/>
      <c r="C31" s="103"/>
      <c r="D31" s="103"/>
      <c r="E31" s="103"/>
      <c r="F31" s="103"/>
      <c r="G31" s="103"/>
    </row>
    <row r="33" spans="1:4" x14ac:dyDescent="0.2">
      <c r="A33" s="57" t="s">
        <v>353</v>
      </c>
    </row>
    <row r="35" spans="1:4" x14ac:dyDescent="0.2">
      <c r="A35" t="s">
        <v>338</v>
      </c>
    </row>
    <row r="40" spans="1:4" x14ac:dyDescent="0.2">
      <c r="A40" s="57" t="s">
        <v>339</v>
      </c>
    </row>
    <row r="41" spans="1:4" x14ac:dyDescent="0.2">
      <c r="A41" s="100" t="s">
        <v>340</v>
      </c>
    </row>
    <row r="42" spans="1:4" x14ac:dyDescent="0.2">
      <c r="A42" t="s">
        <v>354</v>
      </c>
      <c r="B42" t="s">
        <v>358</v>
      </c>
      <c r="C42">
        <v>60</v>
      </c>
      <c r="D42" t="s">
        <v>359</v>
      </c>
    </row>
    <row r="43" spans="1:4" x14ac:dyDescent="0.2">
      <c r="B43" t="s">
        <v>355</v>
      </c>
      <c r="D43" t="s">
        <v>360</v>
      </c>
    </row>
    <row r="44" spans="1:4" x14ac:dyDescent="0.2">
      <c r="B44" s="101" t="s">
        <v>356</v>
      </c>
      <c r="C44" s="101">
        <v>20</v>
      </c>
    </row>
    <row r="45" spans="1:4" x14ac:dyDescent="0.2">
      <c r="B45" s="102" t="s">
        <v>357</v>
      </c>
      <c r="C45">
        <v>30</v>
      </c>
    </row>
    <row r="49" spans="1:15" x14ac:dyDescent="0.2">
      <c r="A49" t="s">
        <v>341</v>
      </c>
      <c r="B49" t="s">
        <v>361</v>
      </c>
    </row>
    <row r="50" spans="1:15" x14ac:dyDescent="0.2">
      <c r="B50" t="s">
        <v>362</v>
      </c>
    </row>
    <row r="52" spans="1:15" x14ac:dyDescent="0.2">
      <c r="A52" t="s">
        <v>342</v>
      </c>
      <c r="B52" t="s">
        <v>364</v>
      </c>
    </row>
    <row r="54" spans="1:15" x14ac:dyDescent="0.2">
      <c r="A54" t="s">
        <v>365</v>
      </c>
    </row>
    <row r="56" spans="1:15" x14ac:dyDescent="0.2">
      <c r="A56" t="s">
        <v>352</v>
      </c>
    </row>
    <row r="57" spans="1:15" x14ac:dyDescent="0.2">
      <c r="L57" s="482" t="s">
        <v>371</v>
      </c>
      <c r="M57" s="482"/>
      <c r="N57" s="482"/>
      <c r="O57" s="482"/>
    </row>
    <row r="58" spans="1:15" x14ac:dyDescent="0.2">
      <c r="A58" s="103" t="s">
        <v>366</v>
      </c>
      <c r="B58" s="34"/>
      <c r="C58" s="34"/>
      <c r="D58" s="34"/>
      <c r="E58" s="34"/>
      <c r="F58" s="34"/>
      <c r="G58" s="34" t="s">
        <v>16</v>
      </c>
      <c r="H58" s="34" t="s">
        <v>369</v>
      </c>
      <c r="I58" s="34"/>
      <c r="J58" s="34"/>
      <c r="K58" s="34" t="s">
        <v>370</v>
      </c>
      <c r="L58" s="34" t="s">
        <v>168</v>
      </c>
      <c r="M58" s="34" t="s">
        <v>49</v>
      </c>
      <c r="N58" s="34" t="s">
        <v>50</v>
      </c>
      <c r="O58" s="34" t="s">
        <v>51</v>
      </c>
    </row>
    <row r="59" spans="1:15" x14ac:dyDescent="0.2">
      <c r="B59" s="34"/>
      <c r="C59" s="34"/>
      <c r="D59" s="34"/>
      <c r="E59" s="34" t="s">
        <v>108</v>
      </c>
      <c r="F59" s="34" t="s">
        <v>109</v>
      </c>
      <c r="G59" s="34">
        <v>100</v>
      </c>
      <c r="H59" s="34">
        <v>10</v>
      </c>
      <c r="I59" s="34"/>
      <c r="J59" s="34"/>
      <c r="K59" s="34">
        <v>12</v>
      </c>
      <c r="L59" s="34">
        <f>G59*(H59-K59)</f>
        <v>-200</v>
      </c>
      <c r="M59" s="34"/>
      <c r="N59" s="34"/>
      <c r="O59" s="34"/>
    </row>
    <row r="60" spans="1:15" x14ac:dyDescent="0.2">
      <c r="A60" s="34" t="s">
        <v>367</v>
      </c>
      <c r="B60" s="34" t="s">
        <v>368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2" spans="1:15" x14ac:dyDescent="0.2">
      <c r="A62" t="s">
        <v>343</v>
      </c>
      <c r="B62" t="s">
        <v>346</v>
      </c>
    </row>
    <row r="63" spans="1:15" x14ac:dyDescent="0.2">
      <c r="A63" t="s">
        <v>344</v>
      </c>
      <c r="B63" t="s">
        <v>347</v>
      </c>
    </row>
    <row r="64" spans="1:15" x14ac:dyDescent="0.2">
      <c r="A64" t="s">
        <v>345</v>
      </c>
    </row>
    <row r="66" spans="1:1" x14ac:dyDescent="0.2">
      <c r="A66" t="s">
        <v>348</v>
      </c>
    </row>
    <row r="67" spans="1:1" x14ac:dyDescent="0.2">
      <c r="A67" s="57" t="s">
        <v>349</v>
      </c>
    </row>
    <row r="69" spans="1:1" x14ac:dyDescent="0.2">
      <c r="A69" t="s">
        <v>350</v>
      </c>
    </row>
    <row r="71" spans="1:1" x14ac:dyDescent="0.2">
      <c r="A71" t="s">
        <v>351</v>
      </c>
    </row>
    <row r="73" spans="1:1" x14ac:dyDescent="0.2">
      <c r="A73" t="s">
        <v>363</v>
      </c>
    </row>
  </sheetData>
  <mergeCells count="1">
    <mergeCell ref="L57:O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2"/>
  <sheetViews>
    <sheetView workbookViewId="0">
      <selection activeCell="E25" sqref="E25"/>
    </sheetView>
  </sheetViews>
  <sheetFormatPr baseColWidth="10" defaultColWidth="9.1640625" defaultRowHeight="15" x14ac:dyDescent="0.2"/>
  <cols>
    <col min="1" max="1" width="19.1640625" style="5" customWidth="1"/>
    <col min="2" max="2" width="14" style="5" bestFit="1" customWidth="1"/>
    <col min="3" max="5" width="9.1640625" style="5"/>
    <col min="6" max="6" width="109.5" style="93" bestFit="1" customWidth="1"/>
    <col min="7" max="7" width="13.1640625" style="5" bestFit="1" customWidth="1"/>
    <col min="8" max="8" width="12" style="5" customWidth="1"/>
    <col min="9" max="10" width="9.1640625" style="5"/>
    <col min="11" max="11" width="10.83203125" style="5" bestFit="1" customWidth="1"/>
    <col min="12" max="16384" width="9.1640625" style="5"/>
  </cols>
  <sheetData>
    <row r="1" spans="1:2" x14ac:dyDescent="0.2">
      <c r="A1" s="31" t="s">
        <v>182</v>
      </c>
    </row>
    <row r="3" spans="1:2" x14ac:dyDescent="0.2">
      <c r="A3" s="31" t="s">
        <v>183</v>
      </c>
    </row>
    <row r="4" spans="1:2" x14ac:dyDescent="0.2">
      <c r="A4" s="5" t="s">
        <v>184</v>
      </c>
      <c r="B4" s="5" t="s">
        <v>185</v>
      </c>
    </row>
    <row r="5" spans="1:2" x14ac:dyDescent="0.2">
      <c r="A5" s="5" t="s">
        <v>186</v>
      </c>
      <c r="B5" s="5" t="s">
        <v>187</v>
      </c>
    </row>
    <row r="7" spans="1:2" x14ac:dyDescent="0.2">
      <c r="A7" s="31" t="s">
        <v>190</v>
      </c>
    </row>
    <row r="8" spans="1:2" x14ac:dyDescent="0.2">
      <c r="A8" s="5" t="s">
        <v>191</v>
      </c>
    </row>
    <row r="9" spans="1:2" x14ac:dyDescent="0.2">
      <c r="A9" s="5" t="s">
        <v>192</v>
      </c>
    </row>
    <row r="11" spans="1:2" x14ac:dyDescent="0.2">
      <c r="A11" s="5" t="s">
        <v>188</v>
      </c>
    </row>
    <row r="12" spans="1:2" x14ac:dyDescent="0.2">
      <c r="A12" s="5" t="s">
        <v>189</v>
      </c>
    </row>
    <row r="14" spans="1:2" x14ac:dyDescent="0.2">
      <c r="A14" s="31" t="s">
        <v>224</v>
      </c>
    </row>
    <row r="15" spans="1:2" x14ac:dyDescent="0.2">
      <c r="A15" s="5" t="s">
        <v>225</v>
      </c>
    </row>
    <row r="16" spans="1:2" x14ac:dyDescent="0.2">
      <c r="A16" s="5" t="s">
        <v>260</v>
      </c>
    </row>
    <row r="18" spans="1:6" x14ac:dyDescent="0.2">
      <c r="A18" s="5" t="s">
        <v>239</v>
      </c>
    </row>
    <row r="19" spans="1:6" x14ac:dyDescent="0.2">
      <c r="A19" s="5" t="s">
        <v>240</v>
      </c>
    </row>
    <row r="21" spans="1:6" x14ac:dyDescent="0.2">
      <c r="A21" s="5" t="s">
        <v>166</v>
      </c>
    </row>
    <row r="22" spans="1:6" x14ac:dyDescent="0.2">
      <c r="A22" s="5" t="s">
        <v>109</v>
      </c>
    </row>
    <row r="23" spans="1:6" x14ac:dyDescent="0.2">
      <c r="A23" s="5" t="s">
        <v>110</v>
      </c>
    </row>
    <row r="24" spans="1:6" ht="14" x14ac:dyDescent="0.2">
      <c r="A24" s="5" t="s">
        <v>10</v>
      </c>
      <c r="F24" s="5" t="s">
        <v>291</v>
      </c>
    </row>
    <row r="25" spans="1:6" ht="14" x14ac:dyDescent="0.2">
      <c r="A25" s="45" t="s">
        <v>226</v>
      </c>
      <c r="F25" s="5" t="s">
        <v>293</v>
      </c>
    </row>
    <row r="26" spans="1:6" ht="14" x14ac:dyDescent="0.2">
      <c r="A26" s="5" t="s">
        <v>5</v>
      </c>
      <c r="F26" s="5" t="s">
        <v>292</v>
      </c>
    </row>
    <row r="27" spans="1:6" ht="14" x14ac:dyDescent="0.2">
      <c r="A27" s="33" t="s">
        <v>233</v>
      </c>
      <c r="F27" s="33" t="s">
        <v>233</v>
      </c>
    </row>
    <row r="28" spans="1:6" ht="14" x14ac:dyDescent="0.2">
      <c r="A28" s="33" t="s">
        <v>228</v>
      </c>
      <c r="F28" s="33" t="s">
        <v>228</v>
      </c>
    </row>
    <row r="29" spans="1:6" x14ac:dyDescent="0.2">
      <c r="A29" s="45" t="s">
        <v>227</v>
      </c>
    </row>
    <row r="30" spans="1:6" x14ac:dyDescent="0.2">
      <c r="A30" s="45" t="s">
        <v>234</v>
      </c>
    </row>
    <row r="31" spans="1:6" x14ac:dyDescent="0.2">
      <c r="A31" s="45" t="s">
        <v>235</v>
      </c>
    </row>
    <row r="32" spans="1:6" x14ac:dyDescent="0.2">
      <c r="A32" s="45" t="s">
        <v>236</v>
      </c>
    </row>
    <row r="33" spans="1:6" x14ac:dyDescent="0.2">
      <c r="A33" s="45" t="s">
        <v>237</v>
      </c>
    </row>
    <row r="34" spans="1:6" x14ac:dyDescent="0.2">
      <c r="A34" s="45" t="s">
        <v>229</v>
      </c>
    </row>
    <row r="35" spans="1:6" x14ac:dyDescent="0.2">
      <c r="A35" s="45" t="s">
        <v>238</v>
      </c>
    </row>
    <row r="36" spans="1:6" x14ac:dyDescent="0.2">
      <c r="F36" s="96" t="s">
        <v>301</v>
      </c>
    </row>
    <row r="37" spans="1:6" x14ac:dyDescent="0.2">
      <c r="A37" s="5" t="s">
        <v>263</v>
      </c>
    </row>
    <row r="39" spans="1:6" x14ac:dyDescent="0.2">
      <c r="A39" s="5" t="s">
        <v>230</v>
      </c>
      <c r="F39" s="98" t="s">
        <v>300</v>
      </c>
    </row>
    <row r="40" spans="1:6" ht="14" x14ac:dyDescent="0.2">
      <c r="F40" s="33" t="s">
        <v>230</v>
      </c>
    </row>
    <row r="41" spans="1:6" ht="14" x14ac:dyDescent="0.2">
      <c r="A41" s="5" t="s">
        <v>231</v>
      </c>
      <c r="F41" s="5" t="s">
        <v>231</v>
      </c>
    </row>
    <row r="42" spans="1:6" x14ac:dyDescent="0.2">
      <c r="A42" s="33" t="s">
        <v>264</v>
      </c>
      <c r="F42" s="98" t="s">
        <v>294</v>
      </c>
    </row>
    <row r="43" spans="1:6" x14ac:dyDescent="0.2">
      <c r="A43" s="33" t="s">
        <v>232</v>
      </c>
      <c r="F43" s="98" t="s">
        <v>295</v>
      </c>
    </row>
    <row r="44" spans="1:6" x14ac:dyDescent="0.2">
      <c r="A44" s="33" t="s">
        <v>259</v>
      </c>
    </row>
    <row r="46" spans="1:6" x14ac:dyDescent="0.2">
      <c r="A46" s="5" t="s">
        <v>241</v>
      </c>
      <c r="F46" s="98" t="s">
        <v>296</v>
      </c>
    </row>
    <row r="47" spans="1:6" x14ac:dyDescent="0.2">
      <c r="A47" s="5" t="s">
        <v>261</v>
      </c>
      <c r="F47" s="98" t="s">
        <v>297</v>
      </c>
    </row>
    <row r="48" spans="1:6" x14ac:dyDescent="0.2">
      <c r="A48" s="5" t="s">
        <v>254</v>
      </c>
      <c r="F48" s="98" t="s">
        <v>298</v>
      </c>
    </row>
    <row r="49" spans="1:8" ht="14" x14ac:dyDescent="0.2">
      <c r="A49" s="31" t="s">
        <v>125</v>
      </c>
      <c r="F49" s="33" t="s">
        <v>125</v>
      </c>
    </row>
    <row r="51" spans="1:8" x14ac:dyDescent="0.2">
      <c r="A51" s="33" t="s">
        <v>154</v>
      </c>
      <c r="F51" s="98" t="s">
        <v>299</v>
      </c>
    </row>
    <row r="52" spans="1:8" x14ac:dyDescent="0.2">
      <c r="A52" s="33" t="s">
        <v>242</v>
      </c>
      <c r="F52" s="94" t="s">
        <v>302</v>
      </c>
      <c r="G52" s="5" t="s">
        <v>303</v>
      </c>
      <c r="H52" s="483" t="s">
        <v>309</v>
      </c>
    </row>
    <row r="53" spans="1:8" x14ac:dyDescent="0.2">
      <c r="F53" s="98" t="s">
        <v>310</v>
      </c>
      <c r="G53" s="5" t="s">
        <v>304</v>
      </c>
      <c r="H53" s="483"/>
    </row>
    <row r="54" spans="1:8" x14ac:dyDescent="0.2">
      <c r="A54" s="5" t="s">
        <v>252</v>
      </c>
      <c r="F54" s="98" t="s">
        <v>311</v>
      </c>
      <c r="G54" s="5" t="s">
        <v>305</v>
      </c>
      <c r="H54" s="483"/>
    </row>
    <row r="55" spans="1:8" x14ac:dyDescent="0.2">
      <c r="A55" s="5" t="s">
        <v>262</v>
      </c>
      <c r="G55" s="5" t="s">
        <v>306</v>
      </c>
      <c r="H55" s="483"/>
    </row>
    <row r="56" spans="1:8" x14ac:dyDescent="0.2">
      <c r="G56" s="5" t="s">
        <v>307</v>
      </c>
      <c r="H56" s="5" t="s">
        <v>308</v>
      </c>
    </row>
    <row r="57" spans="1:8" x14ac:dyDescent="0.2">
      <c r="A57" s="5" t="s">
        <v>253</v>
      </c>
    </row>
    <row r="60" spans="1:8" x14ac:dyDescent="0.2">
      <c r="A60" s="5" t="s">
        <v>255</v>
      </c>
    </row>
    <row r="61" spans="1:8" x14ac:dyDescent="0.2">
      <c r="A61" s="33" t="s">
        <v>256</v>
      </c>
      <c r="B61" s="33" t="s">
        <v>257</v>
      </c>
      <c r="C61" s="33" t="s">
        <v>258</v>
      </c>
    </row>
    <row r="63" spans="1:8" x14ac:dyDescent="0.2">
      <c r="A63" s="5" t="s">
        <v>279</v>
      </c>
    </row>
    <row r="64" spans="1:8" x14ac:dyDescent="0.2">
      <c r="A64" s="76" t="s">
        <v>283</v>
      </c>
    </row>
    <row r="65" spans="1:11" x14ac:dyDescent="0.2">
      <c r="A65" s="5" t="s">
        <v>99</v>
      </c>
      <c r="B65" s="5" t="s">
        <v>280</v>
      </c>
      <c r="C65" s="5" t="s">
        <v>281</v>
      </c>
      <c r="D65" s="88">
        <v>0.02</v>
      </c>
      <c r="E65" s="88">
        <v>0.02</v>
      </c>
      <c r="F65" s="95">
        <v>0.02</v>
      </c>
      <c r="G65" s="88">
        <v>0.02</v>
      </c>
      <c r="H65" s="88">
        <v>0.02</v>
      </c>
      <c r="I65" s="88">
        <v>0.01</v>
      </c>
      <c r="J65" s="89">
        <v>7.4999999999999997E-3</v>
      </c>
      <c r="K65" s="37" t="s">
        <v>282</v>
      </c>
    </row>
    <row r="66" spans="1:11" ht="16" x14ac:dyDescent="0.2">
      <c r="A66" s="5" t="s">
        <v>197</v>
      </c>
      <c r="B66" s="5" t="s">
        <v>280</v>
      </c>
      <c r="C66" s="5" t="s">
        <v>281</v>
      </c>
      <c r="D66" s="66" t="s">
        <v>219</v>
      </c>
      <c r="E66" s="66" t="s">
        <v>220</v>
      </c>
      <c r="F66" s="66" t="s">
        <v>222</v>
      </c>
      <c r="G66" s="66" t="s">
        <v>221</v>
      </c>
      <c r="H66" s="68" t="s">
        <v>223</v>
      </c>
      <c r="K66" s="37" t="s">
        <v>282</v>
      </c>
    </row>
    <row r="67" spans="1:11" x14ac:dyDescent="0.2">
      <c r="A67" s="5" t="s">
        <v>284</v>
      </c>
      <c r="B67" s="5" t="s">
        <v>280</v>
      </c>
      <c r="C67" s="5" t="s">
        <v>281</v>
      </c>
      <c r="K67" s="37" t="s">
        <v>282</v>
      </c>
    </row>
    <row r="68" spans="1:11" x14ac:dyDescent="0.2">
      <c r="A68" s="5" t="s">
        <v>68</v>
      </c>
      <c r="B68" s="5" t="s">
        <v>280</v>
      </c>
      <c r="C68" s="5" t="s">
        <v>281</v>
      </c>
      <c r="D68" s="90">
        <v>0.115</v>
      </c>
      <c r="K68" s="37" t="s">
        <v>282</v>
      </c>
    </row>
    <row r="72" spans="1:11" x14ac:dyDescent="0.2">
      <c r="A72" s="76" t="s">
        <v>285</v>
      </c>
    </row>
  </sheetData>
  <mergeCells count="1">
    <mergeCell ref="H52:H5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1"/>
  <sheetViews>
    <sheetView topLeftCell="A51" zoomScale="140" zoomScaleNormal="140" workbookViewId="0">
      <selection activeCell="B37" sqref="B37:C37"/>
    </sheetView>
  </sheetViews>
  <sheetFormatPr baseColWidth="10" defaultColWidth="9.1640625" defaultRowHeight="15" x14ac:dyDescent="0.2"/>
  <cols>
    <col min="1" max="1" width="30.1640625" style="1" customWidth="1"/>
    <col min="2" max="2" width="32.83203125" style="1" bestFit="1" customWidth="1"/>
    <col min="3" max="3" width="15.5" style="1" bestFit="1" customWidth="1"/>
    <col min="4" max="5" width="9.1640625" style="1"/>
    <col min="6" max="6" width="11.5" style="1" bestFit="1" customWidth="1"/>
    <col min="7" max="7" width="19.5" style="1" bestFit="1" customWidth="1"/>
    <col min="8" max="8" width="18.33203125" style="1" bestFit="1" customWidth="1"/>
    <col min="9" max="16384" width="9.1640625" style="1"/>
  </cols>
  <sheetData>
    <row r="1" spans="1:4" x14ac:dyDescent="0.2">
      <c r="A1" s="2" t="s">
        <v>0</v>
      </c>
    </row>
    <row r="3" spans="1:4" x14ac:dyDescent="0.2">
      <c r="A3" s="3" t="s">
        <v>1</v>
      </c>
      <c r="D3" s="39" t="s">
        <v>47</v>
      </c>
    </row>
    <row r="4" spans="1:4" x14ac:dyDescent="0.2">
      <c r="A4" s="3" t="s">
        <v>5</v>
      </c>
      <c r="D4" s="40"/>
    </row>
    <row r="5" spans="1:4" x14ac:dyDescent="0.2">
      <c r="A5" s="3" t="s">
        <v>7</v>
      </c>
      <c r="B5" s="1" t="s">
        <v>8</v>
      </c>
      <c r="D5" s="40"/>
    </row>
    <row r="6" spans="1:4" x14ac:dyDescent="0.2">
      <c r="A6" s="3" t="s">
        <v>2</v>
      </c>
      <c r="D6" s="39" t="s">
        <v>48</v>
      </c>
    </row>
    <row r="7" spans="1:4" x14ac:dyDescent="0.2">
      <c r="A7" s="3" t="s">
        <v>3</v>
      </c>
    </row>
    <row r="8" spans="1:4" x14ac:dyDescent="0.2">
      <c r="A8" s="3" t="s">
        <v>10</v>
      </c>
      <c r="C8" s="40" t="s">
        <v>89</v>
      </c>
      <c r="D8" s="19" t="s">
        <v>90</v>
      </c>
    </row>
    <row r="9" spans="1:4" x14ac:dyDescent="0.2">
      <c r="A9" s="3" t="s">
        <v>4</v>
      </c>
    </row>
    <row r="10" spans="1:4" x14ac:dyDescent="0.2">
      <c r="A10" s="3" t="s">
        <v>42</v>
      </c>
    </row>
    <row r="11" spans="1:4" x14ac:dyDescent="0.2">
      <c r="A11" s="3" t="s">
        <v>9</v>
      </c>
      <c r="B11" s="1" t="s">
        <v>91</v>
      </c>
    </row>
    <row r="12" spans="1:4" x14ac:dyDescent="0.2">
      <c r="A12" s="3" t="s">
        <v>44</v>
      </c>
    </row>
    <row r="13" spans="1:4" x14ac:dyDescent="0.2">
      <c r="A13" s="3" t="s">
        <v>45</v>
      </c>
      <c r="B13" s="1" t="s">
        <v>46</v>
      </c>
    </row>
    <row r="15" spans="1:4" x14ac:dyDescent="0.2">
      <c r="A15" s="21" t="s">
        <v>60</v>
      </c>
      <c r="B15" s="4"/>
      <c r="D15" s="43" t="s">
        <v>43</v>
      </c>
    </row>
    <row r="16" spans="1:4" x14ac:dyDescent="0.2">
      <c r="A16" s="3" t="s">
        <v>49</v>
      </c>
      <c r="B16" s="1" t="s">
        <v>114</v>
      </c>
      <c r="D16" s="43" t="s">
        <v>52</v>
      </c>
    </row>
    <row r="17" spans="1:6" x14ac:dyDescent="0.2">
      <c r="A17" s="3" t="s">
        <v>50</v>
      </c>
    </row>
    <row r="18" spans="1:6" x14ac:dyDescent="0.2">
      <c r="A18" s="3" t="s">
        <v>51</v>
      </c>
    </row>
    <row r="27" spans="1:6" x14ac:dyDescent="0.2">
      <c r="A27" s="39" t="s">
        <v>95</v>
      </c>
    </row>
    <row r="28" spans="1:6" x14ac:dyDescent="0.2">
      <c r="A28" s="1" t="s">
        <v>96</v>
      </c>
    </row>
    <row r="30" spans="1:6" x14ac:dyDescent="0.2">
      <c r="A30" s="39" t="s">
        <v>106</v>
      </c>
    </row>
    <row r="31" spans="1:6" x14ac:dyDescent="0.2">
      <c r="A31" s="39" t="s">
        <v>97</v>
      </c>
      <c r="B31" s="20" t="s">
        <v>99</v>
      </c>
      <c r="C31" s="20" t="s">
        <v>70</v>
      </c>
      <c r="D31" s="20" t="s">
        <v>67</v>
      </c>
      <c r="E31" s="20" t="s">
        <v>68</v>
      </c>
      <c r="F31" s="1" t="s">
        <v>104</v>
      </c>
    </row>
    <row r="32" spans="1:6" x14ac:dyDescent="0.2">
      <c r="A32" s="1" t="s">
        <v>60</v>
      </c>
    </row>
    <row r="33" spans="1:8" x14ac:dyDescent="0.2">
      <c r="A33" s="1" t="s">
        <v>98</v>
      </c>
      <c r="D33" s="484" t="s">
        <v>103</v>
      </c>
      <c r="E33" s="484" t="s">
        <v>103</v>
      </c>
      <c r="F33" s="485" t="s">
        <v>103</v>
      </c>
    </row>
    <row r="34" spans="1:8" x14ac:dyDescent="0.2">
      <c r="A34" s="1" t="s">
        <v>50</v>
      </c>
      <c r="B34" s="1" t="s">
        <v>100</v>
      </c>
      <c r="C34" s="1" t="s">
        <v>101</v>
      </c>
      <c r="D34" s="484"/>
      <c r="E34" s="484"/>
      <c r="F34" s="485"/>
    </row>
    <row r="35" spans="1:8" x14ac:dyDescent="0.2">
      <c r="A35" s="1" t="s">
        <v>51</v>
      </c>
      <c r="B35" s="1" t="s">
        <v>105</v>
      </c>
      <c r="C35" s="1" t="s">
        <v>102</v>
      </c>
      <c r="D35" s="484"/>
      <c r="E35" s="484"/>
      <c r="F35" s="485"/>
    </row>
    <row r="39" spans="1:8" x14ac:dyDescent="0.2">
      <c r="A39" s="41" t="s">
        <v>92</v>
      </c>
    </row>
    <row r="40" spans="1:8" x14ac:dyDescent="0.2">
      <c r="A40" s="1" t="s">
        <v>93</v>
      </c>
    </row>
    <row r="41" spans="1:8" x14ac:dyDescent="0.2">
      <c r="A41" s="1" t="s">
        <v>94</v>
      </c>
    </row>
    <row r="43" spans="1:8" x14ac:dyDescent="0.2">
      <c r="A43" s="21" t="s">
        <v>5</v>
      </c>
      <c r="B43" s="21" t="s">
        <v>108</v>
      </c>
      <c r="C43" s="21" t="s">
        <v>109</v>
      </c>
      <c r="D43" s="21" t="s">
        <v>10</v>
      </c>
      <c r="E43" s="21" t="s">
        <v>110</v>
      </c>
      <c r="F43" s="21" t="s">
        <v>111</v>
      </c>
      <c r="G43" s="21" t="s">
        <v>44</v>
      </c>
      <c r="H43" s="42" t="s">
        <v>112</v>
      </c>
    </row>
    <row r="44" spans="1:8" x14ac:dyDescent="0.2">
      <c r="A44" s="22"/>
      <c r="B44" s="22"/>
      <c r="C44" s="22"/>
      <c r="D44" s="22"/>
      <c r="E44" s="22"/>
      <c r="F44" s="22"/>
      <c r="G44" s="22"/>
      <c r="H44" s="486" t="s">
        <v>113</v>
      </c>
    </row>
    <row r="45" spans="1:8" x14ac:dyDescent="0.2">
      <c r="A45" s="22"/>
      <c r="B45" s="22"/>
      <c r="C45" s="22"/>
      <c r="D45" s="22"/>
      <c r="E45" s="22"/>
      <c r="F45" s="22"/>
      <c r="G45" s="22"/>
      <c r="H45" s="487"/>
    </row>
    <row r="46" spans="1:8" x14ac:dyDescent="0.2">
      <c r="A46" s="22"/>
      <c r="B46" s="22"/>
      <c r="C46" s="22"/>
      <c r="D46" s="22"/>
      <c r="E46" s="22"/>
      <c r="F46" s="22"/>
      <c r="G46" s="22"/>
      <c r="H46" s="487"/>
    </row>
    <row r="47" spans="1:8" x14ac:dyDescent="0.2">
      <c r="A47" s="22"/>
      <c r="B47" s="22"/>
      <c r="C47" s="22"/>
      <c r="D47" s="22"/>
      <c r="E47" s="22"/>
      <c r="F47" s="22"/>
      <c r="G47" s="22"/>
      <c r="H47" s="487"/>
    </row>
    <row r="48" spans="1:8" x14ac:dyDescent="0.2">
      <c r="A48" s="22"/>
      <c r="B48" s="22"/>
      <c r="C48" s="22"/>
      <c r="D48" s="22"/>
      <c r="E48" s="22"/>
      <c r="F48" s="22"/>
      <c r="G48" s="22"/>
      <c r="H48" s="487"/>
    </row>
    <row r="49" spans="1:8" x14ac:dyDescent="0.2">
      <c r="A49" s="22"/>
      <c r="B49" s="22"/>
      <c r="C49" s="22"/>
      <c r="D49" s="22"/>
      <c r="E49" s="22"/>
      <c r="F49" s="22"/>
      <c r="G49" s="22"/>
      <c r="H49" s="488"/>
    </row>
    <row r="52" spans="1:8" x14ac:dyDescent="0.2">
      <c r="A52" s="36" t="s">
        <v>152</v>
      </c>
    </row>
    <row r="53" spans="1:8" x14ac:dyDescent="0.2">
      <c r="A53" s="1" t="s">
        <v>153</v>
      </c>
    </row>
    <row r="57" spans="1:8" x14ac:dyDescent="0.2">
      <c r="A57" s="38" t="s">
        <v>170</v>
      </c>
    </row>
    <row r="58" spans="1:8" x14ac:dyDescent="0.2">
      <c r="A58" s="1" t="s">
        <v>171</v>
      </c>
      <c r="B58" s="1" t="s">
        <v>172</v>
      </c>
    </row>
    <row r="59" spans="1:8" x14ac:dyDescent="0.2">
      <c r="A59" s="1" t="s">
        <v>152</v>
      </c>
      <c r="B59" s="1" t="s">
        <v>173</v>
      </c>
    </row>
    <row r="60" spans="1:8" x14ac:dyDescent="0.2">
      <c r="A60" s="1" t="s">
        <v>152</v>
      </c>
      <c r="B60" s="1" t="s">
        <v>21</v>
      </c>
    </row>
    <row r="61" spans="1:8" x14ac:dyDescent="0.2">
      <c r="B61" s="1" t="s">
        <v>174</v>
      </c>
    </row>
  </sheetData>
  <mergeCells count="4">
    <mergeCell ref="D33:D35"/>
    <mergeCell ref="E33:E35"/>
    <mergeCell ref="F33:F35"/>
    <mergeCell ref="H44:H49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5"/>
  <sheetViews>
    <sheetView workbookViewId="0">
      <selection activeCell="L34" sqref="L34"/>
    </sheetView>
  </sheetViews>
  <sheetFormatPr baseColWidth="10" defaultColWidth="9.1640625" defaultRowHeight="14" x14ac:dyDescent="0.2"/>
  <cols>
    <col min="1" max="1" width="18.1640625" style="5" customWidth="1"/>
    <col min="2" max="2" width="19.33203125" style="5" customWidth="1"/>
    <col min="3" max="3" width="9" style="5" bestFit="1" customWidth="1"/>
    <col min="4" max="6" width="9" style="5" customWidth="1"/>
    <col min="7" max="7" width="12.33203125" style="5" customWidth="1"/>
    <col min="8" max="8" width="8.5" style="5" customWidth="1"/>
    <col min="9" max="10" width="7.6640625" style="5" bestFit="1" customWidth="1"/>
    <col min="11" max="11" width="8.5" style="5" bestFit="1" customWidth="1"/>
    <col min="12" max="13" width="7.83203125" style="5" bestFit="1" customWidth="1"/>
    <col min="14" max="14" width="11.33203125" style="5" customWidth="1"/>
    <col min="15" max="15" width="12.1640625" style="5" bestFit="1" customWidth="1"/>
    <col min="16" max="16384" width="9.1640625" style="5"/>
  </cols>
  <sheetData>
    <row r="1" spans="1:15" x14ac:dyDescent="0.2">
      <c r="A1" s="492" t="s">
        <v>154</v>
      </c>
      <c r="B1" s="492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2"/>
    </row>
    <row r="3" spans="1:15" x14ac:dyDescent="0.2">
      <c r="A3" s="31" t="s">
        <v>5</v>
      </c>
      <c r="B3" s="46"/>
      <c r="C3" s="46"/>
      <c r="D3" s="46"/>
      <c r="E3" s="50"/>
      <c r="F3" s="50"/>
      <c r="G3" s="50"/>
      <c r="H3" s="50" t="s">
        <v>180</v>
      </c>
      <c r="I3" s="46"/>
      <c r="J3" s="46"/>
      <c r="K3" s="46"/>
      <c r="L3" s="46"/>
      <c r="M3" s="31"/>
      <c r="N3" s="31" t="s">
        <v>13</v>
      </c>
      <c r="O3" s="46"/>
    </row>
    <row r="4" spans="1:15" x14ac:dyDescent="0.2">
      <c r="A4" s="31" t="s">
        <v>11</v>
      </c>
      <c r="B4" s="46"/>
      <c r="C4" s="47"/>
      <c r="D4" s="47"/>
      <c r="E4" s="46"/>
      <c r="F4" s="46"/>
      <c r="G4" s="46"/>
      <c r="H4" s="48" t="s">
        <v>12</v>
      </c>
      <c r="I4" s="46"/>
      <c r="J4" s="46"/>
      <c r="K4" s="46"/>
      <c r="L4" s="46"/>
      <c r="M4" s="31"/>
      <c r="N4" s="31" t="s">
        <v>14</v>
      </c>
      <c r="O4" s="46"/>
    </row>
    <row r="5" spans="1:15" x14ac:dyDescent="0.2">
      <c r="A5" s="31" t="s">
        <v>177</v>
      </c>
    </row>
    <row r="7" spans="1:15" ht="15" customHeight="1" x14ac:dyDescent="0.2">
      <c r="C7" s="30" t="s">
        <v>87</v>
      </c>
      <c r="D7" s="49" t="s">
        <v>266</v>
      </c>
      <c r="E7" s="49" t="s">
        <v>265</v>
      </c>
      <c r="G7" s="489" t="s">
        <v>59</v>
      </c>
      <c r="H7" s="10">
        <v>0.03</v>
      </c>
      <c r="I7" s="10">
        <v>0.02</v>
      </c>
      <c r="J7" s="10">
        <v>0.01</v>
      </c>
      <c r="K7" s="10">
        <v>0</v>
      </c>
      <c r="L7" s="10">
        <v>0</v>
      </c>
      <c r="N7" s="490" t="s">
        <v>60</v>
      </c>
      <c r="O7" s="491" t="s">
        <v>21</v>
      </c>
    </row>
    <row r="8" spans="1:15" s="6" customFormat="1" x14ac:dyDescent="0.2">
      <c r="A8" s="6" t="s">
        <v>2</v>
      </c>
      <c r="B8" s="6" t="s">
        <v>15</v>
      </c>
      <c r="C8" s="13" t="s">
        <v>16</v>
      </c>
      <c r="D8" s="79" t="s">
        <v>16</v>
      </c>
      <c r="E8" s="79" t="s">
        <v>16</v>
      </c>
      <c r="F8" s="6" t="s">
        <v>10</v>
      </c>
      <c r="G8" s="489"/>
      <c r="H8" s="6" t="s">
        <v>17</v>
      </c>
      <c r="I8" s="6" t="s">
        <v>18</v>
      </c>
      <c r="J8" s="6" t="s">
        <v>19</v>
      </c>
      <c r="K8" s="6" t="s">
        <v>20</v>
      </c>
      <c r="L8" s="6" t="s">
        <v>53</v>
      </c>
      <c r="M8" s="6" t="s">
        <v>6</v>
      </c>
      <c r="N8" s="490"/>
      <c r="O8" s="491"/>
    </row>
    <row r="9" spans="1:15" x14ac:dyDescent="0.2">
      <c r="A9" s="5" t="s">
        <v>22</v>
      </c>
      <c r="B9" s="5" t="s">
        <v>31</v>
      </c>
      <c r="C9" s="14">
        <v>500</v>
      </c>
      <c r="D9" s="13"/>
      <c r="E9" s="13"/>
      <c r="F9" s="5" t="s">
        <v>40</v>
      </c>
      <c r="G9" s="7">
        <v>1000</v>
      </c>
      <c r="H9" s="7">
        <f>IF($H$7&gt;0,ROUND(G9*$H$7,2),G9)</f>
        <v>30</v>
      </c>
      <c r="I9" s="7">
        <f>IF($I$7&gt;0,ROUND((G9-H9)*$I$7,2),0)</f>
        <v>19.399999999999999</v>
      </c>
      <c r="J9" s="7">
        <f>IF($J$7&gt;0,ROUND((G9-H9-I9)*$J$7,2),0)</f>
        <v>9.51</v>
      </c>
      <c r="K9" s="7">
        <f>IF($K$7&gt;0,ROUND((G9-H9-I9-J9)*$K$7,2),0)</f>
        <v>0</v>
      </c>
      <c r="L9" s="7">
        <f>IF($L$7&gt;0,ROUND((G9-H9-I9-J9-K9)*$L$7,2),0)</f>
        <v>0</v>
      </c>
      <c r="M9" s="11">
        <v>1</v>
      </c>
      <c r="N9" s="15">
        <f>ROUND(G9-H9-I9-J9-K9-L9+M9,2)</f>
        <v>942.09</v>
      </c>
      <c r="O9" s="15">
        <f t="shared" ref="O9:O17" si="0">C9*N9</f>
        <v>471045</v>
      </c>
    </row>
    <row r="10" spans="1:15" x14ac:dyDescent="0.2">
      <c r="A10" s="5" t="s">
        <v>23</v>
      </c>
      <c r="B10" s="5" t="s">
        <v>32</v>
      </c>
      <c r="C10" s="14">
        <v>100</v>
      </c>
      <c r="D10" s="13"/>
      <c r="E10" s="13"/>
      <c r="F10" s="5" t="s">
        <v>40</v>
      </c>
      <c r="G10" s="7">
        <v>1100</v>
      </c>
      <c r="H10" s="7">
        <f t="shared" ref="H10:H17" si="1">IF($H$7&gt;0,ROUND(G10*$H$7,2),G10)</f>
        <v>33</v>
      </c>
      <c r="I10" s="7">
        <f t="shared" ref="I10:I17" si="2">IF($I$7&gt;0,ROUND((G10-H10)*$I$7,2),0)</f>
        <v>21.34</v>
      </c>
      <c r="J10" s="7">
        <f t="shared" ref="J10:J17" si="3">IF($J$7&gt;0,ROUND((G10-H10-I10)*$J$7,2),0)</f>
        <v>10.46</v>
      </c>
      <c r="K10" s="7">
        <f t="shared" ref="K10:K17" si="4">IF($K$7&gt;0,ROUND((G10-H10-I10-J10)*$K$7,2),0)</f>
        <v>0</v>
      </c>
      <c r="L10" s="7">
        <f t="shared" ref="L10:L17" si="5">IF($L$7&gt;0,ROUND((G10-H10-I10-J10-K10)*$L$7,2),0)</f>
        <v>0</v>
      </c>
      <c r="M10" s="11">
        <v>1</v>
      </c>
      <c r="N10" s="15">
        <f t="shared" ref="N10:N17" si="6">ROUND(G10-H10-I10-J10-K10-L10+M10,2)</f>
        <v>1036.2</v>
      </c>
      <c r="O10" s="15">
        <f t="shared" si="0"/>
        <v>103620</v>
      </c>
    </row>
    <row r="11" spans="1:15" x14ac:dyDescent="0.2">
      <c r="A11" s="5" t="s">
        <v>24</v>
      </c>
      <c r="B11" s="5" t="s">
        <v>33</v>
      </c>
      <c r="C11" s="14">
        <v>600</v>
      </c>
      <c r="D11" s="13"/>
      <c r="E11" s="13"/>
      <c r="F11" s="5" t="s">
        <v>40</v>
      </c>
      <c r="G11" s="7">
        <v>1200</v>
      </c>
      <c r="H11" s="7">
        <f t="shared" si="1"/>
        <v>36</v>
      </c>
      <c r="I11" s="7">
        <f t="shared" si="2"/>
        <v>23.28</v>
      </c>
      <c r="J11" s="7">
        <f t="shared" si="3"/>
        <v>11.41</v>
      </c>
      <c r="K11" s="7">
        <f t="shared" si="4"/>
        <v>0</v>
      </c>
      <c r="L11" s="7">
        <f t="shared" si="5"/>
        <v>0</v>
      </c>
      <c r="M11" s="11">
        <v>1</v>
      </c>
      <c r="N11" s="15">
        <f t="shared" si="6"/>
        <v>1130.31</v>
      </c>
      <c r="O11" s="15">
        <f t="shared" si="0"/>
        <v>678186</v>
      </c>
    </row>
    <row r="12" spans="1:15" x14ac:dyDescent="0.2">
      <c r="A12" s="5" t="s">
        <v>25</v>
      </c>
      <c r="B12" s="5" t="s">
        <v>34</v>
      </c>
      <c r="C12" s="14">
        <v>200</v>
      </c>
      <c r="D12" s="13"/>
      <c r="E12" s="13"/>
      <c r="F12" s="5" t="s">
        <v>40</v>
      </c>
      <c r="G12" s="7">
        <v>1300</v>
      </c>
      <c r="H12" s="7">
        <f t="shared" si="1"/>
        <v>39</v>
      </c>
      <c r="I12" s="7">
        <f t="shared" si="2"/>
        <v>25.22</v>
      </c>
      <c r="J12" s="7">
        <f t="shared" si="3"/>
        <v>12.36</v>
      </c>
      <c r="K12" s="7">
        <f t="shared" si="4"/>
        <v>0</v>
      </c>
      <c r="L12" s="7">
        <f t="shared" si="5"/>
        <v>0</v>
      </c>
      <c r="M12" s="11">
        <v>1</v>
      </c>
      <c r="N12" s="15">
        <f t="shared" si="6"/>
        <v>1224.42</v>
      </c>
      <c r="O12" s="15">
        <f t="shared" si="0"/>
        <v>244884</v>
      </c>
    </row>
    <row r="13" spans="1:15" x14ac:dyDescent="0.2">
      <c r="A13" s="5" t="s">
        <v>26</v>
      </c>
      <c r="B13" s="5" t="s">
        <v>35</v>
      </c>
      <c r="C13" s="14">
        <v>300</v>
      </c>
      <c r="D13" s="13"/>
      <c r="E13" s="13"/>
      <c r="F13" s="5" t="s">
        <v>40</v>
      </c>
      <c r="G13" s="7">
        <v>1400</v>
      </c>
      <c r="H13" s="7">
        <f t="shared" si="1"/>
        <v>42</v>
      </c>
      <c r="I13" s="7">
        <f t="shared" si="2"/>
        <v>27.16</v>
      </c>
      <c r="J13" s="7">
        <f t="shared" si="3"/>
        <v>13.31</v>
      </c>
      <c r="K13" s="7">
        <f t="shared" si="4"/>
        <v>0</v>
      </c>
      <c r="L13" s="7">
        <f t="shared" si="5"/>
        <v>0</v>
      </c>
      <c r="M13" s="11">
        <v>1</v>
      </c>
      <c r="N13" s="15">
        <f t="shared" si="6"/>
        <v>1318.53</v>
      </c>
      <c r="O13" s="15">
        <f t="shared" si="0"/>
        <v>395559</v>
      </c>
    </row>
    <row r="14" spans="1:15" x14ac:dyDescent="0.2">
      <c r="A14" s="5" t="s">
        <v>27</v>
      </c>
      <c r="B14" s="5" t="s">
        <v>36</v>
      </c>
      <c r="C14" s="14">
        <v>400</v>
      </c>
      <c r="D14" s="13"/>
      <c r="E14" s="13"/>
      <c r="F14" s="5" t="s">
        <v>40</v>
      </c>
      <c r="G14" s="7">
        <v>1500</v>
      </c>
      <c r="H14" s="7">
        <f t="shared" si="1"/>
        <v>45</v>
      </c>
      <c r="I14" s="7">
        <f t="shared" si="2"/>
        <v>29.1</v>
      </c>
      <c r="J14" s="7">
        <f t="shared" si="3"/>
        <v>14.26</v>
      </c>
      <c r="K14" s="7">
        <f t="shared" si="4"/>
        <v>0</v>
      </c>
      <c r="L14" s="7">
        <f t="shared" si="5"/>
        <v>0</v>
      </c>
      <c r="M14" s="11">
        <v>1</v>
      </c>
      <c r="N14" s="15">
        <f t="shared" si="6"/>
        <v>1412.64</v>
      </c>
      <c r="O14" s="15">
        <f t="shared" si="0"/>
        <v>565056</v>
      </c>
    </row>
    <row r="15" spans="1:15" x14ac:dyDescent="0.2">
      <c r="A15" s="5" t="s">
        <v>28</v>
      </c>
      <c r="B15" s="5" t="s">
        <v>37</v>
      </c>
      <c r="C15" s="14">
        <v>100</v>
      </c>
      <c r="D15" s="13"/>
      <c r="E15" s="13"/>
      <c r="F15" s="5" t="s">
        <v>40</v>
      </c>
      <c r="G15" s="7">
        <v>1600</v>
      </c>
      <c r="H15" s="7">
        <f t="shared" si="1"/>
        <v>48</v>
      </c>
      <c r="I15" s="7">
        <f t="shared" si="2"/>
        <v>31.04</v>
      </c>
      <c r="J15" s="7">
        <f t="shared" si="3"/>
        <v>15.21</v>
      </c>
      <c r="K15" s="7">
        <f t="shared" si="4"/>
        <v>0</v>
      </c>
      <c r="L15" s="7">
        <f t="shared" si="5"/>
        <v>0</v>
      </c>
      <c r="M15" s="11">
        <v>1</v>
      </c>
      <c r="N15" s="15">
        <f t="shared" si="6"/>
        <v>1506.75</v>
      </c>
      <c r="O15" s="15">
        <f t="shared" si="0"/>
        <v>150675</v>
      </c>
    </row>
    <row r="16" spans="1:15" x14ac:dyDescent="0.2">
      <c r="A16" s="5" t="s">
        <v>29</v>
      </c>
      <c r="B16" s="5" t="s">
        <v>38</v>
      </c>
      <c r="C16" s="14">
        <v>300</v>
      </c>
      <c r="D16" s="13"/>
      <c r="E16" s="13"/>
      <c r="F16" s="5" t="s">
        <v>40</v>
      </c>
      <c r="G16" s="7">
        <v>1700</v>
      </c>
      <c r="H16" s="7">
        <f t="shared" si="1"/>
        <v>51</v>
      </c>
      <c r="I16" s="7">
        <f t="shared" si="2"/>
        <v>32.979999999999997</v>
      </c>
      <c r="J16" s="7">
        <f t="shared" si="3"/>
        <v>16.16</v>
      </c>
      <c r="K16" s="7">
        <f t="shared" si="4"/>
        <v>0</v>
      </c>
      <c r="L16" s="7">
        <f t="shared" si="5"/>
        <v>0</v>
      </c>
      <c r="M16" s="11">
        <v>1</v>
      </c>
      <c r="N16" s="15">
        <f t="shared" si="6"/>
        <v>1600.86</v>
      </c>
      <c r="O16" s="15">
        <f t="shared" si="0"/>
        <v>480257.99999999994</v>
      </c>
    </row>
    <row r="17" spans="1:15" x14ac:dyDescent="0.2">
      <c r="A17" s="5" t="s">
        <v>30</v>
      </c>
      <c r="B17" s="5" t="s">
        <v>39</v>
      </c>
      <c r="C17" s="14">
        <v>200</v>
      </c>
      <c r="D17" s="13"/>
      <c r="E17" s="13"/>
      <c r="F17" s="5" t="s">
        <v>40</v>
      </c>
      <c r="G17" s="7">
        <v>1800</v>
      </c>
      <c r="H17" s="7">
        <f t="shared" si="1"/>
        <v>54</v>
      </c>
      <c r="I17" s="7">
        <f t="shared" si="2"/>
        <v>34.92</v>
      </c>
      <c r="J17" s="7">
        <f t="shared" si="3"/>
        <v>17.11</v>
      </c>
      <c r="K17" s="7">
        <f t="shared" si="4"/>
        <v>0</v>
      </c>
      <c r="L17" s="7">
        <f t="shared" si="5"/>
        <v>0</v>
      </c>
      <c r="M17" s="11">
        <v>1</v>
      </c>
      <c r="N17" s="15">
        <f t="shared" si="6"/>
        <v>1694.97</v>
      </c>
      <c r="O17" s="15">
        <f t="shared" si="0"/>
        <v>338994</v>
      </c>
    </row>
    <row r="18" spans="1:15" x14ac:dyDescent="0.2">
      <c r="G18" s="8"/>
    </row>
    <row r="19" spans="1:15" ht="15" thickBot="1" x14ac:dyDescent="0.25">
      <c r="G19" s="8"/>
      <c r="H19" s="9"/>
      <c r="I19" s="8"/>
      <c r="J19" s="8">
        <f>G9-H9-I9</f>
        <v>950.6</v>
      </c>
      <c r="N19" s="6" t="s">
        <v>41</v>
      </c>
      <c r="O19" s="12">
        <f>SUM(O9:O17)</f>
        <v>3428277</v>
      </c>
    </row>
    <row r="20" spans="1:15" ht="15" thickTop="1" x14ac:dyDescent="0.2">
      <c r="G20" s="17" t="s">
        <v>54</v>
      </c>
      <c r="J20" s="8">
        <f>J19*0.01</f>
        <v>9.5060000000000002</v>
      </c>
      <c r="K20" s="18">
        <f>9.7/J19</f>
        <v>1.020408163265306E-2</v>
      </c>
    </row>
    <row r="21" spans="1:15" x14ac:dyDescent="0.2">
      <c r="G21" s="5" t="s">
        <v>56</v>
      </c>
      <c r="H21" s="9" t="s">
        <v>55</v>
      </c>
    </row>
    <row r="22" spans="1:15" x14ac:dyDescent="0.2">
      <c r="G22" s="5" t="s">
        <v>57</v>
      </c>
      <c r="H22" s="5" t="s">
        <v>58</v>
      </c>
    </row>
    <row r="24" spans="1:15" x14ac:dyDescent="0.2">
      <c r="A24" s="31" t="s">
        <v>178</v>
      </c>
      <c r="B24" s="31" t="s">
        <v>179</v>
      </c>
    </row>
    <row r="25" spans="1:15" x14ac:dyDescent="0.2">
      <c r="A25" s="46"/>
      <c r="B25" s="31"/>
      <c r="G25" s="16" t="s">
        <v>61</v>
      </c>
    </row>
    <row r="26" spans="1:15" x14ac:dyDescent="0.2">
      <c r="A26" s="31" t="s">
        <v>181</v>
      </c>
      <c r="B26" s="31"/>
      <c r="G26" s="16" t="s">
        <v>62</v>
      </c>
    </row>
    <row r="31" spans="1:15" x14ac:dyDescent="0.2">
      <c r="A31" s="44" t="s">
        <v>145</v>
      </c>
      <c r="B31" s="33"/>
    </row>
    <row r="33" spans="1:2" x14ac:dyDescent="0.2">
      <c r="A33" s="5" t="s">
        <v>6</v>
      </c>
      <c r="B33" s="5" t="s">
        <v>146</v>
      </c>
    </row>
    <row r="34" spans="1:2" x14ac:dyDescent="0.2">
      <c r="B34" s="45" t="s">
        <v>147</v>
      </c>
    </row>
    <row r="37" spans="1:2" x14ac:dyDescent="0.2">
      <c r="A37" s="31" t="s">
        <v>175</v>
      </c>
    </row>
    <row r="38" spans="1:2" x14ac:dyDescent="0.2">
      <c r="A38" s="32" t="s">
        <v>154</v>
      </c>
      <c r="B38" s="5" t="s">
        <v>176</v>
      </c>
    </row>
    <row r="44" spans="1:2" x14ac:dyDescent="0.2">
      <c r="A44" s="45" t="s">
        <v>156</v>
      </c>
      <c r="B44" s="45"/>
    </row>
    <row r="45" spans="1:2" x14ac:dyDescent="0.2">
      <c r="A45" s="45" t="s">
        <v>155</v>
      </c>
      <c r="B45" s="45"/>
    </row>
  </sheetData>
  <mergeCells count="4">
    <mergeCell ref="G7:G8"/>
    <mergeCell ref="N7:N8"/>
    <mergeCell ref="O7:O8"/>
    <mergeCell ref="A1:O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0"/>
  <sheetViews>
    <sheetView zoomScale="140" zoomScaleNormal="140" workbookViewId="0">
      <selection activeCell="A32" sqref="A32:G50"/>
    </sheetView>
  </sheetViews>
  <sheetFormatPr baseColWidth="10" defaultColWidth="9.1640625" defaultRowHeight="14" x14ac:dyDescent="0.2"/>
  <cols>
    <col min="1" max="1" width="13.6640625" style="5" customWidth="1"/>
    <col min="2" max="2" width="18.5" style="5" customWidth="1"/>
    <col min="3" max="3" width="10.83203125" style="7" customWidth="1"/>
    <col min="4" max="4" width="13.5" style="7" customWidth="1"/>
    <col min="5" max="5" width="12.6640625" style="5" customWidth="1"/>
    <col min="6" max="7" width="12.6640625" style="7" customWidth="1"/>
    <col min="8" max="16384" width="9.1640625" style="5"/>
  </cols>
  <sheetData>
    <row r="1" spans="1:6" x14ac:dyDescent="0.2">
      <c r="A1" s="455" t="s">
        <v>243</v>
      </c>
      <c r="B1" s="455"/>
      <c r="C1" s="455"/>
      <c r="D1" s="455"/>
    </row>
    <row r="2" spans="1:6" x14ac:dyDescent="0.2">
      <c r="A2" s="455" t="s">
        <v>244</v>
      </c>
      <c r="B2" s="455"/>
      <c r="C2" s="455"/>
      <c r="D2" s="455"/>
    </row>
    <row r="3" spans="1:6" x14ac:dyDescent="0.2">
      <c r="A3" s="455" t="s">
        <v>245</v>
      </c>
      <c r="B3" s="455"/>
      <c r="C3" s="455"/>
      <c r="D3" s="455"/>
    </row>
    <row r="4" spans="1:6" x14ac:dyDescent="0.2">
      <c r="A4" s="16"/>
      <c r="B4" s="16"/>
      <c r="C4" s="113"/>
      <c r="D4" s="113"/>
    </row>
    <row r="5" spans="1:6" x14ac:dyDescent="0.2">
      <c r="A5" s="455" t="s">
        <v>246</v>
      </c>
      <c r="B5" s="455"/>
      <c r="C5" s="455"/>
      <c r="D5" s="455"/>
    </row>
    <row r="6" spans="1:6" x14ac:dyDescent="0.2">
      <c r="A6" s="16"/>
      <c r="B6" s="16"/>
      <c r="C6" s="113"/>
      <c r="D6" s="113"/>
    </row>
    <row r="7" spans="1:6" x14ac:dyDescent="0.2">
      <c r="A7" s="16" t="s">
        <v>5</v>
      </c>
      <c r="B7" s="78"/>
      <c r="C7" s="113" t="s">
        <v>13</v>
      </c>
      <c r="D7" s="120"/>
    </row>
    <row r="8" spans="1:6" x14ac:dyDescent="0.2">
      <c r="C8" s="114"/>
      <c r="D8" s="114"/>
      <c r="E8" s="75"/>
      <c r="F8" s="114"/>
    </row>
    <row r="9" spans="1:6" x14ac:dyDescent="0.2">
      <c r="A9" s="76" t="s">
        <v>248</v>
      </c>
      <c r="C9" s="114"/>
      <c r="D9" s="114"/>
      <c r="E9" s="75"/>
      <c r="F9" s="114"/>
    </row>
    <row r="10" spans="1:6" x14ac:dyDescent="0.2">
      <c r="A10" s="37" t="s">
        <v>108</v>
      </c>
      <c r="B10" s="37" t="s">
        <v>247</v>
      </c>
      <c r="C10" s="115" t="s">
        <v>16</v>
      </c>
      <c r="D10" s="115" t="s">
        <v>10</v>
      </c>
    </row>
    <row r="15" spans="1:6" x14ac:dyDescent="0.2">
      <c r="A15" s="76" t="s">
        <v>249</v>
      </c>
    </row>
    <row r="16" spans="1:6" x14ac:dyDescent="0.2">
      <c r="A16" s="37" t="s">
        <v>108</v>
      </c>
      <c r="B16" s="37" t="s">
        <v>247</v>
      </c>
      <c r="C16" s="115" t="s">
        <v>16</v>
      </c>
      <c r="D16" s="115" t="s">
        <v>10</v>
      </c>
    </row>
    <row r="23" spans="1:7" x14ac:dyDescent="0.2">
      <c r="A23" s="16" t="s">
        <v>250</v>
      </c>
      <c r="C23" s="113" t="s">
        <v>251</v>
      </c>
    </row>
    <row r="25" spans="1:7" x14ac:dyDescent="0.2">
      <c r="A25" s="77"/>
      <c r="B25" s="77"/>
      <c r="C25" s="116"/>
      <c r="D25" s="116"/>
    </row>
    <row r="32" spans="1:7" x14ac:dyDescent="0.2">
      <c r="A32" s="31" t="s">
        <v>316</v>
      </c>
      <c r="B32" s="31"/>
      <c r="C32" s="117"/>
      <c r="D32" s="117"/>
      <c r="E32" s="31"/>
      <c r="F32" s="117"/>
      <c r="G32" s="117"/>
    </row>
    <row r="33" spans="1:7" x14ac:dyDescent="0.2">
      <c r="A33" s="31"/>
      <c r="B33" s="493" t="s">
        <v>40</v>
      </c>
      <c r="C33" s="493"/>
      <c r="D33" s="493"/>
      <c r="E33" s="493" t="s">
        <v>319</v>
      </c>
      <c r="F33" s="493"/>
      <c r="G33" s="493"/>
    </row>
    <row r="34" spans="1:7" x14ac:dyDescent="0.2">
      <c r="A34" s="31"/>
      <c r="B34" s="97" t="s">
        <v>317</v>
      </c>
      <c r="C34" s="118" t="s">
        <v>168</v>
      </c>
      <c r="D34" s="118" t="s">
        <v>318</v>
      </c>
      <c r="E34" s="97" t="s">
        <v>320</v>
      </c>
      <c r="F34" s="118" t="s">
        <v>168</v>
      </c>
      <c r="G34" s="118" t="s">
        <v>318</v>
      </c>
    </row>
    <row r="35" spans="1:7" x14ac:dyDescent="0.2">
      <c r="A35" s="31"/>
      <c r="B35" s="72">
        <v>1</v>
      </c>
      <c r="C35" s="119">
        <v>11231.23</v>
      </c>
      <c r="D35" s="121">
        <f>B35*C35</f>
        <v>11231.23</v>
      </c>
      <c r="E35" s="72">
        <v>50</v>
      </c>
      <c r="F35" s="119">
        <f>D35/E35</f>
        <v>224.62459999999999</v>
      </c>
      <c r="G35" s="121">
        <f>E35*F35</f>
        <v>11231.23</v>
      </c>
    </row>
    <row r="37" spans="1:7" x14ac:dyDescent="0.2">
      <c r="A37" s="31" t="s">
        <v>393</v>
      </c>
      <c r="B37" s="31"/>
      <c r="C37" s="117"/>
      <c r="D37" s="117"/>
      <c r="E37" s="31"/>
      <c r="F37" s="117"/>
      <c r="G37" s="117"/>
    </row>
    <row r="38" spans="1:7" x14ac:dyDescent="0.2">
      <c r="A38" s="31"/>
      <c r="B38" s="493" t="s">
        <v>40</v>
      </c>
      <c r="C38" s="493"/>
      <c r="D38" s="493"/>
      <c r="E38" s="493" t="s">
        <v>319</v>
      </c>
      <c r="F38" s="493"/>
      <c r="G38" s="493"/>
    </row>
    <row r="39" spans="1:7" x14ac:dyDescent="0.2">
      <c r="A39" s="31"/>
      <c r="B39" s="97" t="s">
        <v>317</v>
      </c>
      <c r="C39" s="118" t="s">
        <v>49</v>
      </c>
      <c r="D39" s="118" t="s">
        <v>395</v>
      </c>
      <c r="E39" s="97" t="s">
        <v>320</v>
      </c>
      <c r="F39" s="118" t="s">
        <v>49</v>
      </c>
      <c r="G39" s="118" t="s">
        <v>395</v>
      </c>
    </row>
    <row r="40" spans="1:7" x14ac:dyDescent="0.2">
      <c r="A40" s="31"/>
      <c r="B40" s="72">
        <v>10</v>
      </c>
      <c r="C40" s="119">
        <v>10</v>
      </c>
      <c r="D40" s="121">
        <f>B40*C40</f>
        <v>100</v>
      </c>
      <c r="E40" s="72">
        <v>500</v>
      </c>
      <c r="F40" s="119">
        <f>D40/E40</f>
        <v>0.2</v>
      </c>
      <c r="G40" s="121">
        <f>E40*F40</f>
        <v>100</v>
      </c>
    </row>
    <row r="42" spans="1:7" x14ac:dyDescent="0.2">
      <c r="A42" s="31" t="s">
        <v>394</v>
      </c>
      <c r="B42" s="31"/>
      <c r="C42" s="117"/>
      <c r="D42" s="117"/>
      <c r="E42" s="31"/>
      <c r="F42" s="117"/>
      <c r="G42" s="117"/>
    </row>
    <row r="43" spans="1:7" x14ac:dyDescent="0.2">
      <c r="A43" s="31"/>
      <c r="B43" s="493" t="s">
        <v>40</v>
      </c>
      <c r="C43" s="493"/>
      <c r="D43" s="493"/>
      <c r="E43" s="493" t="s">
        <v>319</v>
      </c>
      <c r="F43" s="493"/>
      <c r="G43" s="493"/>
    </row>
    <row r="44" spans="1:7" x14ac:dyDescent="0.2">
      <c r="A44" s="31"/>
      <c r="B44" s="97" t="s">
        <v>317</v>
      </c>
      <c r="C44" s="118" t="s">
        <v>50</v>
      </c>
      <c r="D44" s="118" t="s">
        <v>396</v>
      </c>
      <c r="E44" s="97" t="s">
        <v>320</v>
      </c>
      <c r="F44" s="118" t="s">
        <v>50</v>
      </c>
      <c r="G44" s="118" t="s">
        <v>396</v>
      </c>
    </row>
    <row r="45" spans="1:7" x14ac:dyDescent="0.2">
      <c r="A45" s="31"/>
      <c r="B45" s="72">
        <v>10</v>
      </c>
      <c r="C45" s="119">
        <v>10</v>
      </c>
      <c r="D45" s="121">
        <f>B45*C45</f>
        <v>100</v>
      </c>
      <c r="E45" s="72">
        <v>500</v>
      </c>
      <c r="F45" s="119">
        <f>D45/E45</f>
        <v>0.2</v>
      </c>
      <c r="G45" s="121">
        <f>E45*F45</f>
        <v>100</v>
      </c>
    </row>
    <row r="47" spans="1:7" x14ac:dyDescent="0.2">
      <c r="A47" s="31" t="s">
        <v>402</v>
      </c>
      <c r="B47" s="31"/>
      <c r="C47" s="117"/>
      <c r="D47" s="117"/>
      <c r="E47" s="31"/>
      <c r="F47" s="117"/>
      <c r="G47" s="117"/>
    </row>
    <row r="48" spans="1:7" x14ac:dyDescent="0.2">
      <c r="A48" s="31"/>
      <c r="B48" s="493" t="s">
        <v>40</v>
      </c>
      <c r="C48" s="493"/>
      <c r="D48" s="493"/>
      <c r="E48" s="493" t="s">
        <v>319</v>
      </c>
      <c r="F48" s="493"/>
      <c r="G48" s="493"/>
    </row>
    <row r="49" spans="1:7" x14ac:dyDescent="0.2">
      <c r="A49" s="31"/>
      <c r="B49" s="97" t="s">
        <v>317</v>
      </c>
      <c r="C49" s="118" t="s">
        <v>51</v>
      </c>
      <c r="D49" s="118" t="s">
        <v>403</v>
      </c>
      <c r="E49" s="97" t="s">
        <v>320</v>
      </c>
      <c r="F49" s="118" t="s">
        <v>51</v>
      </c>
      <c r="G49" s="118" t="s">
        <v>403</v>
      </c>
    </row>
    <row r="50" spans="1:7" x14ac:dyDescent="0.2">
      <c r="A50" s="31"/>
      <c r="B50" s="72">
        <v>10</v>
      </c>
      <c r="C50" s="119">
        <v>10</v>
      </c>
      <c r="D50" s="121">
        <f>B50*C50</f>
        <v>100</v>
      </c>
      <c r="E50" s="72">
        <v>500</v>
      </c>
      <c r="F50" s="119">
        <f>D50/E50</f>
        <v>0.2</v>
      </c>
      <c r="G50" s="121">
        <f>E50*F50</f>
        <v>100</v>
      </c>
    </row>
  </sheetData>
  <mergeCells count="12">
    <mergeCell ref="E33:G33"/>
    <mergeCell ref="A1:D1"/>
    <mergeCell ref="A2:D2"/>
    <mergeCell ref="A3:D3"/>
    <mergeCell ref="A5:D5"/>
    <mergeCell ref="B33:D33"/>
    <mergeCell ref="B38:D38"/>
    <mergeCell ref="E38:G38"/>
    <mergeCell ref="B43:D43"/>
    <mergeCell ref="E43:G43"/>
    <mergeCell ref="B48:D48"/>
    <mergeCell ref="E48:G4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43"/>
  <sheetViews>
    <sheetView topLeftCell="A83" zoomScale="130" zoomScaleNormal="130" workbookViewId="0">
      <selection activeCell="B85" sqref="B85:I86"/>
    </sheetView>
  </sheetViews>
  <sheetFormatPr baseColWidth="10" defaultColWidth="8.83203125" defaultRowHeight="15" x14ac:dyDescent="0.2"/>
  <cols>
    <col min="2" max="2" width="34.6640625" customWidth="1"/>
    <col min="3" max="3" width="12.6640625" bestFit="1" customWidth="1"/>
    <col min="4" max="4" width="11.1640625" bestFit="1" customWidth="1"/>
    <col min="5" max="5" width="15.5" style="51" bestFit="1" customWidth="1"/>
    <col min="6" max="6" width="23.33203125" customWidth="1"/>
    <col min="7" max="7" width="11.5" bestFit="1" customWidth="1"/>
    <col min="8" max="8" width="13.5" bestFit="1" customWidth="1"/>
    <col min="9" max="9" width="16.1640625" bestFit="1" customWidth="1"/>
    <col min="10" max="10" width="14.1640625" bestFit="1" customWidth="1"/>
    <col min="11" max="11" width="15.33203125" bestFit="1" customWidth="1"/>
    <col min="12" max="12" width="16.6640625" bestFit="1" customWidth="1"/>
    <col min="13" max="13" width="14.6640625" bestFit="1" customWidth="1"/>
    <col min="14" max="14" width="11.1640625" bestFit="1" customWidth="1"/>
    <col min="15" max="15" width="12.5" customWidth="1"/>
    <col min="16" max="16" width="12.6640625" customWidth="1"/>
    <col min="18" max="18" width="27" bestFit="1" customWidth="1"/>
    <col min="19" max="20" width="10.1640625" bestFit="1" customWidth="1"/>
    <col min="23" max="23" width="9.1640625" bestFit="1" customWidth="1"/>
  </cols>
  <sheetData>
    <row r="1" spans="1:23" ht="48" x14ac:dyDescent="0.2">
      <c r="B1" s="63" t="s">
        <v>99</v>
      </c>
      <c r="F1" s="80"/>
      <c r="M1" s="276">
        <v>5.0000000000000001E-3</v>
      </c>
      <c r="N1" s="61" t="s">
        <v>214</v>
      </c>
      <c r="O1" s="66" t="s">
        <v>6</v>
      </c>
      <c r="P1" s="61" t="s">
        <v>193</v>
      </c>
      <c r="Q1" s="61" t="s">
        <v>60</v>
      </c>
    </row>
    <row r="2" spans="1:23" s="52" customFormat="1" x14ac:dyDescent="0.2">
      <c r="C2" s="52" t="s">
        <v>16</v>
      </c>
      <c r="D2" s="52" t="s">
        <v>10</v>
      </c>
      <c r="E2" s="52" t="s">
        <v>203</v>
      </c>
      <c r="F2" s="81" t="s">
        <v>41</v>
      </c>
      <c r="G2" s="53">
        <v>0.02</v>
      </c>
      <c r="H2" s="53">
        <v>0.02</v>
      </c>
      <c r="I2" s="53">
        <v>0.02</v>
      </c>
      <c r="J2" s="53">
        <v>0.02</v>
      </c>
      <c r="K2" s="53">
        <v>0.02</v>
      </c>
      <c r="L2" s="53">
        <v>0.01</v>
      </c>
      <c r="M2" s="275">
        <v>7.4999999999999997E-3</v>
      </c>
      <c r="N2" s="54">
        <v>0.12</v>
      </c>
      <c r="O2" s="66"/>
      <c r="P2" s="61"/>
      <c r="Q2" s="61"/>
    </row>
    <row r="3" spans="1:23" x14ac:dyDescent="0.2">
      <c r="A3">
        <v>138</v>
      </c>
      <c r="B3" t="s">
        <v>677</v>
      </c>
      <c r="C3">
        <v>50</v>
      </c>
      <c r="E3">
        <v>466.07</v>
      </c>
      <c r="F3" s="80">
        <f>C3*E3</f>
        <v>23303.5</v>
      </c>
      <c r="G3" s="51">
        <f>ROUND(F3*(1-$G$2),2)</f>
        <v>22837.43</v>
      </c>
      <c r="H3" s="51">
        <f>ROUND(G3*(1-$H$2),2)</f>
        <v>22380.68</v>
      </c>
      <c r="I3" s="51">
        <f>ROUND(H3*(1-$I$2),2)</f>
        <v>21933.07</v>
      </c>
      <c r="J3" s="51">
        <f>ROUND(I3*(1-$J$2),2)</f>
        <v>21494.41</v>
      </c>
      <c r="K3" s="51">
        <f>ROUND(J3*(1-$K$2),2)</f>
        <v>21064.52</v>
      </c>
      <c r="L3" s="51">
        <f>ROUND(K3*(1-$L$2),2)</f>
        <v>20853.87</v>
      </c>
      <c r="M3" s="51">
        <f>ROUND(L3*(1-$M$2),2)</f>
        <v>20697.47</v>
      </c>
      <c r="N3" s="51">
        <f>ROUND(M3*(1+$N$2),2)</f>
        <v>23181.17</v>
      </c>
      <c r="O3">
        <v>8</v>
      </c>
      <c r="P3" s="55">
        <f>N3+O3*C3</f>
        <v>23581.17</v>
      </c>
      <c r="Q3" s="55">
        <f>P3/C3</f>
        <v>471.62339999999995</v>
      </c>
    </row>
    <row r="4" spans="1:23" x14ac:dyDescent="0.2">
      <c r="A4">
        <v>155</v>
      </c>
      <c r="B4" t="s">
        <v>195</v>
      </c>
      <c r="C4">
        <v>20</v>
      </c>
      <c r="E4">
        <v>466.07</v>
      </c>
      <c r="F4" s="80">
        <f>C4*E4</f>
        <v>9321.4</v>
      </c>
      <c r="G4" s="51">
        <f>ROUND(F4*(1-$G$2),2)</f>
        <v>9134.9699999999993</v>
      </c>
      <c r="H4" s="51">
        <f>ROUND(G4*(1-$H$2),2)</f>
        <v>8952.27</v>
      </c>
      <c r="I4" s="51">
        <f>ROUND(H4*(1-$I$2),2)</f>
        <v>8773.2199999999993</v>
      </c>
      <c r="J4" s="51">
        <f>ROUND(I4*(1-$J$2),2)</f>
        <v>8597.76</v>
      </c>
      <c r="K4" s="51">
        <f>ROUND(J4*(1-$K$2),2)</f>
        <v>8425.7999999999993</v>
      </c>
      <c r="L4" s="51">
        <f>ROUND(K4*(1-$L$2),2)</f>
        <v>8341.5400000000009</v>
      </c>
      <c r="M4" s="51">
        <f>ROUND(L4*(1-$M$2),2)</f>
        <v>8278.98</v>
      </c>
      <c r="N4" s="51">
        <f>ROUND(M4*(1+$N$2),2)</f>
        <v>9272.4599999999991</v>
      </c>
      <c r="O4">
        <v>8</v>
      </c>
      <c r="P4" s="55">
        <f>N4+O4*C4</f>
        <v>9432.4599999999991</v>
      </c>
      <c r="Q4" s="55">
        <f>P4/C4</f>
        <v>471.62299999999993</v>
      </c>
    </row>
    <row r="5" spans="1:23" x14ac:dyDescent="0.2">
      <c r="A5">
        <v>641</v>
      </c>
      <c r="B5" t="s">
        <v>678</v>
      </c>
      <c r="C5">
        <v>40</v>
      </c>
      <c r="E5">
        <v>732.14</v>
      </c>
      <c r="F5" s="80">
        <f>C5*E5</f>
        <v>29285.599999999999</v>
      </c>
      <c r="G5" s="51">
        <f>ROUND(F5*(1-$G$2),2)</f>
        <v>28699.89</v>
      </c>
      <c r="H5" s="51">
        <f>ROUND(G5*(1-$H$2),2)</f>
        <v>28125.89</v>
      </c>
      <c r="I5" s="51">
        <f>ROUND(H5*(1-$I$2),2)</f>
        <v>27563.37</v>
      </c>
      <c r="J5" s="51">
        <f>ROUND(I5*(1-$J$2),2)</f>
        <v>27012.1</v>
      </c>
      <c r="K5" s="51">
        <f>ROUND(J5*(1-$K$2),2)</f>
        <v>26471.86</v>
      </c>
      <c r="L5" s="51">
        <f>ROUND(K5*(1-$L$2),2)</f>
        <v>26207.14</v>
      </c>
      <c r="M5" s="51">
        <f>ROUND(L5*(1-$M$2),2)</f>
        <v>26010.59</v>
      </c>
      <c r="N5" s="51">
        <f>ROUND(M5*(1+$N$2),2)</f>
        <v>29131.86</v>
      </c>
      <c r="P5" s="55">
        <f>N5+O5*C5</f>
        <v>29131.86</v>
      </c>
      <c r="Q5" s="55">
        <f>P5/C5</f>
        <v>728.29650000000004</v>
      </c>
    </row>
    <row r="6" spans="1:23" x14ac:dyDescent="0.2">
      <c r="B6" s="52" t="s">
        <v>41</v>
      </c>
      <c r="F6" s="82">
        <f>SUM(F3:F5)</f>
        <v>61910.5</v>
      </c>
      <c r="G6" s="56">
        <f>SUM(G3:G5)</f>
        <v>60672.29</v>
      </c>
      <c r="H6" s="56">
        <f t="shared" ref="H6:P6" si="0">SUM(H3:H5)</f>
        <v>59458.84</v>
      </c>
      <c r="I6" s="56">
        <f t="shared" si="0"/>
        <v>58269.66</v>
      </c>
      <c r="J6" s="56">
        <f t="shared" si="0"/>
        <v>57104.27</v>
      </c>
      <c r="K6" s="56">
        <f t="shared" si="0"/>
        <v>55962.18</v>
      </c>
      <c r="L6" s="56">
        <f t="shared" si="0"/>
        <v>55402.55</v>
      </c>
      <c r="M6" s="56">
        <f t="shared" si="0"/>
        <v>54987.040000000001</v>
      </c>
      <c r="N6" s="56">
        <f t="shared" si="0"/>
        <v>61585.49</v>
      </c>
      <c r="P6" s="56">
        <f t="shared" si="0"/>
        <v>62145.49</v>
      </c>
    </row>
    <row r="7" spans="1:23" x14ac:dyDescent="0.2">
      <c r="R7" s="498" t="s">
        <v>528</v>
      </c>
      <c r="S7" s="498"/>
      <c r="T7" s="498"/>
    </row>
    <row r="8" spans="1:23" x14ac:dyDescent="0.2">
      <c r="M8" s="57" t="s">
        <v>198</v>
      </c>
      <c r="S8" s="228" t="s">
        <v>526</v>
      </c>
      <c r="T8" s="228" t="s">
        <v>527</v>
      </c>
    </row>
    <row r="9" spans="1:23" x14ac:dyDescent="0.2">
      <c r="M9" s="57" t="s">
        <v>206</v>
      </c>
      <c r="N9" s="57"/>
      <c r="O9" s="59">
        <f>F6</f>
        <v>61910.5</v>
      </c>
      <c r="P9" t="s">
        <v>215</v>
      </c>
      <c r="Q9" s="230" t="s">
        <v>529</v>
      </c>
      <c r="R9" t="s">
        <v>524</v>
      </c>
      <c r="S9" s="55">
        <f>O14</f>
        <v>62145.49</v>
      </c>
    </row>
    <row r="10" spans="1:23" x14ac:dyDescent="0.2">
      <c r="M10" t="s">
        <v>199</v>
      </c>
      <c r="O10" s="58">
        <f>M6-F6</f>
        <v>-6923.4599999999991</v>
      </c>
      <c r="P10" t="s">
        <v>216</v>
      </c>
    </row>
    <row r="11" spans="1:23" x14ac:dyDescent="0.2">
      <c r="F11" s="99" t="s">
        <v>312</v>
      </c>
      <c r="G11" s="99" t="s">
        <v>313</v>
      </c>
      <c r="H11" s="99"/>
      <c r="M11" s="57" t="s">
        <v>200</v>
      </c>
      <c r="N11" s="57"/>
      <c r="O11" s="59">
        <f>O9+O10</f>
        <v>54987.040000000001</v>
      </c>
      <c r="R11" s="227" t="s">
        <v>525</v>
      </c>
      <c r="T11" s="55">
        <f>O14</f>
        <v>62145.49</v>
      </c>
    </row>
    <row r="12" spans="1:23" x14ac:dyDescent="0.2">
      <c r="F12" s="99"/>
      <c r="G12" s="99" t="s">
        <v>314</v>
      </c>
      <c r="H12" s="99"/>
      <c r="M12" t="s">
        <v>201</v>
      </c>
      <c r="O12" s="55">
        <f>N6-M6</f>
        <v>6598.4499999999971</v>
      </c>
      <c r="P12" t="s">
        <v>217</v>
      </c>
    </row>
    <row r="13" spans="1:23" x14ac:dyDescent="0.2">
      <c r="F13" s="92" t="s">
        <v>315</v>
      </c>
      <c r="G13" s="99">
        <f>466.07*1.12+8</f>
        <v>529.99840000000006</v>
      </c>
      <c r="H13" s="99"/>
      <c r="M13" t="s">
        <v>6</v>
      </c>
      <c r="O13" s="58">
        <f>O3*C3+O4*C4+O5*C5</f>
        <v>560</v>
      </c>
      <c r="P13" t="s">
        <v>218</v>
      </c>
      <c r="Q13" s="230" t="s">
        <v>530</v>
      </c>
      <c r="R13" t="s">
        <v>531</v>
      </c>
      <c r="S13" s="55">
        <f>O12</f>
        <v>6598.4499999999971</v>
      </c>
    </row>
    <row r="14" spans="1:23" ht="16" thickBot="1" x14ac:dyDescent="0.25">
      <c r="M14" s="57" t="s">
        <v>202</v>
      </c>
      <c r="O14" s="60">
        <f>O11+O12+O13</f>
        <v>62145.49</v>
      </c>
      <c r="W14" s="55"/>
    </row>
    <row r="15" spans="1:23" ht="16" thickTop="1" x14ac:dyDescent="0.2">
      <c r="R15" s="227" t="s">
        <v>424</v>
      </c>
      <c r="T15" s="55">
        <f>O12</f>
        <v>6598.4499999999971</v>
      </c>
      <c r="W15" s="55"/>
    </row>
    <row r="17" spans="1:18" x14ac:dyDescent="0.2">
      <c r="C17" s="228" t="s">
        <v>825</v>
      </c>
      <c r="D17" s="228"/>
      <c r="E17" s="336" t="s">
        <v>826</v>
      </c>
      <c r="F17" s="228" t="s">
        <v>823</v>
      </c>
      <c r="G17" s="228"/>
      <c r="H17" s="228" t="s">
        <v>827</v>
      </c>
      <c r="I17" s="228" t="s">
        <v>828</v>
      </c>
      <c r="J17" s="338" t="s">
        <v>829</v>
      </c>
      <c r="K17" s="228" t="s">
        <v>830</v>
      </c>
      <c r="L17" s="228" t="s">
        <v>831</v>
      </c>
      <c r="M17" s="228" t="s">
        <v>832</v>
      </c>
      <c r="N17" s="228" t="s">
        <v>840</v>
      </c>
      <c r="O17" s="228" t="s">
        <v>846</v>
      </c>
    </row>
    <row r="18" spans="1:18" s="339" customFormat="1" x14ac:dyDescent="0.2">
      <c r="C18" s="62"/>
      <c r="D18" s="62"/>
      <c r="E18" s="340"/>
      <c r="F18" s="62" t="s">
        <v>847</v>
      </c>
      <c r="G18" s="62"/>
      <c r="H18" s="62" t="s">
        <v>848</v>
      </c>
      <c r="I18" s="62" t="s">
        <v>849</v>
      </c>
      <c r="J18" s="62" t="s">
        <v>850</v>
      </c>
      <c r="K18" s="62" t="s">
        <v>851</v>
      </c>
      <c r="L18" s="62" t="s">
        <v>852</v>
      </c>
      <c r="M18" s="62" t="s">
        <v>853</v>
      </c>
      <c r="N18" s="62"/>
      <c r="O18" s="62"/>
    </row>
    <row r="19" spans="1:18" ht="32" x14ac:dyDescent="0.2">
      <c r="A19" s="496" t="s">
        <v>197</v>
      </c>
      <c r="B19" s="496"/>
      <c r="E19"/>
      <c r="F19" s="67" t="s">
        <v>204</v>
      </c>
      <c r="G19" s="66" t="s">
        <v>4</v>
      </c>
      <c r="H19" s="66" t="s">
        <v>219</v>
      </c>
      <c r="I19" s="66" t="s">
        <v>220</v>
      </c>
      <c r="J19" s="66" t="s">
        <v>222</v>
      </c>
      <c r="K19" s="66" t="s">
        <v>221</v>
      </c>
      <c r="L19" s="68" t="s">
        <v>223</v>
      </c>
      <c r="M19" s="68" t="s">
        <v>663</v>
      </c>
      <c r="N19" s="68" t="s">
        <v>193</v>
      </c>
      <c r="O19" s="68" t="s">
        <v>193</v>
      </c>
      <c r="P19" s="66"/>
      <c r="Q19" s="68"/>
      <c r="R19" s="68"/>
    </row>
    <row r="20" spans="1:18" s="52" customFormat="1" x14ac:dyDescent="0.2">
      <c r="C20" s="52" t="s">
        <v>16</v>
      </c>
      <c r="D20" s="52" t="s">
        <v>10</v>
      </c>
      <c r="E20" s="52" t="s">
        <v>203</v>
      </c>
      <c r="F20" s="64" t="s">
        <v>207</v>
      </c>
      <c r="G20" s="83" t="s">
        <v>267</v>
      </c>
      <c r="H20" s="84">
        <v>0.02</v>
      </c>
      <c r="I20" s="84">
        <v>0.03</v>
      </c>
      <c r="J20" s="85">
        <v>0.01</v>
      </c>
      <c r="K20" s="85">
        <v>0.02</v>
      </c>
      <c r="L20" s="85">
        <v>2.5000000000000001E-2</v>
      </c>
      <c r="N20" s="69"/>
      <c r="O20" s="69"/>
      <c r="P20" s="66"/>
      <c r="Q20" s="68"/>
      <c r="R20" s="68"/>
    </row>
    <row r="21" spans="1:18" s="52" customFormat="1" x14ac:dyDescent="0.2">
      <c r="F21" s="64"/>
      <c r="G21" s="83" t="s">
        <v>268</v>
      </c>
      <c r="H21" s="84">
        <v>0.02</v>
      </c>
      <c r="I21" s="84">
        <v>0.03</v>
      </c>
      <c r="J21" s="85">
        <v>5.0000000000000001E-3</v>
      </c>
      <c r="K21" s="85">
        <v>0.02</v>
      </c>
      <c r="L21" s="85">
        <v>2.5000000000000001E-2</v>
      </c>
      <c r="N21" s="69"/>
      <c r="O21" s="69"/>
      <c r="P21" s="66"/>
      <c r="Q21" s="68"/>
      <c r="R21" s="68"/>
    </row>
    <row r="22" spans="1:18" s="52" customFormat="1" x14ac:dyDescent="0.2">
      <c r="F22" s="64"/>
      <c r="G22" s="83" t="s">
        <v>269</v>
      </c>
      <c r="H22" s="84">
        <v>0.05</v>
      </c>
      <c r="I22" s="84">
        <v>0.03</v>
      </c>
      <c r="J22" s="85">
        <v>5.0000000000000001E-3</v>
      </c>
      <c r="K22" s="85">
        <v>5.6000000000000001E-2</v>
      </c>
      <c r="L22" s="85">
        <v>2.5000000000000001E-2</v>
      </c>
      <c r="M22" s="264">
        <v>1.5699999999999999E-2</v>
      </c>
      <c r="N22" s="69"/>
      <c r="O22" s="69"/>
      <c r="P22" s="66"/>
      <c r="Q22" s="68"/>
      <c r="R22" s="68"/>
    </row>
    <row r="23" spans="1:18" s="52" customFormat="1" x14ac:dyDescent="0.2">
      <c r="F23" s="64"/>
      <c r="G23" s="83" t="s">
        <v>270</v>
      </c>
      <c r="H23" s="84">
        <v>0.05</v>
      </c>
      <c r="I23" s="84">
        <v>0.03</v>
      </c>
      <c r="J23" s="85">
        <v>5.0000000000000001E-3</v>
      </c>
      <c r="K23" s="85">
        <v>5.6000000000000001E-2</v>
      </c>
      <c r="L23" s="85">
        <v>2.5000000000000001E-2</v>
      </c>
      <c r="M23" s="264">
        <v>1.5699999999999999E-2</v>
      </c>
      <c r="N23" s="69"/>
      <c r="O23" s="69"/>
      <c r="P23" s="66"/>
      <c r="Q23" s="68"/>
      <c r="R23" s="68"/>
    </row>
    <row r="24" spans="1:18" x14ac:dyDescent="0.2">
      <c r="A24" t="s">
        <v>841</v>
      </c>
      <c r="C24">
        <v>150</v>
      </c>
      <c r="E24" s="51">
        <v>899.36</v>
      </c>
      <c r="F24" s="51">
        <f t="shared" ref="F24:F28" si="1">C24*E24</f>
        <v>134904</v>
      </c>
      <c r="H24" s="51">
        <f>ROUND(F24*($H$22),5)</f>
        <v>6745.2</v>
      </c>
      <c r="I24" s="51">
        <f>ROUND((F24-H24)*($I$22),5)</f>
        <v>3844.7640000000001</v>
      </c>
      <c r="J24" s="51">
        <f>ROUND(F24*($J$22),5)</f>
        <v>674.52</v>
      </c>
      <c r="K24" s="51">
        <f>ROUND(F24*($K$22),5)</f>
        <v>7554.6239999999998</v>
      </c>
      <c r="L24" s="51">
        <f>ROUND(F24*($L$22),5)</f>
        <v>3372.6</v>
      </c>
      <c r="M24" s="265">
        <f>ROUND(F24*($M$22),5)</f>
        <v>2117.9928</v>
      </c>
      <c r="N24" s="51">
        <f>ROUND(F24-H24-I24-J24-K24-L24-M24,5)</f>
        <v>110594.29919999999</v>
      </c>
      <c r="O24" s="51">
        <f t="shared" ref="O24:O28" si="2">ROUND(N24/C24,5)</f>
        <v>737.29533000000004</v>
      </c>
      <c r="Q24" s="55"/>
      <c r="R24" s="55"/>
    </row>
    <row r="25" spans="1:18" x14ac:dyDescent="0.2">
      <c r="A25" t="s">
        <v>842</v>
      </c>
      <c r="C25">
        <v>20</v>
      </c>
      <c r="E25" s="51">
        <v>879.2</v>
      </c>
      <c r="F25" s="51">
        <f t="shared" si="1"/>
        <v>17584</v>
      </c>
      <c r="H25" s="51">
        <f>ROUND(F25*($H$22),5)</f>
        <v>879.2</v>
      </c>
      <c r="I25" s="51">
        <f>ROUND((F25-H25)*($I$20),5)</f>
        <v>501.14400000000001</v>
      </c>
      <c r="J25" s="51">
        <f t="shared" ref="J25:J28" si="3">ROUND(F25*($J$22),5)</f>
        <v>87.92</v>
      </c>
      <c r="K25" s="51">
        <f>ROUND(F25*($K$22),5)</f>
        <v>984.70399999999995</v>
      </c>
      <c r="L25" s="51">
        <f>ROUND(F25*($L$20),5)</f>
        <v>439.6</v>
      </c>
      <c r="M25" s="265">
        <f>ROUND(F25*($M$22),5)</f>
        <v>276.06880000000001</v>
      </c>
      <c r="N25" s="51">
        <f t="shared" ref="N25:N28" si="4">ROUND(F25-H25-I25-J25-K25-L25-M25,5)</f>
        <v>14415.3632</v>
      </c>
      <c r="O25" s="51">
        <f t="shared" si="2"/>
        <v>720.76815999999997</v>
      </c>
      <c r="Q25" s="55"/>
      <c r="R25" s="55"/>
    </row>
    <row r="26" spans="1:18" x14ac:dyDescent="0.2">
      <c r="A26" t="s">
        <v>843</v>
      </c>
      <c r="C26">
        <v>10</v>
      </c>
      <c r="E26" s="51">
        <v>1106.56</v>
      </c>
      <c r="F26" s="51">
        <f t="shared" si="1"/>
        <v>11065.599999999999</v>
      </c>
      <c r="H26" s="51">
        <f>ROUND(F26*($H$22),5)</f>
        <v>553.28</v>
      </c>
      <c r="I26" s="51">
        <f>ROUND((F26-H26)*($I$21),5)</f>
        <v>315.36959999999999</v>
      </c>
      <c r="J26" s="51">
        <f t="shared" si="3"/>
        <v>55.328000000000003</v>
      </c>
      <c r="K26" s="51">
        <f>ROUND(F26*($K$22),5)</f>
        <v>619.67359999999996</v>
      </c>
      <c r="L26" s="51">
        <f>ROUND(F26*($L$21),5)</f>
        <v>276.64</v>
      </c>
      <c r="M26" s="265">
        <f>ROUND(F26*($M$22),5)</f>
        <v>173.72991999999999</v>
      </c>
      <c r="N26" s="51">
        <f t="shared" si="4"/>
        <v>9071.5788799999991</v>
      </c>
      <c r="O26" s="51">
        <f t="shared" si="2"/>
        <v>907.15788999999995</v>
      </c>
      <c r="Q26" s="55"/>
      <c r="R26" s="55"/>
    </row>
    <row r="27" spans="1:18" x14ac:dyDescent="0.2">
      <c r="A27" t="s">
        <v>844</v>
      </c>
      <c r="C27">
        <v>10</v>
      </c>
      <c r="E27" s="51">
        <v>974.4</v>
      </c>
      <c r="F27" s="51">
        <f t="shared" si="1"/>
        <v>9744</v>
      </c>
      <c r="H27" s="51">
        <f>ROUND(F27*($H$22),5)</f>
        <v>487.2</v>
      </c>
      <c r="I27" s="51">
        <f>ROUND((F27-H27)*($I$21),5)</f>
        <v>277.70400000000001</v>
      </c>
      <c r="J27" s="51">
        <f t="shared" si="3"/>
        <v>48.72</v>
      </c>
      <c r="K27" s="51">
        <f>ROUND(F27*($K$22),5)</f>
        <v>545.66399999999999</v>
      </c>
      <c r="L27" s="51">
        <f>ROUND(F27*($L$21),5)</f>
        <v>243.6</v>
      </c>
      <c r="M27" s="265">
        <f>ROUND(F27*($M$22),5)</f>
        <v>152.98079999999999</v>
      </c>
      <c r="N27" s="51">
        <f t="shared" si="4"/>
        <v>7988.1311999999998</v>
      </c>
      <c r="O27" s="51">
        <f t="shared" si="2"/>
        <v>798.81312000000003</v>
      </c>
    </row>
    <row r="28" spans="1:18" x14ac:dyDescent="0.2">
      <c r="A28" t="s">
        <v>845</v>
      </c>
      <c r="C28">
        <v>50</v>
      </c>
      <c r="E28" s="51">
        <v>463.68</v>
      </c>
      <c r="F28" s="51">
        <f t="shared" si="1"/>
        <v>23184</v>
      </c>
      <c r="H28" s="51">
        <f>ROUND(F28*($H$22),5)</f>
        <v>1159.2</v>
      </c>
      <c r="I28" s="51">
        <f>ROUND((F28-H28)*($I$20),5)</f>
        <v>660.74400000000003</v>
      </c>
      <c r="J28" s="51">
        <f t="shared" si="3"/>
        <v>115.92</v>
      </c>
      <c r="K28" s="51">
        <f>ROUND(F28*($K$22),5)</f>
        <v>1298.3040000000001</v>
      </c>
      <c r="L28" s="51">
        <f>ROUND(F28*($L$20),5)</f>
        <v>579.6</v>
      </c>
      <c r="M28" s="265">
        <f>ROUND(F28*($M$22),5)</f>
        <v>363.98880000000003</v>
      </c>
      <c r="N28" s="51">
        <f t="shared" si="4"/>
        <v>19006.243200000001</v>
      </c>
      <c r="O28" s="51">
        <f t="shared" si="2"/>
        <v>380.12486000000001</v>
      </c>
    </row>
    <row r="29" spans="1:18" x14ac:dyDescent="0.2">
      <c r="F29" s="51"/>
      <c r="H29" s="51"/>
      <c r="I29" s="51"/>
      <c r="J29" s="51"/>
      <c r="K29" s="51"/>
      <c r="L29" s="51"/>
      <c r="M29" s="231"/>
      <c r="N29" s="51"/>
      <c r="O29" s="51"/>
    </row>
    <row r="30" spans="1:18" x14ac:dyDescent="0.2">
      <c r="F30" s="51"/>
      <c r="H30" s="51"/>
      <c r="I30" s="51"/>
      <c r="J30" s="51"/>
      <c r="K30" s="51"/>
      <c r="L30" s="51"/>
      <c r="M30" s="231"/>
      <c r="N30" s="51"/>
      <c r="O30" s="51"/>
    </row>
    <row r="31" spans="1:18" x14ac:dyDescent="0.2">
      <c r="B31" s="52" t="s">
        <v>41</v>
      </c>
      <c r="E31"/>
      <c r="F31" s="59">
        <f>SUM(F24:F30)</f>
        <v>196481.6</v>
      </c>
      <c r="H31" s="59">
        <f>SUM(H24:H30)</f>
        <v>9824.08</v>
      </c>
      <c r="I31" s="59">
        <f t="shared" ref="I31:M31" si="5">SUM(I24:I30)</f>
        <v>5599.7255999999998</v>
      </c>
      <c r="J31" s="59">
        <f t="shared" si="5"/>
        <v>982.4079999999999</v>
      </c>
      <c r="K31" s="59">
        <f t="shared" si="5"/>
        <v>11002.9696</v>
      </c>
      <c r="L31" s="59">
        <f t="shared" si="5"/>
        <v>4912.04</v>
      </c>
      <c r="M31" s="266">
        <f t="shared" si="5"/>
        <v>3084.7611199999997</v>
      </c>
      <c r="N31" s="59">
        <f>SUM(N24:N30)</f>
        <v>161075.61567999999</v>
      </c>
      <c r="O31" s="56"/>
    </row>
    <row r="32" spans="1:18" x14ac:dyDescent="0.2">
      <c r="E32"/>
      <c r="F32" s="56"/>
      <c r="G32" s="56"/>
      <c r="H32" s="56"/>
      <c r="I32" s="56"/>
      <c r="J32" s="56"/>
      <c r="K32" s="56"/>
      <c r="L32" s="56"/>
      <c r="M32" s="56"/>
      <c r="O32" s="56"/>
    </row>
    <row r="33" spans="1:15" x14ac:dyDescent="0.2">
      <c r="E33"/>
      <c r="F33" s="274" t="s">
        <v>686</v>
      </c>
      <c r="G33" s="274"/>
      <c r="H33" s="274">
        <f>H31/1.12</f>
        <v>8771.5</v>
      </c>
      <c r="I33" s="274">
        <f t="shared" ref="I33:M33" si="6">I31/1.12</f>
        <v>4999.7549999999992</v>
      </c>
      <c r="J33" s="274">
        <f t="shared" si="6"/>
        <v>877.14999999999986</v>
      </c>
      <c r="K33" s="274">
        <f t="shared" si="6"/>
        <v>9824.08</v>
      </c>
      <c r="L33" s="274">
        <f t="shared" si="6"/>
        <v>4385.75</v>
      </c>
      <c r="M33" s="274">
        <f t="shared" si="6"/>
        <v>2754.2509999999993</v>
      </c>
      <c r="O33" s="56"/>
    </row>
    <row r="34" spans="1:15" x14ac:dyDescent="0.2">
      <c r="E34"/>
      <c r="F34" s="56"/>
      <c r="G34" s="56"/>
      <c r="H34" s="56"/>
      <c r="I34" s="56"/>
      <c r="J34" s="56"/>
      <c r="K34" s="56"/>
      <c r="L34" s="56"/>
      <c r="M34" s="56"/>
      <c r="O34" s="56"/>
    </row>
    <row r="35" spans="1:15" x14ac:dyDescent="0.2">
      <c r="I35" s="57" t="s">
        <v>198</v>
      </c>
    </row>
    <row r="36" spans="1:15" x14ac:dyDescent="0.2">
      <c r="I36" s="57" t="s">
        <v>206</v>
      </c>
      <c r="J36" s="57"/>
      <c r="K36" s="59">
        <f>F31/1.12</f>
        <v>175430</v>
      </c>
    </row>
    <row r="37" spans="1:15" x14ac:dyDescent="0.2">
      <c r="I37" t="s">
        <v>199</v>
      </c>
      <c r="K37" s="58">
        <f>SUM(H31:M31)/1.12*-1</f>
        <v>-31612.486000000001</v>
      </c>
    </row>
    <row r="38" spans="1:15" x14ac:dyDescent="0.2">
      <c r="I38" s="57" t="s">
        <v>200</v>
      </c>
      <c r="J38" s="57"/>
      <c r="K38" s="59">
        <f>K36+K37</f>
        <v>143817.514</v>
      </c>
    </row>
    <row r="39" spans="1:15" x14ac:dyDescent="0.2">
      <c r="I39" t="s">
        <v>201</v>
      </c>
      <c r="K39" s="55">
        <f>N31/1.12*0.12</f>
        <v>17258.101679999996</v>
      </c>
    </row>
    <row r="40" spans="1:15" ht="16" thickBot="1" x14ac:dyDescent="0.25">
      <c r="I40" s="57" t="s">
        <v>202</v>
      </c>
      <c r="K40" s="60">
        <f>K38+K39</f>
        <v>161075.61567999999</v>
      </c>
    </row>
    <row r="41" spans="1:15" ht="16" thickTop="1" x14ac:dyDescent="0.2">
      <c r="E41"/>
      <c r="F41" s="56"/>
      <c r="G41" s="56"/>
      <c r="H41" s="56"/>
      <c r="I41" s="56"/>
      <c r="J41" s="56"/>
      <c r="K41" s="56"/>
      <c r="L41" s="56"/>
      <c r="M41" s="56"/>
      <c r="O41" s="56"/>
    </row>
    <row r="42" spans="1:15" x14ac:dyDescent="0.2">
      <c r="E42"/>
      <c r="F42" s="56"/>
      <c r="G42" s="56"/>
      <c r="H42" s="56"/>
      <c r="I42" s="56"/>
      <c r="J42" s="56"/>
      <c r="K42" s="56"/>
      <c r="L42" s="56"/>
      <c r="M42" s="56"/>
      <c r="O42" s="56"/>
    </row>
    <row r="43" spans="1:15" x14ac:dyDescent="0.2">
      <c r="E43"/>
      <c r="F43" s="56"/>
      <c r="G43" s="56"/>
      <c r="H43" s="56"/>
      <c r="I43" s="56"/>
      <c r="J43" s="56"/>
      <c r="K43" s="56"/>
      <c r="L43" s="56"/>
      <c r="M43" s="56"/>
      <c r="O43" s="56"/>
    </row>
    <row r="44" spans="1:15" x14ac:dyDescent="0.2">
      <c r="E44"/>
      <c r="F44" s="56"/>
      <c r="G44" s="56"/>
      <c r="H44" s="56"/>
      <c r="I44" s="56"/>
      <c r="J44" s="56"/>
      <c r="K44" s="56"/>
      <c r="L44" s="56"/>
      <c r="M44" s="56"/>
      <c r="O44" s="56"/>
    </row>
    <row r="45" spans="1:15" x14ac:dyDescent="0.2">
      <c r="E45"/>
      <c r="F45" s="56"/>
      <c r="G45" s="56"/>
      <c r="H45" s="56"/>
      <c r="I45" s="56"/>
      <c r="J45" s="56"/>
      <c r="K45" s="56"/>
      <c r="L45" s="56"/>
      <c r="M45" s="56"/>
      <c r="O45" s="56"/>
    </row>
    <row r="47" spans="1:15" ht="15" customHeight="1" x14ac:dyDescent="0.2">
      <c r="H47" s="494" t="s">
        <v>193</v>
      </c>
      <c r="I47" s="494" t="s">
        <v>60</v>
      </c>
      <c r="M47" s="52"/>
    </row>
    <row r="48" spans="1:15" x14ac:dyDescent="0.2">
      <c r="A48" s="52"/>
      <c r="B48" s="52"/>
      <c r="C48" s="52" t="s">
        <v>16</v>
      </c>
      <c r="D48" s="52" t="s">
        <v>10</v>
      </c>
      <c r="E48" s="52" t="s">
        <v>203</v>
      </c>
      <c r="F48" s="53" t="s">
        <v>204</v>
      </c>
      <c r="G48" s="53" t="s">
        <v>205</v>
      </c>
      <c r="H48" s="494"/>
      <c r="I48" s="494"/>
      <c r="J48" s="53"/>
      <c r="K48" s="53"/>
      <c r="L48" s="54"/>
      <c r="M48" s="54"/>
      <c r="N48" s="52"/>
    </row>
    <row r="49" spans="1:9" x14ac:dyDescent="0.2">
      <c r="A49" s="497" t="s">
        <v>104</v>
      </c>
      <c r="B49" s="497"/>
      <c r="E49"/>
      <c r="F49" s="62" t="s">
        <v>207</v>
      </c>
    </row>
    <row r="50" spans="1:9" x14ac:dyDescent="0.2">
      <c r="A50" t="s">
        <v>208</v>
      </c>
      <c r="C50">
        <v>588</v>
      </c>
      <c r="E50" s="51">
        <v>188.16</v>
      </c>
      <c r="F50" s="55">
        <f t="shared" ref="F50:F55" si="7">E50*C50</f>
        <v>110638.08</v>
      </c>
      <c r="G50" s="55"/>
      <c r="H50" s="55">
        <f>F50-G50</f>
        <v>110638.08</v>
      </c>
      <c r="I50">
        <f>ROUND(H50/C50,2)</f>
        <v>188.16</v>
      </c>
    </row>
    <row r="51" spans="1:9" x14ac:dyDescent="0.2">
      <c r="A51" t="s">
        <v>209</v>
      </c>
      <c r="C51">
        <v>88</v>
      </c>
      <c r="E51" s="51">
        <v>312</v>
      </c>
      <c r="F51" s="55">
        <f t="shared" si="7"/>
        <v>27456</v>
      </c>
      <c r="H51" s="55">
        <f t="shared" ref="H51:H55" si="8">F51-G51</f>
        <v>27456</v>
      </c>
      <c r="I51">
        <f t="shared" ref="I51:I55" si="9">ROUND(H51/C51,2)</f>
        <v>312</v>
      </c>
    </row>
    <row r="52" spans="1:9" x14ac:dyDescent="0.2">
      <c r="A52" t="s">
        <v>210</v>
      </c>
      <c r="C52">
        <v>1008</v>
      </c>
      <c r="E52" s="51">
        <v>188.16</v>
      </c>
      <c r="F52" s="55">
        <f t="shared" si="7"/>
        <v>189665.28</v>
      </c>
      <c r="H52" s="55">
        <f t="shared" si="8"/>
        <v>189665.28</v>
      </c>
      <c r="I52">
        <f t="shared" si="9"/>
        <v>188.16</v>
      </c>
    </row>
    <row r="53" spans="1:9" x14ac:dyDescent="0.2">
      <c r="A53" t="s">
        <v>211</v>
      </c>
      <c r="C53">
        <v>99</v>
      </c>
      <c r="E53" s="51">
        <v>312</v>
      </c>
      <c r="F53" s="55">
        <f t="shared" si="7"/>
        <v>30888</v>
      </c>
      <c r="H53" s="55">
        <f t="shared" si="8"/>
        <v>30888</v>
      </c>
      <c r="I53">
        <f t="shared" si="9"/>
        <v>312</v>
      </c>
    </row>
    <row r="54" spans="1:9" x14ac:dyDescent="0.2">
      <c r="A54" t="s">
        <v>212</v>
      </c>
      <c r="C54">
        <v>305</v>
      </c>
      <c r="E54" s="51">
        <v>188.16</v>
      </c>
      <c r="F54" s="55">
        <f t="shared" si="7"/>
        <v>57388.799999999996</v>
      </c>
      <c r="G54" s="55"/>
      <c r="H54" s="55">
        <f t="shared" si="8"/>
        <v>57388.799999999996</v>
      </c>
      <c r="I54">
        <f t="shared" si="9"/>
        <v>188.16</v>
      </c>
    </row>
    <row r="55" spans="1:9" x14ac:dyDescent="0.2">
      <c r="A55" t="s">
        <v>213</v>
      </c>
      <c r="C55">
        <v>420</v>
      </c>
      <c r="E55" s="51">
        <v>188.16</v>
      </c>
      <c r="F55" s="55">
        <f t="shared" si="7"/>
        <v>79027.199999999997</v>
      </c>
      <c r="H55" s="55">
        <f t="shared" si="8"/>
        <v>79027.199999999997</v>
      </c>
      <c r="I55">
        <f t="shared" si="9"/>
        <v>188.16</v>
      </c>
    </row>
    <row r="56" spans="1:9" x14ac:dyDescent="0.2">
      <c r="B56" s="52" t="s">
        <v>41</v>
      </c>
      <c r="F56" s="59">
        <f>SUM(F50:F55)</f>
        <v>495063.36</v>
      </c>
      <c r="G56" s="59">
        <f>SUM(G50:G55)</f>
        <v>0</v>
      </c>
      <c r="H56" s="59">
        <f>SUM(H50:H55)</f>
        <v>495063.36</v>
      </c>
    </row>
    <row r="59" spans="1:9" x14ac:dyDescent="0.2">
      <c r="F59" s="57" t="s">
        <v>198</v>
      </c>
    </row>
    <row r="60" spans="1:9" x14ac:dyDescent="0.2">
      <c r="F60" s="57" t="s">
        <v>206</v>
      </c>
      <c r="G60" s="57"/>
      <c r="H60" s="59">
        <f>F56/1.12</f>
        <v>442020.8571428571</v>
      </c>
      <c r="I60" t="s">
        <v>271</v>
      </c>
    </row>
    <row r="61" spans="1:9" x14ac:dyDescent="0.2">
      <c r="F61" t="s">
        <v>199</v>
      </c>
      <c r="H61" s="58">
        <f>(G56/1.12)*-1</f>
        <v>0</v>
      </c>
      <c r="I61" t="s">
        <v>276</v>
      </c>
    </row>
    <row r="62" spans="1:9" x14ac:dyDescent="0.2">
      <c r="F62" s="57" t="s">
        <v>200</v>
      </c>
      <c r="G62" s="57"/>
      <c r="H62" s="59">
        <f>H60+H61</f>
        <v>442020.8571428571</v>
      </c>
    </row>
    <row r="63" spans="1:9" x14ac:dyDescent="0.2">
      <c r="F63" t="s">
        <v>201</v>
      </c>
      <c r="H63" s="55">
        <f>H56/1.12*0.12</f>
        <v>53042.502857142848</v>
      </c>
      <c r="I63" t="s">
        <v>278</v>
      </c>
    </row>
    <row r="64" spans="1:9" ht="16" thickBot="1" x14ac:dyDescent="0.25">
      <c r="F64" s="57" t="s">
        <v>202</v>
      </c>
      <c r="H64" s="60">
        <f>H62+H63</f>
        <v>495063.35999999993</v>
      </c>
    </row>
    <row r="65" spans="2:13" ht="16" thickTop="1" x14ac:dyDescent="0.2">
      <c r="F65" s="57"/>
      <c r="H65" s="87"/>
      <c r="L65" s="53"/>
    </row>
    <row r="66" spans="2:13" s="228" customFormat="1" x14ac:dyDescent="0.2">
      <c r="C66" s="228" t="s">
        <v>825</v>
      </c>
      <c r="E66" s="336" t="s">
        <v>826</v>
      </c>
      <c r="F66" s="228" t="s">
        <v>823</v>
      </c>
      <c r="G66" s="228" t="s">
        <v>827</v>
      </c>
      <c r="H66" s="337" t="s">
        <v>828</v>
      </c>
      <c r="I66" s="228" t="s">
        <v>829</v>
      </c>
      <c r="J66" s="228" t="s">
        <v>830</v>
      </c>
      <c r="K66" s="228" t="s">
        <v>831</v>
      </c>
      <c r="L66" s="228" t="s">
        <v>832</v>
      </c>
      <c r="M66" s="228" t="s">
        <v>840</v>
      </c>
    </row>
    <row r="67" spans="2:13" x14ac:dyDescent="0.2">
      <c r="F67" s="57"/>
      <c r="G67" s="62" t="s">
        <v>833</v>
      </c>
      <c r="H67" s="62" t="s">
        <v>834</v>
      </c>
      <c r="I67" s="62" t="s">
        <v>835</v>
      </c>
      <c r="J67" s="62" t="s">
        <v>836</v>
      </c>
      <c r="K67" s="62" t="s">
        <v>837</v>
      </c>
      <c r="L67" s="62" t="s">
        <v>838</v>
      </c>
      <c r="M67" s="62" t="s">
        <v>839</v>
      </c>
    </row>
    <row r="68" spans="2:13" ht="15" customHeight="1" x14ac:dyDescent="0.2">
      <c r="E68" s="313" t="s">
        <v>203</v>
      </c>
      <c r="F68" s="313" t="s">
        <v>203</v>
      </c>
      <c r="G68" s="65">
        <v>0.1</v>
      </c>
      <c r="H68" s="65">
        <v>0.01</v>
      </c>
      <c r="I68" s="65">
        <v>5.0000000000000001E-3</v>
      </c>
      <c r="L68" s="311" t="s">
        <v>193</v>
      </c>
      <c r="M68" s="312" t="s">
        <v>60</v>
      </c>
    </row>
    <row r="69" spans="2:13" x14ac:dyDescent="0.2">
      <c r="B69" s="86" t="s">
        <v>68</v>
      </c>
      <c r="C69" s="52" t="s">
        <v>16</v>
      </c>
      <c r="D69" s="52" t="s">
        <v>10</v>
      </c>
      <c r="E69" s="52" t="s">
        <v>821</v>
      </c>
      <c r="F69" s="313" t="s">
        <v>822</v>
      </c>
      <c r="G69" s="53" t="s">
        <v>205</v>
      </c>
      <c r="H69" s="53" t="s">
        <v>409</v>
      </c>
      <c r="I69" s="53" t="s">
        <v>820</v>
      </c>
      <c r="J69" s="53" t="s">
        <v>415</v>
      </c>
      <c r="K69" s="53" t="s">
        <v>201</v>
      </c>
      <c r="L69" s="62" t="s">
        <v>207</v>
      </c>
      <c r="M69" s="312"/>
    </row>
    <row r="70" spans="2:13" x14ac:dyDescent="0.2">
      <c r="B70" t="s">
        <v>272</v>
      </c>
      <c r="C70">
        <v>43200</v>
      </c>
      <c r="E70" s="51">
        <v>29.5</v>
      </c>
      <c r="F70" s="51">
        <f>E70/1.12</f>
        <v>26.339285714285712</v>
      </c>
      <c r="G70" s="55">
        <f>C70*F70*$G$68</f>
        <v>113785.71428571428</v>
      </c>
      <c r="H70" s="55">
        <f>C70*F70*$H$68</f>
        <v>11378.571428571428</v>
      </c>
      <c r="I70" s="55">
        <f>C70*F70*$I$68</f>
        <v>5689.2857142857138</v>
      </c>
      <c r="J70" s="55">
        <f>SUM(G70:I70)</f>
        <v>130853.57142857142</v>
      </c>
      <c r="K70" s="55">
        <f>((C70*F70)-J70)*0.12</f>
        <v>120840.42857142857</v>
      </c>
      <c r="L70" s="55">
        <f>(C70*F70)-J70+K70</f>
        <v>1127844</v>
      </c>
      <c r="M70" s="55">
        <f>L70/C70</f>
        <v>26.107500000000002</v>
      </c>
    </row>
    <row r="71" spans="2:13" x14ac:dyDescent="0.2">
      <c r="B71" t="s">
        <v>273</v>
      </c>
      <c r="C71">
        <v>2400</v>
      </c>
      <c r="E71" s="51">
        <v>52.25</v>
      </c>
      <c r="F71" s="51">
        <f t="shared" ref="F71:F74" si="10">E71/1.12</f>
        <v>46.651785714285708</v>
      </c>
      <c r="G71" s="55">
        <f t="shared" ref="G71:G74" si="11">C71*F71*$G$68</f>
        <v>11196.428571428571</v>
      </c>
      <c r="H71" s="55">
        <f t="shared" ref="H71:H74" si="12">C71*F71*$H$68</f>
        <v>1119.6428571428569</v>
      </c>
      <c r="I71" s="55">
        <f t="shared" ref="I71:I74" si="13">C71*F71*$I$68</f>
        <v>559.82142857142844</v>
      </c>
      <c r="J71" s="55">
        <f t="shared" ref="J71:J74" si="14">SUM(G71:I71)</f>
        <v>12875.892857142855</v>
      </c>
      <c r="K71" s="55">
        <f t="shared" ref="K71:K74" si="15">((C71*F71)-J71)*0.12</f>
        <v>11890.607142857141</v>
      </c>
      <c r="L71" s="55">
        <f t="shared" ref="L71:L74" si="16">(C71*F71)-J71+K71</f>
        <v>110978.99999999999</v>
      </c>
      <c r="M71" s="55">
        <f t="shared" ref="M71:M74" si="17">L71/C71</f>
        <v>46.241249999999994</v>
      </c>
    </row>
    <row r="72" spans="2:13" x14ac:dyDescent="0.2">
      <c r="B72" t="s">
        <v>274</v>
      </c>
      <c r="C72">
        <v>8640</v>
      </c>
      <c r="E72" s="51">
        <v>27.95</v>
      </c>
      <c r="F72" s="51">
        <f t="shared" si="10"/>
        <v>24.955357142857139</v>
      </c>
      <c r="G72" s="55">
        <f t="shared" si="11"/>
        <v>21561.428571428569</v>
      </c>
      <c r="H72" s="55">
        <f t="shared" si="12"/>
        <v>2156.1428571428569</v>
      </c>
      <c r="I72" s="55">
        <f t="shared" si="13"/>
        <v>1078.0714285714284</v>
      </c>
      <c r="J72" s="55">
        <f t="shared" si="14"/>
        <v>24795.642857142855</v>
      </c>
      <c r="K72" s="55">
        <f t="shared" si="15"/>
        <v>22898.237142857139</v>
      </c>
      <c r="L72" s="55">
        <f t="shared" si="16"/>
        <v>213716.87999999998</v>
      </c>
      <c r="M72" s="55">
        <f t="shared" si="17"/>
        <v>24.735749999999996</v>
      </c>
    </row>
    <row r="73" spans="2:13" x14ac:dyDescent="0.2">
      <c r="B73" t="s">
        <v>274</v>
      </c>
      <c r="C73">
        <v>5000</v>
      </c>
      <c r="E73" s="51">
        <v>41.5</v>
      </c>
      <c r="F73" s="51">
        <f t="shared" si="10"/>
        <v>37.053571428571423</v>
      </c>
      <c r="G73" s="55">
        <f t="shared" si="11"/>
        <v>18526.785714285714</v>
      </c>
      <c r="H73" s="55">
        <f t="shared" si="12"/>
        <v>1852.6785714285713</v>
      </c>
      <c r="I73" s="55">
        <f t="shared" si="13"/>
        <v>926.33928571428567</v>
      </c>
      <c r="J73" s="55">
        <f t="shared" si="14"/>
        <v>21305.803571428572</v>
      </c>
      <c r="K73" s="55">
        <f t="shared" si="15"/>
        <v>19675.446428571424</v>
      </c>
      <c r="L73" s="55">
        <f t="shared" si="16"/>
        <v>183637.49999999997</v>
      </c>
      <c r="M73" s="55">
        <f t="shared" si="17"/>
        <v>36.727499999999992</v>
      </c>
    </row>
    <row r="74" spans="2:13" x14ac:dyDescent="0.2">
      <c r="B74" t="s">
        <v>275</v>
      </c>
      <c r="C74">
        <v>8640</v>
      </c>
      <c r="E74" s="51">
        <v>8.5</v>
      </c>
      <c r="F74" s="51">
        <f t="shared" si="10"/>
        <v>7.5892857142857135</v>
      </c>
      <c r="G74" s="55">
        <f t="shared" si="11"/>
        <v>6557.1428571428569</v>
      </c>
      <c r="H74" s="55">
        <f t="shared" si="12"/>
        <v>655.71428571428567</v>
      </c>
      <c r="I74" s="55">
        <f t="shared" si="13"/>
        <v>327.85714285714283</v>
      </c>
      <c r="J74" s="55">
        <f t="shared" si="14"/>
        <v>7540.7142857142853</v>
      </c>
      <c r="K74" s="55">
        <f t="shared" si="15"/>
        <v>6963.6857142857134</v>
      </c>
      <c r="L74" s="55">
        <f t="shared" si="16"/>
        <v>64994.399999999994</v>
      </c>
      <c r="M74" s="55">
        <f t="shared" si="17"/>
        <v>7.5224999999999991</v>
      </c>
    </row>
    <row r="75" spans="2:13" x14ac:dyDescent="0.2">
      <c r="F75" s="51"/>
      <c r="G75" s="59">
        <f t="shared" ref="G75" si="18">SUM(G70:G74)</f>
        <v>171627.5</v>
      </c>
      <c r="H75" s="59">
        <f>SUM(H70:H74)</f>
        <v>17162.75</v>
      </c>
      <c r="I75" s="59">
        <f t="shared" ref="I75:L75" si="19">SUM(I70:I74)</f>
        <v>8581.375</v>
      </c>
      <c r="J75" s="59">
        <f t="shared" si="19"/>
        <v>197371.62499999997</v>
      </c>
      <c r="K75" s="59">
        <f t="shared" si="19"/>
        <v>182268.40499999997</v>
      </c>
      <c r="L75" s="59">
        <f t="shared" si="19"/>
        <v>1701171.7799999998</v>
      </c>
      <c r="M75" s="55"/>
    </row>
    <row r="76" spans="2:13" x14ac:dyDescent="0.2">
      <c r="F76" s="51"/>
      <c r="G76" s="55"/>
      <c r="H76" s="55"/>
      <c r="I76" s="55"/>
      <c r="J76" s="55"/>
      <c r="K76" s="55"/>
      <c r="L76" s="55"/>
      <c r="M76" s="55"/>
    </row>
    <row r="77" spans="2:13" x14ac:dyDescent="0.2">
      <c r="B77" s="51"/>
      <c r="C77" s="51"/>
      <c r="J77" s="57" t="s">
        <v>198</v>
      </c>
    </row>
    <row r="78" spans="2:13" x14ac:dyDescent="0.2">
      <c r="B78" s="51"/>
      <c r="C78" s="51"/>
      <c r="J78" s="57" t="s">
        <v>824</v>
      </c>
      <c r="K78" s="57"/>
      <c r="L78" s="59">
        <f>L75-K75+J75</f>
        <v>1716274.9999999998</v>
      </c>
    </row>
    <row r="79" spans="2:13" x14ac:dyDescent="0.2">
      <c r="B79" s="51"/>
      <c r="J79" t="s">
        <v>199</v>
      </c>
      <c r="L79" s="58">
        <f>J75*-1</f>
        <v>-197371.62499999997</v>
      </c>
    </row>
    <row r="80" spans="2:13" x14ac:dyDescent="0.2">
      <c r="B80" s="51"/>
      <c r="J80" s="57" t="s">
        <v>206</v>
      </c>
      <c r="K80" s="57"/>
      <c r="L80" s="59">
        <f>L78+L79</f>
        <v>1518903.3749999998</v>
      </c>
    </row>
    <row r="81" spans="1:12" x14ac:dyDescent="0.2">
      <c r="B81" s="51"/>
      <c r="C81" s="55"/>
      <c r="J81" t="s">
        <v>201</v>
      </c>
      <c r="L81" s="55">
        <f>K75</f>
        <v>182268.40499999997</v>
      </c>
    </row>
    <row r="82" spans="1:12" ht="16" thickBot="1" x14ac:dyDescent="0.25">
      <c r="B82" s="51"/>
      <c r="C82" s="55"/>
      <c r="D82" s="55"/>
      <c r="J82" s="57" t="s">
        <v>202</v>
      </c>
      <c r="L82" s="60">
        <f>L80+L81</f>
        <v>1701171.7799999998</v>
      </c>
    </row>
    <row r="83" spans="1:12" ht="16" thickTop="1" x14ac:dyDescent="0.2">
      <c r="B83" s="51"/>
      <c r="C83" s="55"/>
    </row>
    <row r="84" spans="1:12" x14ac:dyDescent="0.2">
      <c r="B84" s="51"/>
    </row>
    <row r="85" spans="1:12" x14ac:dyDescent="0.2">
      <c r="B85" s="51"/>
      <c r="F85" s="53" t="s">
        <v>204</v>
      </c>
      <c r="G85" s="54">
        <v>0.17319999999999999</v>
      </c>
      <c r="H85" s="494" t="s">
        <v>193</v>
      </c>
      <c r="I85" s="499" t="s">
        <v>60</v>
      </c>
    </row>
    <row r="86" spans="1:12" x14ac:dyDescent="0.2">
      <c r="B86" s="86" t="s">
        <v>67</v>
      </c>
      <c r="C86" s="52" t="s">
        <v>16</v>
      </c>
      <c r="D86" s="52" t="s">
        <v>10</v>
      </c>
      <c r="E86" s="52" t="s">
        <v>203</v>
      </c>
      <c r="F86" s="62" t="s">
        <v>207</v>
      </c>
      <c r="G86" s="53" t="s">
        <v>205</v>
      </c>
      <c r="H86" s="494"/>
      <c r="I86" s="499"/>
    </row>
    <row r="87" spans="1:12" x14ac:dyDescent="0.2">
      <c r="A87">
        <v>1</v>
      </c>
      <c r="B87" t="s">
        <v>286</v>
      </c>
      <c r="C87">
        <v>18</v>
      </c>
      <c r="E87" s="51">
        <v>679.2</v>
      </c>
      <c r="F87" s="51">
        <f t="shared" ref="F87:F103" si="20">ROUND(C87*E87,5)</f>
        <v>12225.6</v>
      </c>
      <c r="G87" s="55">
        <f>ROUND(F87*$G$85,5)</f>
        <v>2117.4739199999999</v>
      </c>
      <c r="H87" s="55">
        <f>ROUND(F87-G87,5)</f>
        <v>10108.12608</v>
      </c>
      <c r="I87" s="55">
        <f>ROUND(H87/C87,5)</f>
        <v>561.56255999999996</v>
      </c>
    </row>
    <row r="88" spans="1:12" x14ac:dyDescent="0.2">
      <c r="A88">
        <v>2</v>
      </c>
      <c r="B88" t="s">
        <v>287</v>
      </c>
      <c r="C88">
        <v>30</v>
      </c>
      <c r="E88" s="51">
        <v>679.2</v>
      </c>
      <c r="F88" s="51">
        <f t="shared" si="20"/>
        <v>20376</v>
      </c>
      <c r="G88" s="55">
        <f t="shared" ref="G88:G103" si="21">ROUND(F88*$G$85,5)</f>
        <v>3529.1232</v>
      </c>
      <c r="H88" s="55">
        <f t="shared" ref="H88:H103" si="22">ROUND(F88-G88,5)</f>
        <v>16846.876799999998</v>
      </c>
      <c r="I88" s="55">
        <f t="shared" ref="I88:I103" si="23">ROUND(H88/C88,5)</f>
        <v>561.56255999999996</v>
      </c>
    </row>
    <row r="89" spans="1:12" x14ac:dyDescent="0.2">
      <c r="A89">
        <f>A88+1</f>
        <v>3</v>
      </c>
      <c r="B89" t="s">
        <v>288</v>
      </c>
      <c r="C89">
        <v>7</v>
      </c>
      <c r="E89" s="51">
        <v>1387.2</v>
      </c>
      <c r="F89" s="51">
        <f t="shared" si="20"/>
        <v>9710.4</v>
      </c>
      <c r="G89" s="55">
        <f t="shared" si="21"/>
        <v>1681.8412800000001</v>
      </c>
      <c r="H89" s="55">
        <f t="shared" si="22"/>
        <v>8028.55872</v>
      </c>
      <c r="I89" s="55">
        <f t="shared" si="23"/>
        <v>1146.93696</v>
      </c>
    </row>
    <row r="90" spans="1:12" x14ac:dyDescent="0.2">
      <c r="A90">
        <f t="shared" ref="A90:A103" si="24">A89+1</f>
        <v>4</v>
      </c>
      <c r="B90" t="s">
        <v>289</v>
      </c>
      <c r="C90">
        <v>48</v>
      </c>
      <c r="E90" s="51">
        <v>820.8</v>
      </c>
      <c r="F90" s="51">
        <f t="shared" si="20"/>
        <v>39398.400000000001</v>
      </c>
      <c r="G90" s="55">
        <f t="shared" si="21"/>
        <v>6823.8028800000002</v>
      </c>
      <c r="H90" s="55">
        <f t="shared" si="22"/>
        <v>32574.597119999999</v>
      </c>
      <c r="I90" s="55">
        <f t="shared" si="23"/>
        <v>678.63743999999997</v>
      </c>
    </row>
    <row r="91" spans="1:12" x14ac:dyDescent="0.2">
      <c r="A91">
        <f t="shared" si="24"/>
        <v>5</v>
      </c>
      <c r="B91" t="s">
        <v>289</v>
      </c>
      <c r="C91">
        <v>8</v>
      </c>
      <c r="E91" s="51">
        <v>1456.8</v>
      </c>
      <c r="F91" s="51">
        <f t="shared" si="20"/>
        <v>11654.4</v>
      </c>
      <c r="G91" s="55">
        <f t="shared" si="21"/>
        <v>2018.5420799999999</v>
      </c>
      <c r="H91" s="55">
        <f t="shared" si="22"/>
        <v>9635.8579200000004</v>
      </c>
      <c r="I91" s="55">
        <f t="shared" si="23"/>
        <v>1204.48224</v>
      </c>
    </row>
    <row r="92" spans="1:12" x14ac:dyDescent="0.2">
      <c r="A92">
        <f t="shared" si="24"/>
        <v>6</v>
      </c>
      <c r="B92" t="s">
        <v>289</v>
      </c>
      <c r="C92">
        <v>8</v>
      </c>
      <c r="E92" s="51">
        <v>1197</v>
      </c>
      <c r="F92" s="51">
        <f t="shared" si="20"/>
        <v>9576</v>
      </c>
      <c r="G92" s="55">
        <f t="shared" si="21"/>
        <v>1658.5632000000001</v>
      </c>
      <c r="H92" s="55">
        <f t="shared" si="22"/>
        <v>7917.4368000000004</v>
      </c>
      <c r="I92" s="55">
        <f t="shared" si="23"/>
        <v>989.67960000000005</v>
      </c>
    </row>
    <row r="93" spans="1:12" x14ac:dyDescent="0.2">
      <c r="A93">
        <f t="shared" si="24"/>
        <v>7</v>
      </c>
      <c r="B93" t="s">
        <v>289</v>
      </c>
      <c r="C93">
        <v>59</v>
      </c>
      <c r="E93" s="51">
        <v>900</v>
      </c>
      <c r="F93" s="51">
        <f t="shared" si="20"/>
        <v>53100</v>
      </c>
      <c r="G93" s="55">
        <f t="shared" si="21"/>
        <v>9196.92</v>
      </c>
      <c r="H93" s="55">
        <f t="shared" si="22"/>
        <v>43903.08</v>
      </c>
      <c r="I93" s="55">
        <f t="shared" si="23"/>
        <v>744.12</v>
      </c>
    </row>
    <row r="94" spans="1:12" x14ac:dyDescent="0.2">
      <c r="A94">
        <f t="shared" si="24"/>
        <v>8</v>
      </c>
      <c r="B94" t="s">
        <v>289</v>
      </c>
      <c r="C94">
        <v>4</v>
      </c>
      <c r="E94" s="51">
        <v>1197</v>
      </c>
      <c r="F94" s="51">
        <f t="shared" si="20"/>
        <v>4788</v>
      </c>
      <c r="G94" s="55">
        <f t="shared" si="21"/>
        <v>829.28160000000003</v>
      </c>
      <c r="H94" s="55">
        <f t="shared" si="22"/>
        <v>3958.7184000000002</v>
      </c>
      <c r="I94" s="55">
        <f t="shared" si="23"/>
        <v>989.67960000000005</v>
      </c>
    </row>
    <row r="95" spans="1:12" x14ac:dyDescent="0.2">
      <c r="A95">
        <f t="shared" si="24"/>
        <v>9</v>
      </c>
      <c r="B95" t="s">
        <v>289</v>
      </c>
      <c r="C95">
        <v>30</v>
      </c>
      <c r="E95" s="51">
        <v>900</v>
      </c>
      <c r="F95" s="51">
        <f t="shared" si="20"/>
        <v>27000</v>
      </c>
      <c r="G95" s="55">
        <f t="shared" si="21"/>
        <v>4676.3999999999996</v>
      </c>
      <c r="H95" s="55">
        <f t="shared" si="22"/>
        <v>22323.599999999999</v>
      </c>
      <c r="I95" s="55">
        <f t="shared" si="23"/>
        <v>744.12</v>
      </c>
    </row>
    <row r="96" spans="1:12" x14ac:dyDescent="0.2">
      <c r="A96">
        <f t="shared" si="24"/>
        <v>10</v>
      </c>
      <c r="B96" t="s">
        <v>289</v>
      </c>
      <c r="C96">
        <v>4</v>
      </c>
      <c r="E96" s="51">
        <v>1644</v>
      </c>
      <c r="F96" s="51">
        <f t="shared" si="20"/>
        <v>6576</v>
      </c>
      <c r="G96" s="55">
        <f t="shared" si="21"/>
        <v>1138.9631999999999</v>
      </c>
      <c r="H96" s="55">
        <f t="shared" si="22"/>
        <v>5437.0367999999999</v>
      </c>
      <c r="I96" s="55">
        <f t="shared" si="23"/>
        <v>1359.2592</v>
      </c>
    </row>
    <row r="97" spans="1:9" x14ac:dyDescent="0.2">
      <c r="A97">
        <f t="shared" si="24"/>
        <v>11</v>
      </c>
      <c r="B97" t="s">
        <v>289</v>
      </c>
      <c r="C97">
        <v>3</v>
      </c>
      <c r="E97" s="51">
        <v>1449</v>
      </c>
      <c r="F97" s="51">
        <f t="shared" si="20"/>
        <v>4347</v>
      </c>
      <c r="G97" s="55">
        <f t="shared" si="21"/>
        <v>752.90039999999999</v>
      </c>
      <c r="H97" s="55">
        <f t="shared" si="22"/>
        <v>3594.0996</v>
      </c>
      <c r="I97" s="55">
        <f t="shared" si="23"/>
        <v>1198.0332000000001</v>
      </c>
    </row>
    <row r="98" spans="1:9" x14ac:dyDescent="0.2">
      <c r="A98">
        <f t="shared" si="24"/>
        <v>12</v>
      </c>
      <c r="B98" t="s">
        <v>289</v>
      </c>
      <c r="C98">
        <v>2</v>
      </c>
      <c r="E98" s="51">
        <v>1456.8</v>
      </c>
      <c r="F98" s="51">
        <f t="shared" si="20"/>
        <v>2913.6</v>
      </c>
      <c r="G98" s="55">
        <f t="shared" si="21"/>
        <v>504.63551999999999</v>
      </c>
      <c r="H98" s="55">
        <f t="shared" si="22"/>
        <v>2408.9644800000001</v>
      </c>
      <c r="I98" s="55">
        <f t="shared" si="23"/>
        <v>1204.48224</v>
      </c>
    </row>
    <row r="99" spans="1:9" x14ac:dyDescent="0.2">
      <c r="A99">
        <f t="shared" si="24"/>
        <v>13</v>
      </c>
      <c r="B99" t="s">
        <v>289</v>
      </c>
      <c r="C99">
        <v>3</v>
      </c>
      <c r="E99" s="51">
        <v>1197</v>
      </c>
      <c r="F99" s="51">
        <f t="shared" si="20"/>
        <v>3591</v>
      </c>
      <c r="G99" s="55">
        <f t="shared" si="21"/>
        <v>621.96119999999996</v>
      </c>
      <c r="H99" s="55">
        <f t="shared" si="22"/>
        <v>2969.0387999999998</v>
      </c>
      <c r="I99" s="55">
        <f t="shared" si="23"/>
        <v>989.67960000000005</v>
      </c>
    </row>
    <row r="100" spans="1:9" x14ac:dyDescent="0.2">
      <c r="A100">
        <f t="shared" si="24"/>
        <v>14</v>
      </c>
      <c r="B100" t="s">
        <v>289</v>
      </c>
      <c r="C100">
        <v>46</v>
      </c>
      <c r="E100" s="51">
        <v>900</v>
      </c>
      <c r="F100" s="51">
        <f t="shared" si="20"/>
        <v>41400</v>
      </c>
      <c r="G100" s="55">
        <f t="shared" si="21"/>
        <v>7170.48</v>
      </c>
      <c r="H100" s="55">
        <f t="shared" si="22"/>
        <v>34229.519999999997</v>
      </c>
      <c r="I100" s="55">
        <f t="shared" si="23"/>
        <v>744.12</v>
      </c>
    </row>
    <row r="101" spans="1:9" x14ac:dyDescent="0.2">
      <c r="A101">
        <f t="shared" si="24"/>
        <v>15</v>
      </c>
      <c r="B101" t="s">
        <v>289</v>
      </c>
      <c r="C101">
        <v>144</v>
      </c>
      <c r="E101" s="51">
        <v>662.4</v>
      </c>
      <c r="F101" s="51">
        <f t="shared" si="20"/>
        <v>95385.600000000006</v>
      </c>
      <c r="G101" s="55">
        <f t="shared" si="21"/>
        <v>16520.785919999998</v>
      </c>
      <c r="H101" s="55">
        <f t="shared" si="22"/>
        <v>78864.814079999996</v>
      </c>
      <c r="I101" s="55">
        <f t="shared" si="23"/>
        <v>547.67232000000001</v>
      </c>
    </row>
    <row r="102" spans="1:9" x14ac:dyDescent="0.2">
      <c r="A102">
        <f t="shared" si="24"/>
        <v>16</v>
      </c>
      <c r="B102" t="s">
        <v>289</v>
      </c>
      <c r="C102">
        <v>214</v>
      </c>
      <c r="E102" s="51">
        <v>580.79999999999995</v>
      </c>
      <c r="F102" s="51">
        <f t="shared" si="20"/>
        <v>124291.2</v>
      </c>
      <c r="G102" s="55">
        <f t="shared" si="21"/>
        <v>21527.235840000001</v>
      </c>
      <c r="H102" s="55">
        <f t="shared" si="22"/>
        <v>102763.96416</v>
      </c>
      <c r="I102" s="55">
        <f t="shared" si="23"/>
        <v>480.20544000000001</v>
      </c>
    </row>
    <row r="103" spans="1:9" x14ac:dyDescent="0.2">
      <c r="A103">
        <f t="shared" si="24"/>
        <v>17</v>
      </c>
      <c r="B103" t="s">
        <v>289</v>
      </c>
      <c r="C103">
        <v>210</v>
      </c>
      <c r="E103" s="51">
        <v>738</v>
      </c>
      <c r="F103" s="51">
        <f t="shared" si="20"/>
        <v>154980</v>
      </c>
      <c r="G103" s="55">
        <f t="shared" si="21"/>
        <v>26842.536</v>
      </c>
      <c r="H103" s="55">
        <f t="shared" si="22"/>
        <v>128137.46400000001</v>
      </c>
      <c r="I103" s="55">
        <f t="shared" si="23"/>
        <v>610.17840000000001</v>
      </c>
    </row>
    <row r="104" spans="1:9" x14ac:dyDescent="0.2">
      <c r="B104" s="52" t="s">
        <v>41</v>
      </c>
      <c r="F104" s="59">
        <f>ROUND(SUM(F87:F103),5)</f>
        <v>621313.19999999995</v>
      </c>
      <c r="G104" s="59">
        <f t="shared" ref="G104:H104" si="25">ROUND(SUM(G87:G103),5)</f>
        <v>107611.44624</v>
      </c>
      <c r="H104" s="59">
        <f t="shared" si="25"/>
        <v>513701.75375999999</v>
      </c>
    </row>
    <row r="105" spans="1:9" x14ac:dyDescent="0.2">
      <c r="G105" s="55"/>
    </row>
    <row r="106" spans="1:9" x14ac:dyDescent="0.2">
      <c r="F106" s="274" t="s">
        <v>686</v>
      </c>
      <c r="G106" s="266">
        <f>G104/1.12</f>
        <v>96081.648428571425</v>
      </c>
    </row>
    <row r="107" spans="1:9" x14ac:dyDescent="0.2">
      <c r="F107" s="57" t="s">
        <v>198</v>
      </c>
    </row>
    <row r="108" spans="1:9" x14ac:dyDescent="0.2">
      <c r="F108" s="57" t="s">
        <v>206</v>
      </c>
      <c r="G108" s="57"/>
      <c r="H108" s="59">
        <f>ROUND(F104/1.12,5)</f>
        <v>554743.92856999999</v>
      </c>
      <c r="I108" t="s">
        <v>271</v>
      </c>
    </row>
    <row r="109" spans="1:9" x14ac:dyDescent="0.2">
      <c r="F109" t="s">
        <v>199</v>
      </c>
      <c r="H109" s="58">
        <f>ROUND((G104/1.12)*-1,5)</f>
        <v>-96081.648430000001</v>
      </c>
      <c r="I109" t="s">
        <v>277</v>
      </c>
    </row>
    <row r="110" spans="1:9" x14ac:dyDescent="0.2">
      <c r="F110" s="57" t="s">
        <v>200</v>
      </c>
      <c r="G110" s="57"/>
      <c r="H110" s="59">
        <f>H108+H109</f>
        <v>458662.28013999999</v>
      </c>
    </row>
    <row r="111" spans="1:9" x14ac:dyDescent="0.2">
      <c r="F111" t="s">
        <v>201</v>
      </c>
      <c r="H111" s="55">
        <f>ROUND(H104/1.12*0.12,5)</f>
        <v>55039.473619999997</v>
      </c>
      <c r="I111" t="s">
        <v>278</v>
      </c>
    </row>
    <row r="112" spans="1:9" ht="16" thickBot="1" x14ac:dyDescent="0.25">
      <c r="F112" s="57" t="s">
        <v>202</v>
      </c>
      <c r="H112" s="60">
        <f>H110+H111</f>
        <v>513701.75375999999</v>
      </c>
    </row>
    <row r="113" spans="2:11" ht="16" thickTop="1" x14ac:dyDescent="0.2"/>
    <row r="117" spans="2:11" ht="15" customHeight="1" x14ac:dyDescent="0.2">
      <c r="B117" s="91" t="s">
        <v>130</v>
      </c>
      <c r="F117" s="80"/>
      <c r="J117" s="494" t="s">
        <v>193</v>
      </c>
      <c r="K117" s="495" t="s">
        <v>60</v>
      </c>
    </row>
    <row r="118" spans="2:11" x14ac:dyDescent="0.2">
      <c r="B118" s="52"/>
      <c r="C118" s="52" t="s">
        <v>16</v>
      </c>
      <c r="D118" s="52" t="s">
        <v>10</v>
      </c>
      <c r="E118" s="52" t="s">
        <v>203</v>
      </c>
      <c r="F118" s="81" t="s">
        <v>41</v>
      </c>
      <c r="G118" s="54">
        <v>8.5800000000000001E-2</v>
      </c>
      <c r="H118" s="65">
        <v>5.0000000000000001E-3</v>
      </c>
      <c r="I118" s="229" t="s">
        <v>684</v>
      </c>
      <c r="J118" s="494"/>
      <c r="K118" s="495"/>
    </row>
    <row r="119" spans="2:11" x14ac:dyDescent="0.2">
      <c r="B119" t="s">
        <v>290</v>
      </c>
      <c r="C119">
        <v>400</v>
      </c>
      <c r="E119" s="55">
        <f>F119/C119</f>
        <v>3863.6281250000002</v>
      </c>
      <c r="F119" s="80">
        <v>1545451.25</v>
      </c>
      <c r="G119" s="51">
        <f>ROUND(F119*$G$118,2)</f>
        <v>132599.72</v>
      </c>
      <c r="H119" s="51">
        <f>ROUND((F119-G119)*$H$118,2)</f>
        <v>7064.26</v>
      </c>
      <c r="I119" s="51">
        <f>ROUND((F119-G119-H119)*0.12,2)</f>
        <v>168694.47</v>
      </c>
      <c r="J119" s="51">
        <f>F119-G119-H119+I119</f>
        <v>1574481.74</v>
      </c>
      <c r="K119" s="55">
        <f>J119/C119</f>
        <v>3936.20435</v>
      </c>
    </row>
    <row r="120" spans="2:11" x14ac:dyDescent="0.2">
      <c r="E120"/>
      <c r="F120" s="80"/>
      <c r="G120" s="51"/>
      <c r="H120" s="51"/>
    </row>
    <row r="121" spans="2:11" x14ac:dyDescent="0.2">
      <c r="B121" s="52" t="s">
        <v>41</v>
      </c>
      <c r="F121" s="82">
        <f>SUM(F119:F119)</f>
        <v>1545451.25</v>
      </c>
      <c r="G121" s="82">
        <f t="shared" ref="G121:J121" si="26">SUM(G119:G119)</f>
        <v>132599.72</v>
      </c>
      <c r="H121" s="82">
        <f t="shared" si="26"/>
        <v>7064.26</v>
      </c>
      <c r="I121" s="82">
        <f t="shared" si="26"/>
        <v>168694.47</v>
      </c>
      <c r="J121" s="82">
        <f t="shared" si="26"/>
        <v>1574481.74</v>
      </c>
    </row>
    <row r="122" spans="2:11" x14ac:dyDescent="0.2">
      <c r="G122" s="111" t="s">
        <v>687</v>
      </c>
      <c r="H122" s="34"/>
    </row>
    <row r="125" spans="2:11" x14ac:dyDescent="0.2">
      <c r="H125" s="57" t="s">
        <v>198</v>
      </c>
    </row>
    <row r="126" spans="2:11" x14ac:dyDescent="0.2">
      <c r="H126" s="57" t="s">
        <v>206</v>
      </c>
      <c r="I126" s="57"/>
      <c r="J126" s="59">
        <f>F121</f>
        <v>1545451.25</v>
      </c>
    </row>
    <row r="127" spans="2:11" x14ac:dyDescent="0.2">
      <c r="F127" s="51"/>
      <c r="H127" t="s">
        <v>199</v>
      </c>
      <c r="J127" s="58">
        <f>SUM(G121:H121)*-1</f>
        <v>-139663.98000000001</v>
      </c>
    </row>
    <row r="128" spans="2:11" x14ac:dyDescent="0.2">
      <c r="F128" s="51"/>
      <c r="H128" s="57" t="s">
        <v>200</v>
      </c>
      <c r="I128" s="57"/>
      <c r="J128" s="59">
        <f>J126+J127</f>
        <v>1405787.27</v>
      </c>
    </row>
    <row r="129" spans="2:10" x14ac:dyDescent="0.2">
      <c r="H129" t="s">
        <v>201</v>
      </c>
      <c r="J129" s="55">
        <f>I121</f>
        <v>168694.47</v>
      </c>
    </row>
    <row r="130" spans="2:10" ht="16" thickBot="1" x14ac:dyDescent="0.25">
      <c r="H130" s="57" t="s">
        <v>202</v>
      </c>
      <c r="J130" s="60">
        <f>J128+J129</f>
        <v>1574481.74</v>
      </c>
    </row>
    <row r="131" spans="2:10" ht="16" thickTop="1" x14ac:dyDescent="0.2"/>
    <row r="132" spans="2:10" x14ac:dyDescent="0.2">
      <c r="B132" s="277" t="s">
        <v>71</v>
      </c>
      <c r="F132" s="80"/>
      <c r="H132" s="494" t="s">
        <v>193</v>
      </c>
      <c r="I132" s="495" t="s">
        <v>60</v>
      </c>
    </row>
    <row r="133" spans="2:10" x14ac:dyDescent="0.2">
      <c r="B133" s="229"/>
      <c r="C133" s="229" t="s">
        <v>16</v>
      </c>
      <c r="D133" s="229" t="s">
        <v>10</v>
      </c>
      <c r="E133" s="229" t="s">
        <v>203</v>
      </c>
      <c r="F133" s="81" t="s">
        <v>41</v>
      </c>
      <c r="G133" s="229" t="s">
        <v>684</v>
      </c>
      <c r="H133" s="494"/>
      <c r="I133" s="495"/>
    </row>
    <row r="134" spans="2:10" x14ac:dyDescent="0.2">
      <c r="B134" t="s">
        <v>688</v>
      </c>
      <c r="C134">
        <v>90</v>
      </c>
      <c r="D134" t="s">
        <v>40</v>
      </c>
      <c r="E134" s="55">
        <v>966.63</v>
      </c>
      <c r="F134" s="80">
        <f>C134*E134</f>
        <v>86996.7</v>
      </c>
      <c r="G134" s="51">
        <f>ROUND(F134*0.12,2)</f>
        <v>10439.6</v>
      </c>
      <c r="H134" s="51">
        <f>F134+G134</f>
        <v>97436.3</v>
      </c>
      <c r="I134" s="55">
        <f>H134/C134</f>
        <v>1082.6255555555556</v>
      </c>
    </row>
    <row r="136" spans="2:10" x14ac:dyDescent="0.2">
      <c r="B136" s="229" t="s">
        <v>41</v>
      </c>
      <c r="F136" s="82">
        <f>SUM(F134:F134)</f>
        <v>86996.7</v>
      </c>
      <c r="G136" s="82">
        <f t="shared" ref="G136:I136" si="27">SUM(G134:G134)</f>
        <v>10439.6</v>
      </c>
      <c r="H136" s="82">
        <f t="shared" si="27"/>
        <v>97436.3</v>
      </c>
      <c r="I136" s="82">
        <f t="shared" si="27"/>
        <v>1082.6255555555556</v>
      </c>
    </row>
    <row r="137" spans="2:10" x14ac:dyDescent="0.2">
      <c r="H137" s="57" t="s">
        <v>198</v>
      </c>
    </row>
    <row r="138" spans="2:10" x14ac:dyDescent="0.2">
      <c r="H138" s="57" t="s">
        <v>206</v>
      </c>
      <c r="I138" s="57"/>
      <c r="J138" s="59">
        <f>F136</f>
        <v>86996.7</v>
      </c>
    </row>
    <row r="139" spans="2:10" x14ac:dyDescent="0.2">
      <c r="H139" t="s">
        <v>199</v>
      </c>
      <c r="J139" s="58">
        <f>SUM(G133:H133)*-1</f>
        <v>0</v>
      </c>
    </row>
    <row r="140" spans="2:10" x14ac:dyDescent="0.2">
      <c r="H140" s="57" t="s">
        <v>200</v>
      </c>
      <c r="I140" s="57"/>
      <c r="J140" s="59">
        <f>J138+J139</f>
        <v>86996.7</v>
      </c>
    </row>
    <row r="141" spans="2:10" x14ac:dyDescent="0.2">
      <c r="H141" t="s">
        <v>201</v>
      </c>
      <c r="J141" s="55">
        <f>G136</f>
        <v>10439.6</v>
      </c>
    </row>
    <row r="142" spans="2:10" ht="16" thickBot="1" x14ac:dyDescent="0.25">
      <c r="H142" s="57" t="s">
        <v>202</v>
      </c>
      <c r="J142" s="60">
        <f>J140+J141</f>
        <v>97436.3</v>
      </c>
    </row>
    <row r="143" spans="2:10" ht="16" thickTop="1" x14ac:dyDescent="0.2"/>
  </sheetData>
  <mergeCells count="11">
    <mergeCell ref="R7:T7"/>
    <mergeCell ref="H85:H86"/>
    <mergeCell ref="I85:I86"/>
    <mergeCell ref="J117:J118"/>
    <mergeCell ref="K117:K118"/>
    <mergeCell ref="H132:H133"/>
    <mergeCell ref="I132:I133"/>
    <mergeCell ref="A19:B19"/>
    <mergeCell ref="I47:I48"/>
    <mergeCell ref="A49:B49"/>
    <mergeCell ref="H47:H4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2"/>
  <sheetViews>
    <sheetView workbookViewId="0">
      <selection activeCell="D7" sqref="D7"/>
    </sheetView>
  </sheetViews>
  <sheetFormatPr baseColWidth="10" defaultColWidth="9.1640625" defaultRowHeight="14" x14ac:dyDescent="0.2"/>
  <cols>
    <col min="1" max="1" width="25.1640625" style="5" customWidth="1"/>
    <col min="2" max="2" width="19.5" style="5" customWidth="1"/>
    <col min="3" max="3" width="9.1640625" style="5"/>
    <col min="4" max="4" width="13.1640625" style="5" customWidth="1"/>
    <col min="5" max="5" width="14.33203125" style="5" bestFit="1" customWidth="1"/>
    <col min="6" max="16384" width="9.1640625" style="5"/>
  </cols>
  <sheetData>
    <row r="1" spans="1:4" x14ac:dyDescent="0.2">
      <c r="A1" s="5" t="s">
        <v>63</v>
      </c>
    </row>
    <row r="2" spans="1:4" x14ac:dyDescent="0.2">
      <c r="A2" s="5" t="s">
        <v>64</v>
      </c>
    </row>
    <row r="4" spans="1:4" x14ac:dyDescent="0.2">
      <c r="B4" s="5" t="s">
        <v>65</v>
      </c>
    </row>
    <row r="5" spans="1:4" x14ac:dyDescent="0.2">
      <c r="B5" s="5" t="s">
        <v>66</v>
      </c>
      <c r="C5" s="23" t="s">
        <v>72</v>
      </c>
      <c r="D5" s="5" t="s">
        <v>78</v>
      </c>
    </row>
    <row r="6" spans="1:4" x14ac:dyDescent="0.2">
      <c r="B6" s="5" t="s">
        <v>68</v>
      </c>
      <c r="C6" s="23" t="s">
        <v>73</v>
      </c>
      <c r="D6" s="5" t="s">
        <v>79</v>
      </c>
    </row>
    <row r="7" spans="1:4" x14ac:dyDescent="0.2">
      <c r="B7" s="5" t="s">
        <v>67</v>
      </c>
      <c r="C7" s="23" t="s">
        <v>74</v>
      </c>
      <c r="D7" s="5" t="s">
        <v>80</v>
      </c>
    </row>
    <row r="8" spans="1:4" x14ac:dyDescent="0.2">
      <c r="B8" s="5" t="s">
        <v>69</v>
      </c>
      <c r="C8" s="23" t="s">
        <v>75</v>
      </c>
    </row>
    <row r="9" spans="1:4" x14ac:dyDescent="0.2">
      <c r="B9" s="5" t="s">
        <v>70</v>
      </c>
      <c r="C9" s="23" t="s">
        <v>76</v>
      </c>
    </row>
    <row r="10" spans="1:4" x14ac:dyDescent="0.2">
      <c r="B10" s="5" t="s">
        <v>71</v>
      </c>
      <c r="C10" s="23" t="s">
        <v>77</v>
      </c>
    </row>
    <row r="11" spans="1:4" x14ac:dyDescent="0.2">
      <c r="B11" s="5" t="s">
        <v>130</v>
      </c>
      <c r="C11" s="23" t="s">
        <v>131</v>
      </c>
    </row>
    <row r="13" spans="1:4" x14ac:dyDescent="0.2">
      <c r="A13" s="5" t="s">
        <v>107</v>
      </c>
    </row>
    <row r="16" spans="1:4" x14ac:dyDescent="0.2">
      <c r="A16" s="24" t="s">
        <v>81</v>
      </c>
    </row>
    <row r="18" spans="1:7" x14ac:dyDescent="0.2">
      <c r="A18" s="455" t="s">
        <v>115</v>
      </c>
      <c r="B18" s="455"/>
      <c r="C18" s="455"/>
      <c r="D18" s="455"/>
      <c r="E18" s="455"/>
      <c r="F18" s="455"/>
    </row>
    <row r="19" spans="1:7" x14ac:dyDescent="0.2">
      <c r="A19" s="455" t="s">
        <v>116</v>
      </c>
      <c r="B19" s="455"/>
      <c r="C19" s="455"/>
      <c r="D19" s="455"/>
      <c r="E19" s="455"/>
      <c r="F19" s="455"/>
    </row>
    <row r="20" spans="1:7" x14ac:dyDescent="0.2">
      <c r="A20" s="455" t="s">
        <v>123</v>
      </c>
      <c r="B20" s="455"/>
      <c r="C20" s="455"/>
      <c r="D20" s="455"/>
      <c r="E20" s="455"/>
      <c r="F20" s="455"/>
    </row>
    <row r="22" spans="1:7" x14ac:dyDescent="0.2">
      <c r="A22" s="70" t="s">
        <v>129</v>
      </c>
      <c r="B22" s="492" t="s">
        <v>121</v>
      </c>
      <c r="C22" s="492"/>
      <c r="D22" s="492"/>
      <c r="E22" s="492"/>
      <c r="F22" s="492"/>
    </row>
    <row r="24" spans="1:7" x14ac:dyDescent="0.2">
      <c r="A24" s="16" t="s">
        <v>124</v>
      </c>
      <c r="B24" s="16"/>
      <c r="C24" s="16"/>
      <c r="D24" s="16"/>
      <c r="E24" s="16" t="s">
        <v>13</v>
      </c>
    </row>
    <row r="25" spans="1:7" x14ac:dyDescent="0.2">
      <c r="A25" s="16" t="s">
        <v>117</v>
      </c>
      <c r="B25" s="16"/>
      <c r="C25" s="16"/>
      <c r="D25" s="16"/>
      <c r="E25" s="16" t="s">
        <v>119</v>
      </c>
      <c r="F25" s="33" t="s">
        <v>132</v>
      </c>
      <c r="G25" s="5" t="s">
        <v>137</v>
      </c>
    </row>
    <row r="26" spans="1:7" x14ac:dyDescent="0.2">
      <c r="A26" s="16" t="s">
        <v>118</v>
      </c>
      <c r="B26" s="16"/>
      <c r="C26" s="16"/>
      <c r="D26" s="16"/>
      <c r="E26" s="16" t="s">
        <v>120</v>
      </c>
      <c r="F26" s="33" t="s">
        <v>132</v>
      </c>
    </row>
    <row r="27" spans="1:7" x14ac:dyDescent="0.2">
      <c r="F27" s="5" t="s">
        <v>133</v>
      </c>
    </row>
    <row r="28" spans="1:7" x14ac:dyDescent="0.2">
      <c r="A28" s="27" t="s">
        <v>2</v>
      </c>
      <c r="B28" s="27" t="s">
        <v>109</v>
      </c>
      <c r="C28" s="27" t="s">
        <v>16</v>
      </c>
      <c r="D28" s="71" t="s">
        <v>10</v>
      </c>
      <c r="E28" s="28"/>
      <c r="F28" s="5" t="s">
        <v>134</v>
      </c>
    </row>
    <row r="29" spans="1:7" x14ac:dyDescent="0.2">
      <c r="A29" s="26"/>
      <c r="B29" s="26"/>
      <c r="C29" s="26"/>
      <c r="D29" s="72"/>
      <c r="E29" s="29"/>
      <c r="F29" s="5" t="s">
        <v>135</v>
      </c>
    </row>
    <row r="30" spans="1:7" x14ac:dyDescent="0.2">
      <c r="A30" s="26"/>
      <c r="B30" s="26"/>
      <c r="C30" s="26"/>
      <c r="D30" s="72"/>
      <c r="E30" s="29"/>
      <c r="F30" s="5" t="s">
        <v>136</v>
      </c>
    </row>
    <row r="31" spans="1:7" x14ac:dyDescent="0.2">
      <c r="A31" s="26"/>
      <c r="B31" s="26"/>
      <c r="C31" s="26"/>
      <c r="D31" s="72"/>
      <c r="E31" s="29"/>
    </row>
    <row r="32" spans="1:7" x14ac:dyDescent="0.2">
      <c r="A32" s="26"/>
      <c r="B32" s="26"/>
      <c r="C32" s="26"/>
      <c r="D32" s="72"/>
      <c r="E32" s="29"/>
    </row>
    <row r="33" spans="1:8" x14ac:dyDescent="0.2">
      <c r="A33" s="26"/>
      <c r="B33" s="26"/>
      <c r="C33" s="26"/>
      <c r="D33" s="72"/>
      <c r="E33" s="29"/>
    </row>
    <row r="34" spans="1:8" x14ac:dyDescent="0.2">
      <c r="A34" s="26"/>
      <c r="B34" s="26"/>
      <c r="C34" s="26"/>
      <c r="D34" s="72"/>
      <c r="E34" s="73" t="s">
        <v>158</v>
      </c>
      <c r="F34" s="45"/>
      <c r="G34" s="45"/>
      <c r="H34" s="74" t="s">
        <v>157</v>
      </c>
    </row>
    <row r="35" spans="1:8" x14ac:dyDescent="0.2">
      <c r="A35" s="26"/>
      <c r="B35" s="26"/>
      <c r="C35" s="26"/>
      <c r="D35" s="72"/>
      <c r="E35" s="29" t="s">
        <v>67</v>
      </c>
      <c r="F35" s="5" t="s">
        <v>138</v>
      </c>
      <c r="H35" s="5" t="s">
        <v>99</v>
      </c>
    </row>
    <row r="36" spans="1:8" x14ac:dyDescent="0.2">
      <c r="A36" s="26"/>
      <c r="B36" s="26"/>
      <c r="C36" s="26"/>
      <c r="D36" s="72"/>
      <c r="E36" s="29" t="s">
        <v>104</v>
      </c>
      <c r="F36" s="5" t="s">
        <v>139</v>
      </c>
      <c r="H36" s="5" t="s">
        <v>70</v>
      </c>
    </row>
    <row r="37" spans="1:8" x14ac:dyDescent="0.2">
      <c r="A37" s="26"/>
      <c r="B37" s="26"/>
      <c r="C37" s="26"/>
      <c r="D37" s="72"/>
      <c r="E37" s="29" t="s">
        <v>130</v>
      </c>
      <c r="F37" s="5" t="s">
        <v>140</v>
      </c>
    </row>
    <row r="38" spans="1:8" x14ac:dyDescent="0.2">
      <c r="A38" s="26"/>
      <c r="B38" s="26"/>
      <c r="C38" s="26"/>
      <c r="D38" s="72"/>
      <c r="E38" s="29" t="s">
        <v>141</v>
      </c>
      <c r="F38" s="5" t="s">
        <v>142</v>
      </c>
    </row>
    <row r="39" spans="1:8" x14ac:dyDescent="0.2">
      <c r="A39" s="26"/>
      <c r="B39" s="26"/>
      <c r="C39" s="26"/>
      <c r="D39" s="72"/>
      <c r="E39" s="29"/>
    </row>
    <row r="41" spans="1:8" ht="15" thickBot="1" x14ac:dyDescent="0.25">
      <c r="D41" s="5" t="s">
        <v>122</v>
      </c>
      <c r="E41" s="25"/>
    </row>
    <row r="42" spans="1:8" ht="15" thickTop="1" x14ac:dyDescent="0.2"/>
    <row r="43" spans="1:8" x14ac:dyDescent="0.2">
      <c r="E43" s="33" t="s">
        <v>143</v>
      </c>
    </row>
    <row r="45" spans="1:8" x14ac:dyDescent="0.2">
      <c r="A45" s="31" t="s">
        <v>125</v>
      </c>
      <c r="E45" s="33" t="s">
        <v>144</v>
      </c>
    </row>
    <row r="47" spans="1:8" x14ac:dyDescent="0.2">
      <c r="A47" s="32" t="s">
        <v>126</v>
      </c>
    </row>
    <row r="52" spans="1:2" x14ac:dyDescent="0.2">
      <c r="A52" s="24" t="s">
        <v>127</v>
      </c>
      <c r="B52" s="16" t="s">
        <v>128</v>
      </c>
    </row>
  </sheetData>
  <mergeCells count="4">
    <mergeCell ref="B22:F22"/>
    <mergeCell ref="A18:F18"/>
    <mergeCell ref="A19:F19"/>
    <mergeCell ref="A20:F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"/>
  <sheetViews>
    <sheetView workbookViewId="0">
      <selection activeCell="E11" sqref="E11:F12"/>
    </sheetView>
  </sheetViews>
  <sheetFormatPr baseColWidth="10" defaultColWidth="8.83203125" defaultRowHeight="15" x14ac:dyDescent="0.2"/>
  <sheetData>
    <row r="1" spans="1:2" x14ac:dyDescent="0.2">
      <c r="A1" t="s">
        <v>85</v>
      </c>
    </row>
    <row r="3" spans="1:2" x14ac:dyDescent="0.2">
      <c r="A3" t="s">
        <v>82</v>
      </c>
    </row>
    <row r="5" spans="1:2" x14ac:dyDescent="0.2">
      <c r="A5" t="s">
        <v>83</v>
      </c>
    </row>
    <row r="7" spans="1:2" x14ac:dyDescent="0.2">
      <c r="A7" t="s">
        <v>84</v>
      </c>
    </row>
    <row r="9" spans="1:2" x14ac:dyDescent="0.2">
      <c r="A9" t="s">
        <v>86</v>
      </c>
      <c r="B9" s="35"/>
    </row>
    <row r="10" spans="1:2" x14ac:dyDescent="0.2">
      <c r="B10" s="35" t="s">
        <v>5</v>
      </c>
    </row>
    <row r="11" spans="1:2" x14ac:dyDescent="0.2">
      <c r="B11" s="35" t="s">
        <v>87</v>
      </c>
    </row>
    <row r="12" spans="1:2" x14ac:dyDescent="0.2">
      <c r="B12" s="35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"/>
  <sheetViews>
    <sheetView workbookViewId="0">
      <selection activeCell="N45" sqref="N45"/>
    </sheetView>
  </sheetViews>
  <sheetFormatPr baseColWidth="10" defaultColWidth="10.83203125" defaultRowHeight="15" x14ac:dyDescent="0.2"/>
  <cols>
    <col min="1" max="1" width="52.6640625" style="93" bestFit="1" customWidth="1"/>
    <col min="2" max="2" width="7.33203125" style="247" bestFit="1" customWidth="1"/>
    <col min="3" max="3" width="27.5" style="93" bestFit="1" customWidth="1"/>
    <col min="4" max="4" width="10.83203125" style="93"/>
    <col min="5" max="5" width="24.5" style="93" bestFit="1" customWidth="1"/>
    <col min="6" max="16384" width="10.83203125" style="93"/>
  </cols>
  <sheetData>
    <row r="1" spans="1:5" x14ac:dyDescent="0.2">
      <c r="B1" s="109" t="s">
        <v>605</v>
      </c>
      <c r="C1" s="109" t="s">
        <v>606</v>
      </c>
      <c r="E1" s="248" t="s">
        <v>613</v>
      </c>
    </row>
    <row r="2" spans="1:5" x14ac:dyDescent="0.2">
      <c r="A2" s="243" t="s">
        <v>542</v>
      </c>
    </row>
    <row r="3" spans="1:5" x14ac:dyDescent="0.2">
      <c r="A3" s="93" t="s">
        <v>543</v>
      </c>
      <c r="B3" s="247" t="s">
        <v>604</v>
      </c>
      <c r="C3" s="93" t="s">
        <v>607</v>
      </c>
    </row>
    <row r="4" spans="1:5" x14ac:dyDescent="0.2">
      <c r="A4" s="244" t="s">
        <v>544</v>
      </c>
    </row>
    <row r="5" spans="1:5" x14ac:dyDescent="0.2">
      <c r="A5" s="244" t="s">
        <v>545</v>
      </c>
      <c r="B5" s="247" t="s">
        <v>604</v>
      </c>
      <c r="C5" s="93" t="s">
        <v>608</v>
      </c>
    </row>
    <row r="6" spans="1:5" x14ac:dyDescent="0.2">
      <c r="A6" s="244" t="s">
        <v>546</v>
      </c>
      <c r="B6" s="247" t="s">
        <v>604</v>
      </c>
      <c r="C6" s="93" t="s">
        <v>609</v>
      </c>
    </row>
    <row r="7" spans="1:5" x14ac:dyDescent="0.2">
      <c r="A7" s="244" t="s">
        <v>935</v>
      </c>
      <c r="B7" s="247" t="s">
        <v>604</v>
      </c>
      <c r="C7" s="93" t="s">
        <v>610</v>
      </c>
    </row>
    <row r="8" spans="1:5" x14ac:dyDescent="0.2">
      <c r="A8" s="244"/>
    </row>
    <row r="9" spans="1:5" x14ac:dyDescent="0.2">
      <c r="A9" s="244" t="s">
        <v>652</v>
      </c>
      <c r="B9" s="247" t="s">
        <v>604</v>
      </c>
      <c r="C9" s="93" t="s">
        <v>610</v>
      </c>
    </row>
    <row r="10" spans="1:5" x14ac:dyDescent="0.2">
      <c r="A10" s="244" t="s">
        <v>547</v>
      </c>
    </row>
    <row r="11" spans="1:5" x14ac:dyDescent="0.2">
      <c r="A11" s="244" t="s">
        <v>548</v>
      </c>
    </row>
    <row r="12" spans="1:5" x14ac:dyDescent="0.2">
      <c r="A12" s="244" t="s">
        <v>549</v>
      </c>
    </row>
    <row r="13" spans="1:5" x14ac:dyDescent="0.2">
      <c r="A13" s="244" t="s">
        <v>550</v>
      </c>
    </row>
    <row r="14" spans="1:5" x14ac:dyDescent="0.2">
      <c r="A14" s="244"/>
    </row>
    <row r="15" spans="1:5" x14ac:dyDescent="0.2">
      <c r="A15" s="245" t="s">
        <v>551</v>
      </c>
      <c r="B15" s="247" t="s">
        <v>604</v>
      </c>
      <c r="C15" s="93" t="s">
        <v>611</v>
      </c>
    </row>
    <row r="16" spans="1:5" x14ac:dyDescent="0.2">
      <c r="A16" s="244" t="s">
        <v>552</v>
      </c>
    </row>
    <row r="17" spans="1:3" x14ac:dyDescent="0.2">
      <c r="A17" s="244" t="s">
        <v>553</v>
      </c>
    </row>
    <row r="18" spans="1:3" x14ac:dyDescent="0.2">
      <c r="A18" s="244" t="s">
        <v>554</v>
      </c>
    </row>
    <row r="19" spans="1:3" x14ac:dyDescent="0.2">
      <c r="A19" s="244" t="s">
        <v>555</v>
      </c>
    </row>
    <row r="20" spans="1:3" x14ac:dyDescent="0.2">
      <c r="A20" s="244" t="s">
        <v>554</v>
      </c>
    </row>
    <row r="21" spans="1:3" x14ac:dyDescent="0.2">
      <c r="A21" s="244" t="s">
        <v>556</v>
      </c>
    </row>
    <row r="22" spans="1:3" x14ac:dyDescent="0.2">
      <c r="A22" s="244" t="s">
        <v>554</v>
      </c>
    </row>
    <row r="23" spans="1:3" x14ac:dyDescent="0.2">
      <c r="A23" s="244" t="s">
        <v>557</v>
      </c>
    </row>
    <row r="24" spans="1:3" x14ac:dyDescent="0.2">
      <c r="A24" s="244" t="s">
        <v>554</v>
      </c>
    </row>
    <row r="25" spans="1:3" x14ac:dyDescent="0.2">
      <c r="A25" s="244" t="s">
        <v>558</v>
      </c>
    </row>
    <row r="26" spans="1:3" x14ac:dyDescent="0.2">
      <c r="A26" s="244" t="s">
        <v>554</v>
      </c>
    </row>
    <row r="27" spans="1:3" x14ac:dyDescent="0.2">
      <c r="A27" s="244" t="s">
        <v>559</v>
      </c>
    </row>
    <row r="28" spans="1:3" x14ac:dyDescent="0.2">
      <c r="A28" s="244" t="s">
        <v>554</v>
      </c>
    </row>
    <row r="29" spans="1:3" x14ac:dyDescent="0.2">
      <c r="A29" s="244"/>
    </row>
    <row r="30" spans="1:3" x14ac:dyDescent="0.2">
      <c r="A30" s="243" t="s">
        <v>560</v>
      </c>
    </row>
    <row r="31" spans="1:3" x14ac:dyDescent="0.2">
      <c r="A31" s="244" t="s">
        <v>537</v>
      </c>
      <c r="B31" s="247" t="s">
        <v>604</v>
      </c>
      <c r="C31" s="93" t="s">
        <v>5</v>
      </c>
    </row>
    <row r="32" spans="1:3" x14ac:dyDescent="0.2">
      <c r="A32" s="244" t="s">
        <v>645</v>
      </c>
    </row>
    <row r="33" spans="1:3" x14ac:dyDescent="0.2">
      <c r="A33" s="244" t="s">
        <v>656</v>
      </c>
      <c r="B33" s="247" t="s">
        <v>604</v>
      </c>
      <c r="C33" s="93" t="s">
        <v>5</v>
      </c>
    </row>
    <row r="34" spans="1:3" x14ac:dyDescent="0.2">
      <c r="A34" s="244" t="s">
        <v>531</v>
      </c>
    </row>
    <row r="35" spans="1:3" x14ac:dyDescent="0.2">
      <c r="A35" s="93" t="s">
        <v>561</v>
      </c>
    </row>
    <row r="36" spans="1:3" x14ac:dyDescent="0.2">
      <c r="A36" s="244" t="s">
        <v>562</v>
      </c>
    </row>
    <row r="37" spans="1:3" x14ac:dyDescent="0.2">
      <c r="A37" s="244"/>
    </row>
    <row r="38" spans="1:3" x14ac:dyDescent="0.2">
      <c r="A38" s="245" t="s">
        <v>563</v>
      </c>
    </row>
    <row r="39" spans="1:3" x14ac:dyDescent="0.2">
      <c r="A39" s="244" t="s">
        <v>564</v>
      </c>
      <c r="B39" s="247" t="s">
        <v>604</v>
      </c>
      <c r="C39" s="93" t="s">
        <v>612</v>
      </c>
    </row>
    <row r="40" spans="1:3" x14ac:dyDescent="0.2">
      <c r="A40" s="244"/>
    </row>
    <row r="41" spans="1:3" x14ac:dyDescent="0.2">
      <c r="A41" s="245" t="s">
        <v>565</v>
      </c>
    </row>
    <row r="42" spans="1:3" x14ac:dyDescent="0.2">
      <c r="A42" s="244" t="s">
        <v>566</v>
      </c>
    </row>
    <row r="43" spans="1:3" x14ac:dyDescent="0.2">
      <c r="A43" s="244" t="s">
        <v>567</v>
      </c>
    </row>
    <row r="44" spans="1:3" x14ac:dyDescent="0.2">
      <c r="A44" s="244" t="s">
        <v>568</v>
      </c>
    </row>
    <row r="45" spans="1:3" x14ac:dyDescent="0.2">
      <c r="A45" s="244"/>
    </row>
    <row r="46" spans="1:3" x14ac:dyDescent="0.2">
      <c r="A46" s="246" t="s">
        <v>603</v>
      </c>
    </row>
    <row r="47" spans="1:3" x14ac:dyDescent="0.2">
      <c r="A47" s="244" t="s">
        <v>569</v>
      </c>
    </row>
    <row r="48" spans="1:3" x14ac:dyDescent="0.2">
      <c r="A48" s="244" t="s">
        <v>570</v>
      </c>
    </row>
    <row r="49" spans="1:1" x14ac:dyDescent="0.2">
      <c r="A49" s="244" t="s">
        <v>571</v>
      </c>
    </row>
    <row r="50" spans="1:1" x14ac:dyDescent="0.2">
      <c r="A50" s="245" t="s">
        <v>572</v>
      </c>
    </row>
    <row r="51" spans="1:1" x14ac:dyDescent="0.2">
      <c r="A51" s="244" t="s">
        <v>573</v>
      </c>
    </row>
    <row r="52" spans="1:1" x14ac:dyDescent="0.2">
      <c r="A52" s="245" t="s">
        <v>574</v>
      </c>
    </row>
    <row r="53" spans="1:1" x14ac:dyDescent="0.2">
      <c r="A53" s="245" t="s">
        <v>575</v>
      </c>
    </row>
    <row r="54" spans="1:1" x14ac:dyDescent="0.2">
      <c r="A54" s="93" t="s">
        <v>576</v>
      </c>
    </row>
    <row r="55" spans="1:1" x14ac:dyDescent="0.2">
      <c r="A55" s="93" t="s">
        <v>577</v>
      </c>
    </row>
    <row r="56" spans="1:1" x14ac:dyDescent="0.2">
      <c r="A56" s="93" t="s">
        <v>578</v>
      </c>
    </row>
    <row r="57" spans="1:1" x14ac:dyDescent="0.2">
      <c r="A57" s="244" t="s">
        <v>579</v>
      </c>
    </row>
    <row r="58" spans="1:1" x14ac:dyDescent="0.2">
      <c r="A58" s="244" t="s">
        <v>580</v>
      </c>
    </row>
    <row r="59" spans="1:1" x14ac:dyDescent="0.2">
      <c r="A59" s="244" t="s">
        <v>581</v>
      </c>
    </row>
    <row r="60" spans="1:1" x14ac:dyDescent="0.2">
      <c r="A60" s="244" t="s">
        <v>582</v>
      </c>
    </row>
    <row r="61" spans="1:1" x14ac:dyDescent="0.2">
      <c r="A61" s="244" t="s">
        <v>583</v>
      </c>
    </row>
    <row r="62" spans="1:1" x14ac:dyDescent="0.2">
      <c r="A62" s="93" t="s">
        <v>584</v>
      </c>
    </row>
    <row r="63" spans="1:1" x14ac:dyDescent="0.2">
      <c r="A63" s="245" t="s">
        <v>585</v>
      </c>
    </row>
    <row r="64" spans="1:1" x14ac:dyDescent="0.2">
      <c r="A64" s="93" t="s">
        <v>586</v>
      </c>
    </row>
    <row r="65" spans="1:1" x14ac:dyDescent="0.2">
      <c r="A65" s="93" t="s">
        <v>587</v>
      </c>
    </row>
    <row r="66" spans="1:1" x14ac:dyDescent="0.2">
      <c r="A66" s="93" t="s">
        <v>588</v>
      </c>
    </row>
    <row r="67" spans="1:1" x14ac:dyDescent="0.2">
      <c r="A67" s="93" t="s">
        <v>589</v>
      </c>
    </row>
    <row r="68" spans="1:1" x14ac:dyDescent="0.2">
      <c r="A68" s="93" t="s">
        <v>590</v>
      </c>
    </row>
    <row r="69" spans="1:1" x14ac:dyDescent="0.2">
      <c r="A69" s="244" t="s">
        <v>591</v>
      </c>
    </row>
    <row r="70" spans="1:1" x14ac:dyDescent="0.2">
      <c r="A70" s="93" t="s">
        <v>592</v>
      </c>
    </row>
    <row r="71" spans="1:1" x14ac:dyDescent="0.2">
      <c r="A71" s="93" t="s">
        <v>593</v>
      </c>
    </row>
    <row r="72" spans="1:1" x14ac:dyDescent="0.2">
      <c r="A72" s="93" t="s">
        <v>594</v>
      </c>
    </row>
    <row r="73" spans="1:1" x14ac:dyDescent="0.2">
      <c r="A73" s="93" t="s">
        <v>595</v>
      </c>
    </row>
    <row r="74" spans="1:1" x14ac:dyDescent="0.2">
      <c r="A74" s="93" t="s">
        <v>596</v>
      </c>
    </row>
    <row r="75" spans="1:1" x14ac:dyDescent="0.2">
      <c r="A75" s="245" t="s">
        <v>597</v>
      </c>
    </row>
    <row r="76" spans="1:1" x14ac:dyDescent="0.2">
      <c r="A76" s="245" t="s">
        <v>598</v>
      </c>
    </row>
    <row r="77" spans="1:1" x14ac:dyDescent="0.2">
      <c r="A77" s="244" t="s">
        <v>599</v>
      </c>
    </row>
    <row r="78" spans="1:1" x14ac:dyDescent="0.2">
      <c r="A78" s="245" t="s">
        <v>600</v>
      </c>
    </row>
    <row r="79" spans="1:1" x14ac:dyDescent="0.2">
      <c r="A79" s="244" t="s">
        <v>601</v>
      </c>
    </row>
    <row r="80" spans="1:1" x14ac:dyDescent="0.2">
      <c r="A80" s="245" t="s">
        <v>602</v>
      </c>
    </row>
  </sheetData>
  <dataValidations count="1">
    <dataValidation type="list" allowBlank="1" showInputMessage="1" showErrorMessage="1" sqref="A73" xr:uid="{00000000-0002-0000-0100-000000000000}">
      <formula1>$P$11:$P$26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6"/>
  <sheetViews>
    <sheetView workbookViewId="0">
      <selection activeCell="E11" sqref="E11:E12"/>
    </sheetView>
  </sheetViews>
  <sheetFormatPr baseColWidth="10" defaultColWidth="8.83203125" defaultRowHeight="15" x14ac:dyDescent="0.2"/>
  <sheetData>
    <row r="1" spans="1:1" x14ac:dyDescent="0.2">
      <c r="A1" t="s">
        <v>148</v>
      </c>
    </row>
    <row r="3" spans="1:1" x14ac:dyDescent="0.2">
      <c r="A3" s="35" t="s">
        <v>149</v>
      </c>
    </row>
    <row r="5" spans="1:1" x14ac:dyDescent="0.2">
      <c r="A5" t="s">
        <v>150</v>
      </c>
    </row>
    <row r="6" spans="1:1" x14ac:dyDescent="0.2">
      <c r="A6" t="s">
        <v>151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5"/>
  <sheetViews>
    <sheetView workbookViewId="0">
      <selection activeCell="E14" sqref="E14"/>
    </sheetView>
  </sheetViews>
  <sheetFormatPr baseColWidth="10" defaultColWidth="8.83203125" defaultRowHeight="15" x14ac:dyDescent="0.2"/>
  <sheetData>
    <row r="2" spans="1:1" x14ac:dyDescent="0.2">
      <c r="A2" t="s">
        <v>159</v>
      </c>
    </row>
    <row r="3" spans="1:1" x14ac:dyDescent="0.2">
      <c r="A3" t="s">
        <v>160</v>
      </c>
    </row>
    <row r="5" spans="1:1" x14ac:dyDescent="0.2">
      <c r="A5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6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3.5" customWidth="1"/>
    <col min="2" max="2" width="32.1640625" bestFit="1" customWidth="1"/>
    <col min="3" max="3" width="14.83203125" bestFit="1" customWidth="1"/>
  </cols>
  <sheetData>
    <row r="1" spans="1:8" x14ac:dyDescent="0.2">
      <c r="A1" s="34">
        <v>1</v>
      </c>
      <c r="B1" s="34" t="s">
        <v>162</v>
      </c>
    </row>
    <row r="2" spans="1:8" x14ac:dyDescent="0.2">
      <c r="A2" s="34">
        <v>2</v>
      </c>
      <c r="B2" s="34" t="s">
        <v>163</v>
      </c>
    </row>
    <row r="3" spans="1:8" x14ac:dyDescent="0.2">
      <c r="A3" s="34"/>
      <c r="B3" s="34" t="s">
        <v>164</v>
      </c>
    </row>
    <row r="4" spans="1:8" x14ac:dyDescent="0.2">
      <c r="A4" s="34"/>
      <c r="B4" s="34" t="s">
        <v>165</v>
      </c>
      <c r="C4" t="s">
        <v>166</v>
      </c>
      <c r="D4" t="s">
        <v>16</v>
      </c>
      <c r="E4" t="s">
        <v>168</v>
      </c>
      <c r="F4" t="s">
        <v>167</v>
      </c>
      <c r="G4" t="s">
        <v>50</v>
      </c>
      <c r="H4" t="s">
        <v>51</v>
      </c>
    </row>
    <row r="6" spans="1:8" x14ac:dyDescent="0.2">
      <c r="A6" s="34">
        <v>3</v>
      </c>
      <c r="B6" s="34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CB6A-8938-134B-AF92-5CE2D304E997}">
  <dimension ref="A1:M98"/>
  <sheetViews>
    <sheetView zoomScale="140" zoomScaleNormal="140" workbookViewId="0">
      <selection activeCell="B96" sqref="B96"/>
    </sheetView>
  </sheetViews>
  <sheetFormatPr baseColWidth="10" defaultRowHeight="14" x14ac:dyDescent="0.2"/>
  <cols>
    <col min="1" max="1" width="16.33203125" style="5" bestFit="1" customWidth="1"/>
    <col min="2" max="2" width="21.1640625" style="5" customWidth="1"/>
    <col min="3" max="3" width="16" style="5" bestFit="1" customWidth="1"/>
    <col min="4" max="4" width="17.5" style="5" customWidth="1"/>
    <col min="5" max="5" width="22.6640625" style="5" bestFit="1" customWidth="1"/>
    <col min="6" max="6" width="12" style="5" bestFit="1" customWidth="1"/>
    <col min="7" max="7" width="10.83203125" style="5"/>
    <col min="8" max="8" width="15" style="5" bestFit="1" customWidth="1"/>
    <col min="9" max="9" width="19.83203125" style="5" bestFit="1" customWidth="1"/>
    <col min="10" max="10" width="15.5" style="5" bestFit="1" customWidth="1"/>
    <col min="11" max="12" width="15.6640625" style="5" bestFit="1" customWidth="1"/>
    <col min="13" max="16384" width="10.83203125" style="5"/>
  </cols>
  <sheetData>
    <row r="1" spans="1:12" x14ac:dyDescent="0.2">
      <c r="A1" s="76" t="s">
        <v>518</v>
      </c>
      <c r="D1" s="389" t="s">
        <v>917</v>
      </c>
    </row>
    <row r="2" spans="1:12" x14ac:dyDescent="0.2">
      <c r="D2" s="31" t="s">
        <v>911</v>
      </c>
      <c r="E2" s="31" t="s">
        <v>252</v>
      </c>
      <c r="F2" s="31"/>
      <c r="G2" s="31"/>
    </row>
    <row r="3" spans="1:12" x14ac:dyDescent="0.2">
      <c r="A3" s="5" t="s">
        <v>878</v>
      </c>
      <c r="B3" s="26"/>
      <c r="C3" s="365"/>
      <c r="D3" s="31" t="s">
        <v>901</v>
      </c>
      <c r="E3" s="31" t="s">
        <v>784</v>
      </c>
      <c r="F3" s="31"/>
      <c r="G3" s="31" t="s">
        <v>804</v>
      </c>
    </row>
    <row r="4" spans="1:12" x14ac:dyDescent="0.2">
      <c r="D4" s="31" t="s">
        <v>902</v>
      </c>
      <c r="E4" s="31" t="s">
        <v>785</v>
      </c>
      <c r="F4" s="31"/>
      <c r="G4" s="31" t="s">
        <v>804</v>
      </c>
    </row>
    <row r="5" spans="1:12" x14ac:dyDescent="0.2">
      <c r="A5" s="5" t="s">
        <v>880</v>
      </c>
      <c r="B5" s="26"/>
      <c r="C5" s="365"/>
      <c r="D5" s="31" t="s">
        <v>903</v>
      </c>
      <c r="E5" s="31" t="s">
        <v>786</v>
      </c>
      <c r="F5" s="31"/>
      <c r="G5" s="31" t="s">
        <v>804</v>
      </c>
    </row>
    <row r="6" spans="1:12" x14ac:dyDescent="0.2">
      <c r="A6" s="5" t="s">
        <v>879</v>
      </c>
      <c r="B6" s="26" t="s">
        <v>919</v>
      </c>
      <c r="C6" s="365"/>
    </row>
    <row r="7" spans="1:12" x14ac:dyDescent="0.2">
      <c r="A7" s="5" t="s">
        <v>675</v>
      </c>
      <c r="B7" s="26"/>
      <c r="C7" s="365"/>
      <c r="E7" s="7">
        <f>587.85*4</f>
        <v>2351.4</v>
      </c>
    </row>
    <row r="8" spans="1:12" x14ac:dyDescent="0.2">
      <c r="A8" s="5" t="s">
        <v>5</v>
      </c>
      <c r="B8" s="26" t="s">
        <v>99</v>
      </c>
      <c r="C8" s="365"/>
    </row>
    <row r="9" spans="1:12" x14ac:dyDescent="0.2">
      <c r="A9" s="5" t="s">
        <v>180</v>
      </c>
      <c r="B9" s="26" t="s">
        <v>881</v>
      </c>
      <c r="C9" s="365"/>
    </row>
    <row r="13" spans="1:12" ht="15" thickBot="1" x14ac:dyDescent="0.25"/>
    <row r="14" spans="1:12" ht="15" thickBot="1" x14ac:dyDescent="0.25">
      <c r="F14" s="426" t="s">
        <v>462</v>
      </c>
      <c r="G14" s="427"/>
      <c r="H14" s="427"/>
      <c r="I14" s="427"/>
      <c r="J14" s="428"/>
    </row>
    <row r="15" spans="1:12" x14ac:dyDescent="0.2">
      <c r="A15" s="27" t="s">
        <v>2</v>
      </c>
      <c r="B15" s="27" t="s">
        <v>247</v>
      </c>
      <c r="C15" s="27" t="s">
        <v>10</v>
      </c>
      <c r="D15" s="27" t="s">
        <v>879</v>
      </c>
      <c r="E15" s="27" t="s">
        <v>675</v>
      </c>
      <c r="F15" s="367" t="s">
        <v>884</v>
      </c>
      <c r="G15" s="367" t="s">
        <v>882</v>
      </c>
      <c r="H15" s="367" t="s">
        <v>883</v>
      </c>
      <c r="I15" s="367" t="s">
        <v>885</v>
      </c>
      <c r="J15" s="367" t="s">
        <v>110</v>
      </c>
      <c r="K15" s="27" t="s">
        <v>886</v>
      </c>
      <c r="L15" s="27" t="s">
        <v>21</v>
      </c>
    </row>
    <row r="16" spans="1:12" x14ac:dyDescent="0.2">
      <c r="A16" s="26"/>
      <c r="B16" s="26"/>
      <c r="C16" s="26"/>
      <c r="D16" s="26"/>
      <c r="E16" s="26"/>
      <c r="F16" s="26">
        <v>0</v>
      </c>
      <c r="G16" s="386">
        <f>E35+E39</f>
        <v>400</v>
      </c>
      <c r="H16" s="386">
        <f>E36+E40</f>
        <v>-55</v>
      </c>
      <c r="I16" s="26"/>
      <c r="J16" s="26"/>
      <c r="K16" s="26"/>
      <c r="L16" s="26"/>
    </row>
    <row r="17" spans="1:12" ht="18" x14ac:dyDescent="0.25">
      <c r="A17" s="26"/>
      <c r="B17" s="364" t="s">
        <v>887</v>
      </c>
      <c r="C17" s="364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9" spans="1:12" x14ac:dyDescent="0.2">
      <c r="A29" s="76" t="s">
        <v>888</v>
      </c>
    </row>
    <row r="31" spans="1:12" x14ac:dyDescent="0.2">
      <c r="A31" s="5" t="s">
        <v>2</v>
      </c>
      <c r="B31" s="26"/>
    </row>
    <row r="32" spans="1:12" ht="15" thickBot="1" x14ac:dyDescent="0.25">
      <c r="A32" s="5" t="s">
        <v>247</v>
      </c>
      <c r="B32" s="26"/>
    </row>
    <row r="33" spans="1:13" ht="15" thickBot="1" x14ac:dyDescent="0.25">
      <c r="E33" s="429" t="s">
        <v>462</v>
      </c>
      <c r="F33" s="430"/>
      <c r="G33" s="429" t="s">
        <v>747</v>
      </c>
      <c r="H33" s="431"/>
      <c r="I33" s="431"/>
      <c r="J33" s="430"/>
    </row>
    <row r="34" spans="1:13" x14ac:dyDescent="0.2">
      <c r="A34" s="27" t="s">
        <v>918</v>
      </c>
      <c r="B34" s="27" t="s">
        <v>920</v>
      </c>
      <c r="C34" s="27" t="s">
        <v>889</v>
      </c>
      <c r="D34" s="368" t="s">
        <v>890</v>
      </c>
      <c r="E34" s="370" t="s">
        <v>16</v>
      </c>
      <c r="F34" s="371" t="s">
        <v>891</v>
      </c>
      <c r="G34" s="370" t="s">
        <v>886</v>
      </c>
      <c r="H34" s="367" t="s">
        <v>21</v>
      </c>
      <c r="I34" s="367" t="s">
        <v>894</v>
      </c>
      <c r="J34" s="371" t="s">
        <v>905</v>
      </c>
      <c r="K34" s="383" t="s">
        <v>60</v>
      </c>
      <c r="L34" s="376" t="s">
        <v>892</v>
      </c>
      <c r="M34" s="27" t="s">
        <v>893</v>
      </c>
    </row>
    <row r="35" spans="1:13" x14ac:dyDescent="0.2">
      <c r="A35" s="26" t="s">
        <v>895</v>
      </c>
      <c r="B35" s="26" t="s">
        <v>896</v>
      </c>
      <c r="C35" s="26"/>
      <c r="D35" s="369" t="s">
        <v>900</v>
      </c>
      <c r="E35" s="372">
        <v>100</v>
      </c>
      <c r="F35" s="373">
        <f>E35</f>
        <v>100</v>
      </c>
      <c r="G35" s="377">
        <v>50</v>
      </c>
      <c r="H35" s="366">
        <f>E35*G35</f>
        <v>5000</v>
      </c>
      <c r="I35" s="366"/>
      <c r="J35" s="378">
        <f>H35+I35</f>
        <v>5000</v>
      </c>
      <c r="K35" s="384">
        <f>J35/F35</f>
        <v>50</v>
      </c>
      <c r="L35" s="382">
        <v>43862</v>
      </c>
      <c r="M35" s="392" t="s">
        <v>904</v>
      </c>
    </row>
    <row r="36" spans="1:13" x14ac:dyDescent="0.2">
      <c r="A36" s="26" t="s">
        <v>897</v>
      </c>
      <c r="B36" s="26" t="s">
        <v>898</v>
      </c>
      <c r="C36" s="26" t="s">
        <v>899</v>
      </c>
      <c r="D36" s="369"/>
      <c r="E36" s="372">
        <v>-5</v>
      </c>
      <c r="F36" s="373">
        <f>F35+E36</f>
        <v>95</v>
      </c>
      <c r="G36" s="377">
        <v>50</v>
      </c>
      <c r="H36" s="366">
        <f>E36*G36</f>
        <v>-250</v>
      </c>
      <c r="I36" s="366"/>
      <c r="J36" s="378">
        <f>J35+H36+I36</f>
        <v>4750</v>
      </c>
      <c r="K36" s="384">
        <f t="shared" ref="K36:K41" si="0">J36/F36</f>
        <v>50</v>
      </c>
      <c r="L36" s="382">
        <v>43952</v>
      </c>
      <c r="M36" s="392" t="s">
        <v>904</v>
      </c>
    </row>
    <row r="37" spans="1:13" x14ac:dyDescent="0.2">
      <c r="A37" s="26" t="s">
        <v>901</v>
      </c>
      <c r="B37" s="26" t="s">
        <v>912</v>
      </c>
      <c r="C37" s="26"/>
      <c r="D37" s="369" t="s">
        <v>900</v>
      </c>
      <c r="E37" s="372"/>
      <c r="F37" s="373">
        <f t="shared" ref="F37:F42" si="1">F36+E37</f>
        <v>95</v>
      </c>
      <c r="G37" s="377"/>
      <c r="H37" s="366">
        <f t="shared" ref="H37:H42" si="2">E37*G37</f>
        <v>0</v>
      </c>
      <c r="I37" s="366">
        <f>-3*95</f>
        <v>-285</v>
      </c>
      <c r="J37" s="378">
        <f>J36+H37+I37</f>
        <v>4465</v>
      </c>
      <c r="K37" s="384">
        <f>J37/F37</f>
        <v>47</v>
      </c>
      <c r="L37" s="382">
        <v>44013</v>
      </c>
      <c r="M37" s="392" t="s">
        <v>904</v>
      </c>
    </row>
    <row r="38" spans="1:13" x14ac:dyDescent="0.2">
      <c r="A38" s="26" t="s">
        <v>902</v>
      </c>
      <c r="B38" s="26" t="s">
        <v>913</v>
      </c>
      <c r="C38" s="26"/>
      <c r="D38" s="369" t="s">
        <v>900</v>
      </c>
      <c r="E38" s="372"/>
      <c r="F38" s="373">
        <f t="shared" si="1"/>
        <v>95</v>
      </c>
      <c r="G38" s="377"/>
      <c r="H38" s="366">
        <f t="shared" si="2"/>
        <v>0</v>
      </c>
      <c r="I38" s="366">
        <f>1*100</f>
        <v>100</v>
      </c>
      <c r="J38" s="378">
        <f t="shared" ref="J38:J41" si="3">J37+H38+I38</f>
        <v>4565</v>
      </c>
      <c r="K38" s="384">
        <f t="shared" si="0"/>
        <v>48.05263157894737</v>
      </c>
      <c r="L38" s="382">
        <v>44105</v>
      </c>
      <c r="M38" s="392" t="s">
        <v>904</v>
      </c>
    </row>
    <row r="39" spans="1:13" x14ac:dyDescent="0.2">
      <c r="A39" s="26" t="s">
        <v>895</v>
      </c>
      <c r="B39" s="26" t="s">
        <v>906</v>
      </c>
      <c r="C39" s="26"/>
      <c r="D39" s="369" t="s">
        <v>908</v>
      </c>
      <c r="E39" s="372">
        <v>300</v>
      </c>
      <c r="F39" s="373">
        <f t="shared" si="1"/>
        <v>395</v>
      </c>
      <c r="G39" s="377">
        <v>50</v>
      </c>
      <c r="H39" s="366">
        <f t="shared" si="2"/>
        <v>15000</v>
      </c>
      <c r="I39" s="366"/>
      <c r="J39" s="378">
        <f t="shared" si="3"/>
        <v>19565</v>
      </c>
      <c r="K39" s="384">
        <f t="shared" si="0"/>
        <v>49.531645569620252</v>
      </c>
      <c r="L39" s="382">
        <v>44136</v>
      </c>
      <c r="M39" s="392" t="s">
        <v>904</v>
      </c>
    </row>
    <row r="40" spans="1:13" x14ac:dyDescent="0.2">
      <c r="A40" s="26" t="s">
        <v>897</v>
      </c>
      <c r="B40" s="26" t="s">
        <v>909</v>
      </c>
      <c r="C40" s="26" t="s">
        <v>907</v>
      </c>
      <c r="D40" s="369"/>
      <c r="E40" s="372">
        <v>-50</v>
      </c>
      <c r="F40" s="373">
        <f t="shared" si="1"/>
        <v>345</v>
      </c>
      <c r="G40" s="377">
        <f>K39</f>
        <v>49.531645569620252</v>
      </c>
      <c r="H40" s="366">
        <f t="shared" si="2"/>
        <v>-2476.5822784810125</v>
      </c>
      <c r="I40" s="366"/>
      <c r="J40" s="378">
        <f t="shared" si="3"/>
        <v>17088.417721518988</v>
      </c>
      <c r="K40" s="384">
        <f t="shared" si="0"/>
        <v>49.53164556962026</v>
      </c>
      <c r="L40" s="382">
        <v>44166</v>
      </c>
      <c r="M40" s="392" t="s">
        <v>904</v>
      </c>
    </row>
    <row r="41" spans="1:13" x14ac:dyDescent="0.2">
      <c r="A41" s="26" t="s">
        <v>903</v>
      </c>
      <c r="B41" s="26" t="s">
        <v>914</v>
      </c>
      <c r="C41" s="26"/>
      <c r="D41" s="369" t="s">
        <v>908</v>
      </c>
      <c r="E41" s="372"/>
      <c r="F41" s="373">
        <f t="shared" si="1"/>
        <v>345</v>
      </c>
      <c r="G41" s="377"/>
      <c r="H41" s="366">
        <f t="shared" si="2"/>
        <v>0</v>
      </c>
      <c r="I41" s="366">
        <f>-0.5*300</f>
        <v>-150</v>
      </c>
      <c r="J41" s="378">
        <f t="shared" si="3"/>
        <v>16938.417721518988</v>
      </c>
      <c r="K41" s="384">
        <f t="shared" si="0"/>
        <v>49.096862960924604</v>
      </c>
      <c r="L41" s="385" t="s">
        <v>910</v>
      </c>
      <c r="M41" s="392" t="s">
        <v>904</v>
      </c>
    </row>
    <row r="42" spans="1:13" ht="15" thickBot="1" x14ac:dyDescent="0.25">
      <c r="A42" s="26" t="s">
        <v>911</v>
      </c>
      <c r="B42" s="26" t="s">
        <v>915</v>
      </c>
      <c r="C42" s="26"/>
      <c r="D42" s="369" t="s">
        <v>908</v>
      </c>
      <c r="E42" s="374">
        <v>-20</v>
      </c>
      <c r="F42" s="375">
        <f t="shared" si="1"/>
        <v>325</v>
      </c>
      <c r="G42" s="379">
        <f>G39</f>
        <v>50</v>
      </c>
      <c r="H42" s="380">
        <f t="shared" si="2"/>
        <v>-1000</v>
      </c>
      <c r="I42" s="380"/>
      <c r="J42" s="381">
        <f>J41+H42+I42</f>
        <v>15938.417721518988</v>
      </c>
      <c r="K42" s="387">
        <f>J42/F42</f>
        <v>49.041285296981506</v>
      </c>
      <c r="L42" s="388" t="s">
        <v>916</v>
      </c>
      <c r="M42" s="392" t="s">
        <v>904</v>
      </c>
    </row>
    <row r="49" spans="1:6" x14ac:dyDescent="0.2">
      <c r="A49" s="5" t="s">
        <v>968</v>
      </c>
    </row>
    <row r="50" spans="1:6" x14ac:dyDescent="0.2">
      <c r="A50" s="5" t="s">
        <v>171</v>
      </c>
      <c r="B50" s="5" t="s">
        <v>969</v>
      </c>
    </row>
    <row r="51" spans="1:6" x14ac:dyDescent="0.2">
      <c r="A51" s="5" t="s">
        <v>970</v>
      </c>
      <c r="B51" s="5" t="s">
        <v>971</v>
      </c>
    </row>
    <row r="52" spans="1:6" x14ac:dyDescent="0.2">
      <c r="A52" s="5" t="s">
        <v>326</v>
      </c>
      <c r="B52" s="5" t="s">
        <v>405</v>
      </c>
    </row>
    <row r="53" spans="1:6" x14ac:dyDescent="0.2">
      <c r="B53" s="5" t="s">
        <v>972</v>
      </c>
    </row>
    <row r="55" spans="1:6" x14ac:dyDescent="0.2">
      <c r="A55" s="5" t="s">
        <v>973</v>
      </c>
    </row>
    <row r="56" spans="1:6" x14ac:dyDescent="0.2">
      <c r="B56" s="16" t="s">
        <v>974</v>
      </c>
    </row>
    <row r="57" spans="1:6" x14ac:dyDescent="0.2">
      <c r="B57" s="413" t="s">
        <v>976</v>
      </c>
      <c r="C57" s="417" t="s">
        <v>979</v>
      </c>
    </row>
    <row r="58" spans="1:6" x14ac:dyDescent="0.2">
      <c r="A58" s="5" t="s">
        <v>975</v>
      </c>
      <c r="B58" s="7">
        <f>100*1000</f>
        <v>100000</v>
      </c>
      <c r="C58" s="7">
        <f>100*900</f>
        <v>90000</v>
      </c>
      <c r="D58" s="8">
        <f>B58-C58</f>
        <v>10000</v>
      </c>
      <c r="E58" s="415">
        <f>D58</f>
        <v>10000</v>
      </c>
    </row>
    <row r="59" spans="1:6" x14ac:dyDescent="0.2">
      <c r="B59" s="7">
        <f>B58/1.12</f>
        <v>89285.714285714275</v>
      </c>
      <c r="C59" s="7">
        <f>C58/1.12</f>
        <v>80357.142857142855</v>
      </c>
      <c r="D59" s="8">
        <f>B59-C59</f>
        <v>8928.5714285714203</v>
      </c>
      <c r="E59" s="416">
        <f>E58/1.12</f>
        <v>8928.5714285714275</v>
      </c>
      <c r="F59" s="414" t="s">
        <v>978</v>
      </c>
    </row>
    <row r="60" spans="1:6" x14ac:dyDescent="0.2">
      <c r="B60" s="7">
        <f>B59*0.1</f>
        <v>8928.5714285714275</v>
      </c>
      <c r="C60" s="7">
        <f>C59*0.1</f>
        <v>8035.7142857142862</v>
      </c>
      <c r="D60" s="8">
        <f>B60-C60</f>
        <v>892.8571428571413</v>
      </c>
      <c r="E60" s="416">
        <f>E59*0.1</f>
        <v>892.85714285714278</v>
      </c>
    </row>
    <row r="61" spans="1:6" x14ac:dyDescent="0.2">
      <c r="B61" s="7">
        <f>B59-B60</f>
        <v>80357.142857142841</v>
      </c>
      <c r="C61" s="7">
        <f>C59-C60</f>
        <v>72321.428571428565</v>
      </c>
      <c r="D61" s="8">
        <f>B61-C61</f>
        <v>8035.7142857142753</v>
      </c>
      <c r="E61" s="416">
        <f>E59-E60</f>
        <v>8035.7142857142844</v>
      </c>
    </row>
    <row r="62" spans="1:6" x14ac:dyDescent="0.2">
      <c r="B62" s="7">
        <f>B61*0.12</f>
        <v>9642.8571428571413</v>
      </c>
      <c r="C62" s="7">
        <f>C61*0.12</f>
        <v>8678.5714285714275</v>
      </c>
      <c r="D62" s="8">
        <f>B62-C62</f>
        <v>964.28571428571377</v>
      </c>
      <c r="E62" s="416">
        <f>E61*0.12</f>
        <v>964.28571428571411</v>
      </c>
      <c r="F62" s="414" t="s">
        <v>977</v>
      </c>
    </row>
    <row r="63" spans="1:6" x14ac:dyDescent="0.2">
      <c r="B63" s="7">
        <f>B61+B62</f>
        <v>89999.999999999985</v>
      </c>
      <c r="C63" s="7">
        <f>C61+C62</f>
        <v>81000</v>
      </c>
      <c r="D63" s="8">
        <f t="shared" ref="D63" si="4">B63-C63</f>
        <v>8999.9999999999854</v>
      </c>
      <c r="E63" s="416">
        <f>E61+E62</f>
        <v>8999.9999999999982</v>
      </c>
    </row>
    <row r="64" spans="1:6" x14ac:dyDescent="0.2">
      <c r="B64" s="5">
        <v>100</v>
      </c>
      <c r="C64" s="5">
        <v>100</v>
      </c>
    </row>
    <row r="65" spans="1:4" x14ac:dyDescent="0.2">
      <c r="B65" s="8">
        <f>B63/B64</f>
        <v>899.99999999999989</v>
      </c>
      <c r="C65" s="8">
        <f>C63/C64</f>
        <v>810</v>
      </c>
    </row>
    <row r="68" spans="1:4" x14ac:dyDescent="0.2">
      <c r="A68" s="16" t="s">
        <v>252</v>
      </c>
      <c r="D68" s="432" t="s">
        <v>983</v>
      </c>
    </row>
    <row r="69" spans="1:4" x14ac:dyDescent="0.2">
      <c r="B69" s="413" t="s">
        <v>976</v>
      </c>
      <c r="C69" s="417" t="s">
        <v>982</v>
      </c>
      <c r="D69" s="432"/>
    </row>
    <row r="70" spans="1:4" x14ac:dyDescent="0.2">
      <c r="B70" s="7">
        <f>100*1000</f>
        <v>100000</v>
      </c>
      <c r="C70" s="7">
        <f>100*990</f>
        <v>99000</v>
      </c>
      <c r="D70" s="8">
        <f>B70-C70</f>
        <v>1000</v>
      </c>
    </row>
    <row r="71" spans="1:4" x14ac:dyDescent="0.2">
      <c r="A71" s="5" t="s">
        <v>206</v>
      </c>
      <c r="B71" s="7">
        <f>B70/1.12</f>
        <v>89285.714285714275</v>
      </c>
      <c r="C71" s="7">
        <f>C70/1.12</f>
        <v>88392.85714285713</v>
      </c>
      <c r="D71" s="8">
        <f t="shared" ref="D71:D76" si="5">B71-C71</f>
        <v>892.85714285714494</v>
      </c>
    </row>
    <row r="72" spans="1:4" x14ac:dyDescent="0.2">
      <c r="A72" s="5" t="s">
        <v>205</v>
      </c>
      <c r="B72" s="7">
        <f>B71*0.13</f>
        <v>11607.142857142857</v>
      </c>
      <c r="C72" s="7">
        <f>C71*0.13</f>
        <v>11491.071428571428</v>
      </c>
      <c r="D72" s="8">
        <f t="shared" si="5"/>
        <v>116.07142857142935</v>
      </c>
    </row>
    <row r="73" spans="1:4" x14ac:dyDescent="0.2">
      <c r="A73" s="5" t="s">
        <v>409</v>
      </c>
      <c r="B73" s="7">
        <f>B71*0.03</f>
        <v>2678.571428571428</v>
      </c>
      <c r="C73" s="7">
        <f>C71*0.03</f>
        <v>2651.7857142857138</v>
      </c>
      <c r="D73" s="8">
        <f t="shared" si="5"/>
        <v>26.785714285714221</v>
      </c>
    </row>
    <row r="74" spans="1:4" x14ac:dyDescent="0.2">
      <c r="A74" s="5" t="s">
        <v>981</v>
      </c>
      <c r="B74" s="7">
        <f>B71-B72-B73</f>
        <v>74999.999999999985</v>
      </c>
      <c r="C74" s="7">
        <f>C71-C72-C73</f>
        <v>74250</v>
      </c>
      <c r="D74" s="8">
        <f t="shared" si="5"/>
        <v>749.99999999998545</v>
      </c>
    </row>
    <row r="75" spans="1:4" x14ac:dyDescent="0.2">
      <c r="A75" s="5" t="s">
        <v>684</v>
      </c>
      <c r="B75" s="7">
        <f>B74*0.12</f>
        <v>8999.9999999999982</v>
      </c>
      <c r="C75" s="7">
        <f>C74*0.12</f>
        <v>8910</v>
      </c>
      <c r="D75" s="8">
        <f t="shared" si="5"/>
        <v>89.999999999998181</v>
      </c>
    </row>
    <row r="76" spans="1:4" x14ac:dyDescent="0.2">
      <c r="A76" s="5" t="s">
        <v>980</v>
      </c>
      <c r="B76" s="7">
        <f>B74+B75</f>
        <v>83999.999999999985</v>
      </c>
      <c r="C76" s="7">
        <f>C74+C75</f>
        <v>83160</v>
      </c>
      <c r="D76" s="8">
        <f t="shared" si="5"/>
        <v>839.99999999998545</v>
      </c>
    </row>
    <row r="78" spans="1:4" x14ac:dyDescent="0.2">
      <c r="B78" s="7">
        <f>990*100</f>
        <v>99000</v>
      </c>
      <c r="C78" s="7">
        <f>B78</f>
        <v>99000</v>
      </c>
      <c r="D78" s="8">
        <f>C78-B78</f>
        <v>0</v>
      </c>
    </row>
    <row r="79" spans="1:4" x14ac:dyDescent="0.2">
      <c r="A79" s="5" t="s">
        <v>206</v>
      </c>
      <c r="B79" s="7">
        <f>B78/1.12</f>
        <v>88392.85714285713</v>
      </c>
      <c r="C79" s="7">
        <f>B79</f>
        <v>88392.85714285713</v>
      </c>
      <c r="D79" s="8">
        <f t="shared" ref="D79:D82" si="6">C79-B79</f>
        <v>0</v>
      </c>
    </row>
    <row r="80" spans="1:4" x14ac:dyDescent="0.2">
      <c r="A80" s="5" t="s">
        <v>205</v>
      </c>
      <c r="B80" s="7">
        <f>B79*0.13</f>
        <v>11491.071428571428</v>
      </c>
      <c r="C80" s="7">
        <f>B80</f>
        <v>11491.071428571428</v>
      </c>
      <c r="D80" s="8">
        <f t="shared" si="6"/>
        <v>0</v>
      </c>
    </row>
    <row r="81" spans="1:5" x14ac:dyDescent="0.2">
      <c r="A81" s="5" t="s">
        <v>409</v>
      </c>
      <c r="B81" s="7">
        <f>B79*0.03</f>
        <v>2651.7857142857138</v>
      </c>
      <c r="C81" s="7">
        <f>C79*0.03+1980</f>
        <v>4631.7857142857138</v>
      </c>
      <c r="D81" s="8">
        <f t="shared" si="6"/>
        <v>1980</v>
      </c>
      <c r="E81" s="5" t="s">
        <v>409</v>
      </c>
    </row>
    <row r="82" spans="1:5" x14ac:dyDescent="0.2">
      <c r="A82" s="5" t="s">
        <v>981</v>
      </c>
      <c r="B82" s="7">
        <f>B79-B80-B81</f>
        <v>74250</v>
      </c>
      <c r="C82" s="7">
        <f>C79-C80-C81</f>
        <v>72270</v>
      </c>
      <c r="D82" s="8">
        <f t="shared" si="6"/>
        <v>-1980</v>
      </c>
    </row>
    <row r="83" spans="1:5" x14ac:dyDescent="0.2">
      <c r="A83" s="5" t="s">
        <v>684</v>
      </c>
      <c r="B83" s="7">
        <f>B82*0.12</f>
        <v>8910</v>
      </c>
      <c r="C83" s="7">
        <f>C82*0.12</f>
        <v>8672.4</v>
      </c>
      <c r="D83" s="8">
        <f>D82*0.12</f>
        <v>-237.6</v>
      </c>
      <c r="E83" s="418" t="s">
        <v>984</v>
      </c>
    </row>
    <row r="84" spans="1:5" x14ac:dyDescent="0.2">
      <c r="A84" s="5" t="s">
        <v>980</v>
      </c>
      <c r="B84" s="7">
        <f>B82+B83</f>
        <v>83160</v>
      </c>
      <c r="C84" s="7">
        <f>C82+C83</f>
        <v>80942.399999999994</v>
      </c>
      <c r="D84" s="8">
        <f>D82+D83</f>
        <v>-2217.6</v>
      </c>
      <c r="E84" s="8"/>
    </row>
    <row r="86" spans="1:5" x14ac:dyDescent="0.2">
      <c r="B86" s="7">
        <f>990*100</f>
        <v>99000</v>
      </c>
      <c r="C86" s="7">
        <f>990*100</f>
        <v>99000</v>
      </c>
      <c r="D86" s="8">
        <f>B86-C86</f>
        <v>0</v>
      </c>
    </row>
    <row r="87" spans="1:5" x14ac:dyDescent="0.2">
      <c r="A87" s="5" t="s">
        <v>206</v>
      </c>
      <c r="B87" s="7">
        <f>B86/1.12</f>
        <v>88392.85714285713</v>
      </c>
      <c r="C87" s="7">
        <f>C86/1.12</f>
        <v>88392.85714285713</v>
      </c>
      <c r="D87" s="8">
        <f t="shared" ref="D87:D92" si="7">B87-C87</f>
        <v>0</v>
      </c>
    </row>
    <row r="88" spans="1:5" x14ac:dyDescent="0.2">
      <c r="A88" s="5" t="s">
        <v>205</v>
      </c>
      <c r="B88" s="7">
        <f>B87*0.13</f>
        <v>11491.071428571428</v>
      </c>
      <c r="C88" s="7">
        <f>C87*0.13</f>
        <v>11491.071428571428</v>
      </c>
      <c r="D88" s="8">
        <f t="shared" si="7"/>
        <v>0</v>
      </c>
    </row>
    <row r="89" spans="1:5" x14ac:dyDescent="0.2">
      <c r="A89" s="5" t="s">
        <v>409</v>
      </c>
      <c r="B89" s="7"/>
      <c r="C89" s="7">
        <f>C87*0.03</f>
        <v>2651.7857142857138</v>
      </c>
      <c r="D89" s="8">
        <f t="shared" si="7"/>
        <v>-2651.7857142857138</v>
      </c>
    </row>
    <row r="90" spans="1:5" x14ac:dyDescent="0.2">
      <c r="A90" s="5" t="s">
        <v>981</v>
      </c>
      <c r="B90" s="7">
        <f>B87-B88-B89</f>
        <v>76901.78571428571</v>
      </c>
      <c r="C90" s="7">
        <f>C87-C88-C89</f>
        <v>74250</v>
      </c>
      <c r="D90" s="8">
        <f t="shared" si="7"/>
        <v>2651.7857142857101</v>
      </c>
      <c r="E90" s="5" t="s">
        <v>409</v>
      </c>
    </row>
    <row r="91" spans="1:5" x14ac:dyDescent="0.2">
      <c r="A91" s="5" t="s">
        <v>684</v>
      </c>
      <c r="B91" s="7">
        <f>B90*0.12</f>
        <v>9228.2142857142844</v>
      </c>
      <c r="C91" s="7">
        <f>C90*0.12</f>
        <v>8910</v>
      </c>
      <c r="D91" s="8">
        <f t="shared" si="7"/>
        <v>318.21428571428442</v>
      </c>
      <c r="E91" s="419" t="s">
        <v>984</v>
      </c>
    </row>
    <row r="92" spans="1:5" x14ac:dyDescent="0.2">
      <c r="A92" s="5" t="s">
        <v>980</v>
      </c>
      <c r="B92" s="7">
        <f>B90+B91</f>
        <v>86130</v>
      </c>
      <c r="C92" s="7">
        <f>C90+C91</f>
        <v>83160</v>
      </c>
      <c r="D92" s="8">
        <f t="shared" si="7"/>
        <v>2970</v>
      </c>
      <c r="E92" s="5" t="s">
        <v>985</v>
      </c>
    </row>
    <row r="96" spans="1:5" x14ac:dyDescent="0.2">
      <c r="A96" s="76" t="s">
        <v>986</v>
      </c>
    </row>
    <row r="97" spans="2:2" x14ac:dyDescent="0.2">
      <c r="B97" s="5" t="s">
        <v>987</v>
      </c>
    </row>
    <row r="98" spans="2:2" x14ac:dyDescent="0.2">
      <c r="B98" s="5" t="s">
        <v>988</v>
      </c>
    </row>
  </sheetData>
  <mergeCells count="4">
    <mergeCell ref="F14:J14"/>
    <mergeCell ref="E33:F33"/>
    <mergeCell ref="G33:J33"/>
    <mergeCell ref="D68:D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62D4-FE87-3047-8C32-F3BFE35EE9C8}">
  <dimension ref="A1:P27"/>
  <sheetViews>
    <sheetView workbookViewId="0">
      <selection activeCell="B27" sqref="B27"/>
    </sheetView>
  </sheetViews>
  <sheetFormatPr baseColWidth="10" defaultRowHeight="15" x14ac:dyDescent="0.2"/>
  <cols>
    <col min="1" max="1" width="27.83203125" style="93" bestFit="1" customWidth="1"/>
    <col min="2" max="2" width="22.33203125" style="93" bestFit="1" customWidth="1"/>
    <col min="3" max="3" width="10.6640625" style="93" bestFit="1" customWidth="1"/>
    <col min="4" max="4" width="18.83203125" style="93" customWidth="1"/>
    <col min="5" max="6" width="17.6640625" style="93" bestFit="1" customWidth="1"/>
    <col min="7" max="7" width="10.83203125" style="93"/>
    <col min="8" max="8" width="3.83203125" style="131" bestFit="1" customWidth="1"/>
    <col min="9" max="12" width="10.83203125" style="93"/>
    <col min="13" max="13" width="14.1640625" style="93" bestFit="1" customWidth="1"/>
    <col min="14" max="14" width="16" style="93" bestFit="1" customWidth="1"/>
    <col min="15" max="16384" width="10.83203125" style="93"/>
  </cols>
  <sheetData>
    <row r="1" spans="1:16" x14ac:dyDescent="0.2">
      <c r="I1" s="109" t="s">
        <v>16</v>
      </c>
      <c r="J1" s="109" t="s">
        <v>946</v>
      </c>
      <c r="K1" s="109" t="s">
        <v>41</v>
      </c>
      <c r="L1" s="109" t="s">
        <v>947</v>
      </c>
      <c r="M1" s="109" t="s">
        <v>948</v>
      </c>
      <c r="N1" s="109" t="s">
        <v>202</v>
      </c>
      <c r="O1" s="109"/>
      <c r="P1" s="109" t="s">
        <v>168</v>
      </c>
    </row>
    <row r="2" spans="1:16" x14ac:dyDescent="0.2">
      <c r="A2" s="260" t="s">
        <v>949</v>
      </c>
      <c r="B2" s="225"/>
      <c r="C2" s="225"/>
      <c r="D2" s="225"/>
      <c r="E2" s="225"/>
      <c r="H2" s="131" t="s">
        <v>942</v>
      </c>
      <c r="I2">
        <v>24</v>
      </c>
      <c r="J2">
        <v>711</v>
      </c>
      <c r="K2" s="51">
        <f>I2*J2</f>
        <v>17064</v>
      </c>
      <c r="L2" s="51">
        <f>K2*0.1687</f>
        <v>2878.6967999999997</v>
      </c>
      <c r="M2" s="51">
        <f>K2*0.0045</f>
        <v>76.787999999999997</v>
      </c>
      <c r="N2" s="51">
        <f>K2-L2-M2</f>
        <v>14108.5152</v>
      </c>
      <c r="O2" s="51">
        <v>24</v>
      </c>
      <c r="P2" s="51">
        <f>N2/I2</f>
        <v>587.85479999999995</v>
      </c>
    </row>
    <row r="3" spans="1:16" x14ac:dyDescent="0.2">
      <c r="A3" s="225" t="s">
        <v>936</v>
      </c>
      <c r="B3" s="225"/>
      <c r="C3" s="225"/>
      <c r="D3" s="225"/>
      <c r="E3" s="225"/>
      <c r="I3">
        <v>115</v>
      </c>
      <c r="J3">
        <v>616.79999999999995</v>
      </c>
      <c r="K3" s="51">
        <f t="shared" ref="K3:K4" si="0">I3*J3</f>
        <v>70932</v>
      </c>
      <c r="L3" s="51">
        <f t="shared" ref="L3:L4" si="1">K3*0.1687</f>
        <v>11966.2284</v>
      </c>
      <c r="M3" s="51">
        <f t="shared" ref="M3:M4" si="2">K3*0.0045</f>
        <v>319.19399999999996</v>
      </c>
      <c r="N3" s="51">
        <f t="shared" ref="N3:N4" si="3">K3-L3-M3</f>
        <v>58646.577599999997</v>
      </c>
      <c r="O3" s="51">
        <v>115</v>
      </c>
      <c r="P3" s="51">
        <f t="shared" ref="P3:P4" si="4">N3/I3</f>
        <v>509.97023999999999</v>
      </c>
    </row>
    <row r="4" spans="1:16" x14ac:dyDescent="0.2">
      <c r="A4" s="225" t="s">
        <v>15</v>
      </c>
      <c r="B4" s="406" t="s">
        <v>67</v>
      </c>
      <c r="C4" s="225"/>
      <c r="D4" s="225"/>
      <c r="E4" s="225"/>
      <c r="I4">
        <v>24</v>
      </c>
      <c r="J4">
        <v>711</v>
      </c>
      <c r="K4" s="51">
        <f t="shared" si="0"/>
        <v>17064</v>
      </c>
      <c r="L4" s="51">
        <f t="shared" si="1"/>
        <v>2878.6967999999997</v>
      </c>
      <c r="M4" s="51">
        <f t="shared" si="2"/>
        <v>76.787999999999997</v>
      </c>
      <c r="N4" s="51">
        <f t="shared" si="3"/>
        <v>14108.5152</v>
      </c>
      <c r="O4" s="51">
        <v>24</v>
      </c>
      <c r="P4" s="51">
        <f t="shared" si="4"/>
        <v>587.85479999999995</v>
      </c>
    </row>
    <row r="5" spans="1:16" x14ac:dyDescent="0.2">
      <c r="A5" s="225" t="s">
        <v>117</v>
      </c>
      <c r="B5" s="225"/>
      <c r="C5" s="225"/>
      <c r="D5" s="225"/>
      <c r="E5" s="225"/>
      <c r="I5"/>
      <c r="J5"/>
      <c r="K5" s="51"/>
      <c r="L5" s="51"/>
      <c r="M5" s="51"/>
      <c r="N5" s="51"/>
      <c r="O5" s="51"/>
      <c r="P5"/>
    </row>
    <row r="6" spans="1:16" x14ac:dyDescent="0.2">
      <c r="A6" s="225" t="s">
        <v>160</v>
      </c>
      <c r="B6" s="225"/>
      <c r="C6" s="225"/>
      <c r="D6" s="225"/>
      <c r="E6" s="225"/>
      <c r="I6"/>
      <c r="J6"/>
      <c r="K6" s="51"/>
      <c r="L6" s="51">
        <f>SUM(L2:L4)</f>
        <v>17723.621999999999</v>
      </c>
      <c r="M6" s="51">
        <f>SUM(M2:M4)</f>
        <v>472.77</v>
      </c>
      <c r="N6" s="51">
        <f>SUM(N2:N4)</f>
        <v>86863.607999999993</v>
      </c>
      <c r="O6" s="51"/>
      <c r="P6"/>
    </row>
    <row r="7" spans="1:16" x14ac:dyDescent="0.2">
      <c r="A7" s="224"/>
      <c r="B7" s="224"/>
      <c r="C7" s="224"/>
      <c r="D7" s="407"/>
      <c r="E7" s="407"/>
      <c r="I7"/>
      <c r="J7"/>
      <c r="K7" s="51"/>
      <c r="L7" s="51"/>
      <c r="M7" s="51">
        <f>M6/1.12</f>
        <v>422.11607142857139</v>
      </c>
      <c r="N7" s="51"/>
      <c r="O7" s="51"/>
      <c r="P7"/>
    </row>
    <row r="8" spans="1:16" x14ac:dyDescent="0.2">
      <c r="A8" s="408" t="s">
        <v>950</v>
      </c>
      <c r="B8" s="224"/>
      <c r="C8" s="224"/>
      <c r="D8" s="224"/>
      <c r="E8" s="224"/>
      <c r="I8"/>
      <c r="J8"/>
      <c r="K8" s="51"/>
      <c r="L8" s="51"/>
      <c r="M8" s="51"/>
      <c r="N8" s="51"/>
      <c r="O8" s="51"/>
      <c r="P8"/>
    </row>
    <row r="9" spans="1:16" x14ac:dyDescent="0.2">
      <c r="A9" s="224"/>
      <c r="B9" s="224"/>
      <c r="C9" s="224"/>
      <c r="D9" s="224"/>
      <c r="E9" s="224"/>
      <c r="H9" s="131" t="s">
        <v>943</v>
      </c>
      <c r="I9">
        <v>-4</v>
      </c>
      <c r="J9">
        <v>711</v>
      </c>
      <c r="K9" s="51">
        <f>I9*J9</f>
        <v>-2844</v>
      </c>
      <c r="L9" s="51">
        <f>K9*0.1687</f>
        <v>-479.78279999999995</v>
      </c>
      <c r="M9" s="51">
        <f>K9*0.0045</f>
        <v>-12.797999999999998</v>
      </c>
      <c r="N9" s="51">
        <f>K9-L9-M9</f>
        <v>-2351.4192000000003</v>
      </c>
      <c r="O9" s="51">
        <v>24</v>
      </c>
      <c r="P9" s="51">
        <f>N9/I9</f>
        <v>587.85480000000007</v>
      </c>
    </row>
    <row r="10" spans="1:16" x14ac:dyDescent="0.2">
      <c r="A10" s="224"/>
      <c r="B10" s="224"/>
      <c r="C10" s="224"/>
      <c r="D10" s="224"/>
      <c r="E10" s="224"/>
      <c r="I10">
        <v>-5</v>
      </c>
      <c r="J10">
        <v>616.79999999999995</v>
      </c>
      <c r="K10" s="51">
        <f t="shared" ref="K10:K11" si="5">I10*J10</f>
        <v>-3084</v>
      </c>
      <c r="L10" s="51">
        <f t="shared" ref="L10:L11" si="6">K10*0.1687</f>
        <v>-520.27080000000001</v>
      </c>
      <c r="M10" s="51">
        <f t="shared" ref="M10:M11" si="7">K10*0.0045</f>
        <v>-13.877999999999998</v>
      </c>
      <c r="N10" s="51">
        <f t="shared" ref="N10:N11" si="8">K10-L10-M10</f>
        <v>-2549.8511999999996</v>
      </c>
      <c r="O10" s="51">
        <v>115</v>
      </c>
      <c r="P10" s="51">
        <f t="shared" ref="P10:P11" si="9">N10/I10</f>
        <v>509.97023999999993</v>
      </c>
    </row>
    <row r="11" spans="1:16" x14ac:dyDescent="0.2">
      <c r="A11" s="224"/>
      <c r="B11" s="224"/>
      <c r="C11" s="224"/>
      <c r="D11" s="224"/>
      <c r="E11" s="224"/>
      <c r="I11">
        <v>-4</v>
      </c>
      <c r="J11">
        <v>711</v>
      </c>
      <c r="K11" s="51">
        <f t="shared" si="5"/>
        <v>-2844</v>
      </c>
      <c r="L11" s="51">
        <f t="shared" si="6"/>
        <v>-479.78279999999995</v>
      </c>
      <c r="M11" s="51">
        <f t="shared" si="7"/>
        <v>-12.797999999999998</v>
      </c>
      <c r="N11" s="51">
        <f t="shared" si="8"/>
        <v>-2351.4192000000003</v>
      </c>
      <c r="O11" s="51">
        <v>24</v>
      </c>
      <c r="P11" s="51">
        <f t="shared" si="9"/>
        <v>587.85480000000007</v>
      </c>
    </row>
    <row r="12" spans="1:16" x14ac:dyDescent="0.2">
      <c r="A12" s="108" t="s">
        <v>937</v>
      </c>
      <c r="B12" s="258" t="s">
        <v>938</v>
      </c>
      <c r="C12" s="108" t="s">
        <v>939</v>
      </c>
      <c r="D12" s="108" t="s">
        <v>940</v>
      </c>
      <c r="E12" s="108" t="s">
        <v>307</v>
      </c>
      <c r="F12" s="108" t="s">
        <v>892</v>
      </c>
      <c r="G12" s="108" t="s">
        <v>893</v>
      </c>
      <c r="I12"/>
      <c r="J12"/>
      <c r="K12" s="51"/>
      <c r="L12" s="51"/>
      <c r="M12" s="51"/>
      <c r="N12" s="51"/>
      <c r="O12" s="51"/>
      <c r="P12"/>
    </row>
    <row r="13" spans="1:16" x14ac:dyDescent="0.2">
      <c r="A13" s="107" t="s">
        <v>941</v>
      </c>
      <c r="B13" s="405">
        <f>N6</f>
        <v>86863.607999999993</v>
      </c>
      <c r="C13" s="107"/>
      <c r="D13" s="107"/>
      <c r="E13" s="405">
        <f>B13-C13+D13</f>
        <v>86863.607999999993</v>
      </c>
      <c r="F13" s="107"/>
      <c r="G13" s="107"/>
      <c r="I13"/>
      <c r="J13"/>
      <c r="K13" s="51"/>
      <c r="L13" s="51">
        <f>SUM(L9:L11)</f>
        <v>-1479.8363999999999</v>
      </c>
      <c r="M13" s="51">
        <f>SUM(M9:M11)</f>
        <v>-39.47399999999999</v>
      </c>
      <c r="N13" s="51">
        <f>SUM(N9:N11)</f>
        <v>-7252.6895999999997</v>
      </c>
      <c r="O13" s="51"/>
      <c r="P13"/>
    </row>
    <row r="14" spans="1:16" x14ac:dyDescent="0.2">
      <c r="A14" s="107" t="s">
        <v>944</v>
      </c>
      <c r="B14" s="107"/>
      <c r="C14" s="107"/>
      <c r="D14" s="405">
        <f>N13</f>
        <v>-7252.6895999999997</v>
      </c>
      <c r="E14" s="405">
        <f>E13+B14-C14+D14</f>
        <v>79610.918399999995</v>
      </c>
      <c r="F14" s="107"/>
      <c r="G14" s="107"/>
      <c r="I14"/>
      <c r="J14"/>
      <c r="K14" s="51"/>
      <c r="L14" s="51"/>
      <c r="M14" s="51"/>
      <c r="N14" s="51"/>
      <c r="O14" s="51"/>
      <c r="P14"/>
    </row>
    <row r="15" spans="1:16" x14ac:dyDescent="0.2">
      <c r="A15" s="107" t="s">
        <v>945</v>
      </c>
      <c r="B15" s="107"/>
      <c r="C15" s="107"/>
      <c r="D15" s="405">
        <f>N19</f>
        <v>-1891.7184</v>
      </c>
      <c r="E15" s="405">
        <f t="shared" ref="E15" si="10">E14+B15-C15+D15</f>
        <v>77719.199999999997</v>
      </c>
      <c r="F15" s="107"/>
      <c r="G15" s="107"/>
      <c r="H15" s="131" t="s">
        <v>943</v>
      </c>
      <c r="I15">
        <v>20</v>
      </c>
      <c r="J15">
        <v>-11</v>
      </c>
      <c r="K15" s="51">
        <f t="shared" ref="K15:K17" si="11">I15*J15</f>
        <v>-220</v>
      </c>
      <c r="L15" s="51">
        <f t="shared" ref="L15:L17" si="12">K15*0.1687</f>
        <v>-37.113999999999997</v>
      </c>
      <c r="M15" s="51">
        <f t="shared" ref="M15:M17" si="13">K15*0.0045</f>
        <v>-0.98999999999999988</v>
      </c>
      <c r="N15" s="51">
        <f t="shared" ref="N15:N17" si="14">K15-L15-M15</f>
        <v>-181.89599999999999</v>
      </c>
      <c r="O15" s="51">
        <v>24</v>
      </c>
      <c r="P15" s="51">
        <f>N15/I15</f>
        <v>-9.0947999999999993</v>
      </c>
    </row>
    <row r="16" spans="1:16" x14ac:dyDescent="0.2">
      <c r="I16">
        <v>110</v>
      </c>
      <c r="J16">
        <v>-16.8</v>
      </c>
      <c r="K16" s="51">
        <f t="shared" si="11"/>
        <v>-1848</v>
      </c>
      <c r="L16" s="51">
        <f t="shared" si="12"/>
        <v>-311.75759999999997</v>
      </c>
      <c r="M16" s="51">
        <f t="shared" si="13"/>
        <v>-8.3159999999999989</v>
      </c>
      <c r="N16" s="51">
        <f t="shared" si="14"/>
        <v>-1527.9264000000001</v>
      </c>
      <c r="O16" s="51">
        <v>115</v>
      </c>
      <c r="P16" s="51">
        <f t="shared" ref="P16:P17" si="15">N16/I16</f>
        <v>-13.89024</v>
      </c>
    </row>
    <row r="17" spans="1:16" x14ac:dyDescent="0.2">
      <c r="A17" s="109" t="s">
        <v>122</v>
      </c>
      <c r="B17" s="409">
        <f>SUM(B13:B15)</f>
        <v>86863.607999999993</v>
      </c>
      <c r="C17" s="409">
        <f t="shared" ref="C17:D17" si="16">SUM(C13:C15)</f>
        <v>0</v>
      </c>
      <c r="D17" s="409">
        <f t="shared" si="16"/>
        <v>-9144.4079999999994</v>
      </c>
      <c r="E17" s="409">
        <f>B17-C17+D17</f>
        <v>77719.199999999997</v>
      </c>
      <c r="I17">
        <v>20</v>
      </c>
      <c r="J17">
        <v>-11</v>
      </c>
      <c r="K17" s="51">
        <f t="shared" si="11"/>
        <v>-220</v>
      </c>
      <c r="L17" s="51">
        <f t="shared" si="12"/>
        <v>-37.113999999999997</v>
      </c>
      <c r="M17" s="51">
        <f t="shared" si="13"/>
        <v>-0.98999999999999988</v>
      </c>
      <c r="N17" s="51">
        <f t="shared" si="14"/>
        <v>-181.89599999999999</v>
      </c>
      <c r="O17" s="51">
        <v>24</v>
      </c>
      <c r="P17" s="51">
        <f t="shared" si="15"/>
        <v>-9.0947999999999993</v>
      </c>
    </row>
    <row r="18" spans="1:16" x14ac:dyDescent="0.2">
      <c r="I18"/>
      <c r="J18"/>
      <c r="K18" s="51"/>
      <c r="L18" s="51"/>
      <c r="M18" s="51"/>
      <c r="N18" s="51"/>
      <c r="O18" s="51"/>
      <c r="P18"/>
    </row>
    <row r="19" spans="1:16" x14ac:dyDescent="0.2">
      <c r="I19"/>
      <c r="J19"/>
      <c r="K19" s="51"/>
      <c r="L19" s="51">
        <f>SUM(L15:L17)</f>
        <v>-385.98559999999992</v>
      </c>
      <c r="M19" s="51">
        <f>SUM(M15:M17)</f>
        <v>-10.295999999999999</v>
      </c>
      <c r="N19" s="51">
        <f>SUM(N15:N17)</f>
        <v>-1891.7184</v>
      </c>
      <c r="O19" s="51"/>
      <c r="P19"/>
    </row>
    <row r="20" spans="1:16" x14ac:dyDescent="0.2">
      <c r="E20" s="273"/>
      <c r="I20"/>
      <c r="J20"/>
      <c r="K20" s="51"/>
      <c r="L20" s="51"/>
      <c r="M20" s="51"/>
      <c r="N20" s="51"/>
      <c r="O20" s="51"/>
      <c r="P20" s="55"/>
    </row>
    <row r="21" spans="1:16" x14ac:dyDescent="0.2">
      <c r="E21" s="273"/>
      <c r="N21" s="51">
        <f>N6+N13+N19</f>
        <v>77719.199999999997</v>
      </c>
    </row>
    <row r="22" spans="1:16" x14ac:dyDescent="0.2">
      <c r="A22" s="93" t="s">
        <v>951</v>
      </c>
      <c r="B22" s="93" t="s">
        <v>952</v>
      </c>
      <c r="E22" s="273"/>
    </row>
    <row r="23" spans="1:16" x14ac:dyDescent="0.2">
      <c r="A23" s="93" t="s">
        <v>409</v>
      </c>
      <c r="B23" s="93" t="s">
        <v>952</v>
      </c>
      <c r="I23">
        <v>20</v>
      </c>
      <c r="J23">
        <v>700</v>
      </c>
      <c r="K23" s="51">
        <f>I23*J23</f>
        <v>14000</v>
      </c>
      <c r="L23" s="51">
        <f>K23*0.1687</f>
        <v>2361.7999999999997</v>
      </c>
      <c r="M23" s="51">
        <f>K23*0.0045</f>
        <v>62.999999999999993</v>
      </c>
      <c r="N23" s="51">
        <f>K23-L23-M23</f>
        <v>11575.2</v>
      </c>
      <c r="O23" s="51">
        <v>24</v>
      </c>
      <c r="P23" s="51">
        <f t="shared" ref="P23:P25" si="17">N23/I23</f>
        <v>578.76</v>
      </c>
    </row>
    <row r="24" spans="1:16" x14ac:dyDescent="0.2">
      <c r="A24" s="93" t="s">
        <v>953</v>
      </c>
      <c r="I24">
        <v>110</v>
      </c>
      <c r="J24">
        <v>600</v>
      </c>
      <c r="K24" s="51">
        <f t="shared" ref="K24:K25" si="18">I24*J24</f>
        <v>66000</v>
      </c>
      <c r="L24" s="51">
        <f t="shared" ref="L24:L25" si="19">K24*0.1687</f>
        <v>11134.199999999999</v>
      </c>
      <c r="M24" s="51">
        <f t="shared" ref="M24:M25" si="20">K24*0.0045</f>
        <v>297</v>
      </c>
      <c r="N24" s="51">
        <f t="shared" ref="N24:N25" si="21">K24-L24-M24</f>
        <v>54568.800000000003</v>
      </c>
      <c r="O24" s="51">
        <v>115</v>
      </c>
      <c r="P24" s="51">
        <f t="shared" si="17"/>
        <v>496.08000000000004</v>
      </c>
    </row>
    <row r="25" spans="1:16" x14ac:dyDescent="0.2">
      <c r="A25" s="93" t="s">
        <v>954</v>
      </c>
      <c r="B25" s="93" t="s">
        <v>952</v>
      </c>
      <c r="I25">
        <v>20</v>
      </c>
      <c r="J25">
        <v>700</v>
      </c>
      <c r="K25" s="51">
        <f t="shared" si="18"/>
        <v>14000</v>
      </c>
      <c r="L25" s="51">
        <f t="shared" si="19"/>
        <v>2361.7999999999997</v>
      </c>
      <c r="M25" s="51">
        <f t="shared" si="20"/>
        <v>62.999999999999993</v>
      </c>
      <c r="N25" s="51">
        <f t="shared" si="21"/>
        <v>11575.2</v>
      </c>
      <c r="O25" s="51">
        <v>24</v>
      </c>
      <c r="P25" s="51">
        <f t="shared" si="17"/>
        <v>578.76</v>
      </c>
    </row>
    <row r="26" spans="1:16" x14ac:dyDescent="0.2">
      <c r="A26" s="93" t="s">
        <v>955</v>
      </c>
      <c r="I26"/>
      <c r="J26"/>
      <c r="K26" s="51"/>
      <c r="L26" s="51"/>
      <c r="M26" s="51"/>
      <c r="N26" s="51"/>
      <c r="O26" s="51"/>
      <c r="P26"/>
    </row>
    <row r="27" spans="1:16" x14ac:dyDescent="0.2">
      <c r="I27"/>
      <c r="J27"/>
      <c r="K27" s="51"/>
      <c r="L27" s="51">
        <f>SUM(L23:L25)</f>
        <v>15857.799999999997</v>
      </c>
      <c r="M27" s="51">
        <f>SUM(M23:M25)</f>
        <v>423</v>
      </c>
      <c r="N27" s="51">
        <f>SUM(N23:N25)</f>
        <v>77719.199999999997</v>
      </c>
      <c r="O27" s="51"/>
      <c r="P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9"/>
  <sheetViews>
    <sheetView tabSelected="1" topLeftCell="A121" workbookViewId="0">
      <selection activeCell="A131" sqref="A131:F132"/>
    </sheetView>
  </sheetViews>
  <sheetFormatPr baseColWidth="10" defaultColWidth="10.83203125" defaultRowHeight="14" x14ac:dyDescent="0.15"/>
  <cols>
    <col min="1" max="1" width="13.1640625" style="134" bestFit="1" customWidth="1"/>
    <col min="2" max="2" width="22.33203125" style="134" customWidth="1"/>
    <col min="3" max="3" width="19.5" style="134" bestFit="1" customWidth="1"/>
    <col min="4" max="4" width="15.5" style="134" bestFit="1" customWidth="1"/>
    <col min="5" max="7" width="14.6640625" style="134" bestFit="1" customWidth="1"/>
    <col min="8" max="8" width="22.5" style="134" bestFit="1" customWidth="1"/>
    <col min="9" max="10" width="21.83203125" style="134" customWidth="1"/>
    <col min="11" max="11" width="10.33203125" style="134" bestFit="1" customWidth="1"/>
    <col min="12" max="12" width="19.33203125" style="134" hidden="1" customWidth="1"/>
    <col min="13" max="13" width="14.33203125" style="134" hidden="1" customWidth="1"/>
    <col min="14" max="14" width="0" style="134" hidden="1" customWidth="1"/>
    <col min="15" max="15" width="11.83203125" style="134" hidden="1" customWidth="1"/>
    <col min="16" max="16" width="29.33203125" style="134" hidden="1" customWidth="1"/>
    <col min="17" max="17" width="22.83203125" style="134" hidden="1" customWidth="1"/>
    <col min="18" max="19" width="10.33203125" style="134" bestFit="1" customWidth="1"/>
    <col min="20" max="20" width="14.5" style="134" bestFit="1" customWidth="1"/>
    <col min="21" max="21" width="38.1640625" style="134" bestFit="1" customWidth="1"/>
    <col min="22" max="22" width="21" style="134" bestFit="1" customWidth="1"/>
    <col min="23" max="16384" width="10.83203125" style="134"/>
  </cols>
  <sheetData>
    <row r="1" spans="1:24" ht="18" x14ac:dyDescent="0.2">
      <c r="A1" s="434" t="s">
        <v>477</v>
      </c>
      <c r="B1" s="434"/>
      <c r="C1" s="434"/>
      <c r="D1" s="434"/>
      <c r="E1" s="434"/>
      <c r="F1" s="434"/>
      <c r="G1" s="434"/>
      <c r="H1" s="434"/>
      <c r="I1" s="434"/>
      <c r="J1" s="308"/>
    </row>
    <row r="2" spans="1:24" x14ac:dyDescent="0.15">
      <c r="A2" s="433" t="s">
        <v>438</v>
      </c>
      <c r="B2" s="433"/>
      <c r="C2" s="433"/>
      <c r="D2" s="433"/>
      <c r="E2" s="433"/>
      <c r="F2" s="433"/>
      <c r="G2" s="433"/>
      <c r="H2" s="433"/>
      <c r="I2" s="433"/>
      <c r="J2" s="307"/>
    </row>
    <row r="3" spans="1:24" x14ac:dyDescent="0.15">
      <c r="A3" s="433" t="s">
        <v>449</v>
      </c>
      <c r="B3" s="433"/>
      <c r="C3" s="433"/>
      <c r="D3" s="433"/>
      <c r="E3" s="433"/>
      <c r="F3" s="433"/>
      <c r="G3" s="433"/>
      <c r="H3" s="433"/>
      <c r="I3" s="433"/>
      <c r="J3" s="307"/>
    </row>
    <row r="4" spans="1:24" x14ac:dyDescent="0.15">
      <c r="H4" s="306" t="s">
        <v>773</v>
      </c>
    </row>
    <row r="5" spans="1:24" ht="18" x14ac:dyDescent="0.2">
      <c r="A5" s="434" t="s">
        <v>448</v>
      </c>
      <c r="B5" s="434"/>
      <c r="C5" s="434"/>
      <c r="D5" s="434"/>
      <c r="E5" s="434"/>
      <c r="F5" s="434"/>
      <c r="G5" s="434"/>
      <c r="H5" s="434"/>
      <c r="I5" s="434"/>
      <c r="J5" s="308"/>
    </row>
    <row r="6" spans="1:24" x14ac:dyDescent="0.15">
      <c r="A6" s="136"/>
      <c r="B6" s="136"/>
      <c r="C6" s="136"/>
      <c r="D6" s="136"/>
      <c r="E6" s="279"/>
      <c r="F6" s="279"/>
      <c r="G6" s="279"/>
      <c r="H6" s="136"/>
      <c r="I6" s="136"/>
      <c r="J6" s="307"/>
      <c r="U6" s="138" t="s">
        <v>718</v>
      </c>
    </row>
    <row r="7" spans="1:24" ht="16" x14ac:dyDescent="0.2">
      <c r="A7" s="158" t="s">
        <v>450</v>
      </c>
      <c r="B7" s="151" t="s">
        <v>478</v>
      </c>
      <c r="H7" s="158" t="s">
        <v>457</v>
      </c>
      <c r="I7" s="151" t="s">
        <v>479</v>
      </c>
      <c r="J7" s="151"/>
      <c r="L7" s="158" t="s">
        <v>487</v>
      </c>
      <c r="M7" s="151" t="s">
        <v>478</v>
      </c>
      <c r="P7" s="158" t="s">
        <v>457</v>
      </c>
      <c r="Q7" s="151" t="s">
        <v>479</v>
      </c>
      <c r="R7" s="151"/>
      <c r="S7" s="151"/>
      <c r="T7" s="151"/>
    </row>
    <row r="8" spans="1:24" x14ac:dyDescent="0.15">
      <c r="A8" s="134" t="s">
        <v>456</v>
      </c>
      <c r="H8" s="135" t="s">
        <v>458</v>
      </c>
      <c r="I8" s="170">
        <v>43739</v>
      </c>
      <c r="J8" s="170"/>
      <c r="L8" s="157" t="s">
        <v>456</v>
      </c>
      <c r="P8" s="135" t="s">
        <v>458</v>
      </c>
      <c r="U8" s="134" t="s">
        <v>719</v>
      </c>
      <c r="V8" s="242" t="s">
        <v>461</v>
      </c>
      <c r="W8" s="242"/>
      <c r="X8" s="134" t="s">
        <v>722</v>
      </c>
    </row>
    <row r="9" spans="1:24" x14ac:dyDescent="0.15">
      <c r="A9" s="135" t="s">
        <v>451</v>
      </c>
      <c r="H9" s="397" t="s">
        <v>889</v>
      </c>
      <c r="L9" s="157" t="s">
        <v>451</v>
      </c>
      <c r="V9" s="242"/>
      <c r="W9" s="242" t="s">
        <v>461</v>
      </c>
    </row>
    <row r="10" spans="1:24" x14ac:dyDescent="0.15">
      <c r="A10" s="304" t="s">
        <v>765</v>
      </c>
      <c r="H10" s="304" t="s">
        <v>932</v>
      </c>
      <c r="L10" s="157"/>
      <c r="V10" s="279"/>
      <c r="W10" s="279"/>
    </row>
    <row r="11" spans="1:24" x14ac:dyDescent="0.15">
      <c r="A11" s="135"/>
      <c r="L11" s="157"/>
      <c r="V11" s="279"/>
      <c r="W11" s="279"/>
    </row>
    <row r="12" spans="1:24" x14ac:dyDescent="0.15">
      <c r="A12" s="443" t="s">
        <v>760</v>
      </c>
      <c r="B12" s="443"/>
      <c r="H12" s="135" t="s">
        <v>452</v>
      </c>
      <c r="P12" s="135" t="s">
        <v>452</v>
      </c>
      <c r="U12" s="242" t="s">
        <v>569</v>
      </c>
      <c r="V12" s="242"/>
      <c r="W12" s="242"/>
    </row>
    <row r="13" spans="1:24" x14ac:dyDescent="0.15">
      <c r="A13" s="134" t="s">
        <v>459</v>
      </c>
      <c r="B13" s="150" t="s">
        <v>461</v>
      </c>
      <c r="H13" s="135" t="s">
        <v>454</v>
      </c>
      <c r="I13" s="134">
        <v>15</v>
      </c>
      <c r="L13" s="134" t="s">
        <v>489</v>
      </c>
      <c r="M13" s="142">
        <v>1000</v>
      </c>
      <c r="N13" s="134" t="s">
        <v>490</v>
      </c>
      <c r="O13" s="137"/>
      <c r="P13" s="135" t="s">
        <v>454</v>
      </c>
      <c r="V13" s="242"/>
      <c r="W13" s="242"/>
    </row>
    <row r="14" spans="1:24" x14ac:dyDescent="0.15">
      <c r="A14" s="134" t="s">
        <v>744</v>
      </c>
      <c r="B14" s="171"/>
      <c r="C14" s="294" t="s">
        <v>745</v>
      </c>
      <c r="H14" s="135" t="s">
        <v>453</v>
      </c>
      <c r="I14" s="170">
        <f>I8+I13</f>
        <v>43754</v>
      </c>
      <c r="J14" s="170"/>
      <c r="P14" s="135" t="s">
        <v>453</v>
      </c>
      <c r="U14" s="134" t="s">
        <v>573</v>
      </c>
      <c r="V14" s="242" t="s">
        <v>461</v>
      </c>
      <c r="W14" s="242"/>
      <c r="X14" s="134" t="s">
        <v>721</v>
      </c>
    </row>
    <row r="15" spans="1:24" x14ac:dyDescent="0.15">
      <c r="A15" s="134" t="s">
        <v>460</v>
      </c>
      <c r="B15" s="171"/>
      <c r="V15" s="242"/>
      <c r="W15" s="242"/>
    </row>
    <row r="16" spans="1:24" x14ac:dyDescent="0.15">
      <c r="B16" s="303"/>
      <c r="V16" s="279"/>
      <c r="W16" s="279"/>
    </row>
    <row r="17" spans="1:23" x14ac:dyDescent="0.15">
      <c r="A17" s="134" t="s">
        <v>757</v>
      </c>
      <c r="B17" s="171" t="s">
        <v>759</v>
      </c>
      <c r="C17" s="134" t="s">
        <v>758</v>
      </c>
      <c r="E17" s="442" t="s">
        <v>754</v>
      </c>
      <c r="F17" s="442"/>
      <c r="G17" s="442"/>
      <c r="V17" s="279"/>
      <c r="W17" s="279"/>
    </row>
    <row r="18" spans="1:23" x14ac:dyDescent="0.15">
      <c r="E18" s="435" t="s">
        <v>466</v>
      </c>
      <c r="F18" s="435"/>
      <c r="G18" s="435"/>
      <c r="H18" s="435"/>
      <c r="U18" s="242" t="s">
        <v>720</v>
      </c>
      <c r="V18" s="242"/>
      <c r="W18" s="242" t="s">
        <v>461</v>
      </c>
    </row>
    <row r="19" spans="1:23" s="136" customFormat="1" x14ac:dyDescent="0.15">
      <c r="A19" s="139" t="s">
        <v>2</v>
      </c>
      <c r="B19" s="140" t="s">
        <v>247</v>
      </c>
      <c r="C19" s="309" t="s">
        <v>10</v>
      </c>
      <c r="D19" s="139" t="s">
        <v>462</v>
      </c>
      <c r="E19" s="309" t="s">
        <v>96</v>
      </c>
      <c r="F19" s="309" t="s">
        <v>748</v>
      </c>
      <c r="G19" s="309" t="s">
        <v>749</v>
      </c>
      <c r="H19" s="309" t="s">
        <v>750</v>
      </c>
      <c r="I19" s="309" t="s">
        <v>747</v>
      </c>
      <c r="J19" s="309" t="s">
        <v>204</v>
      </c>
      <c r="K19" s="293" t="s">
        <v>751</v>
      </c>
      <c r="L19" s="309" t="s">
        <v>2</v>
      </c>
      <c r="M19" s="440" t="s">
        <v>247</v>
      </c>
      <c r="N19" s="441"/>
      <c r="O19" s="309" t="s">
        <v>462</v>
      </c>
      <c r="P19" s="309" t="s">
        <v>96</v>
      </c>
      <c r="Q19" s="309" t="s">
        <v>204</v>
      </c>
      <c r="R19" s="293" t="s">
        <v>752</v>
      </c>
      <c r="S19" s="293" t="s">
        <v>753</v>
      </c>
      <c r="T19" s="360"/>
    </row>
    <row r="20" spans="1:23" x14ac:dyDescent="0.15">
      <c r="A20" s="159">
        <v>12</v>
      </c>
      <c r="B20" s="164" t="s">
        <v>31</v>
      </c>
      <c r="C20" s="143"/>
      <c r="D20" s="143">
        <v>10</v>
      </c>
      <c r="E20" s="142">
        <v>1</v>
      </c>
      <c r="F20" s="144">
        <v>0.03</v>
      </c>
      <c r="G20" s="144">
        <v>0.02</v>
      </c>
      <c r="H20" s="144">
        <v>0.01</v>
      </c>
      <c r="I20" s="142">
        <f>ROUND(K20+R20+S20,2)</f>
        <v>0.59</v>
      </c>
      <c r="J20" s="142">
        <f>ROUND((D20*E20)-I20,2)</f>
        <v>9.41</v>
      </c>
      <c r="K20" s="299">
        <f t="shared" ref="K20:K26" si="0">D20*E20*F20</f>
        <v>0.3</v>
      </c>
      <c r="L20" s="300">
        <v>12</v>
      </c>
      <c r="M20" s="301" t="s">
        <v>31</v>
      </c>
      <c r="N20" s="302"/>
      <c r="O20" s="142">
        <v>10</v>
      </c>
      <c r="P20" s="142">
        <v>1</v>
      </c>
      <c r="Q20" s="142">
        <f t="shared" ref="Q20:Q26" si="1">O20*P20</f>
        <v>10</v>
      </c>
      <c r="R20" s="299">
        <f t="shared" ref="R20:R26" si="2">(D20*E20-K20)*G20</f>
        <v>0.19399999999999998</v>
      </c>
      <c r="S20" s="299">
        <f t="shared" ref="S20:S26" si="3">ROUND((D20*E20-K20-R20)*H20,2)</f>
        <v>0.1</v>
      </c>
      <c r="T20" s="361"/>
    </row>
    <row r="21" spans="1:23" x14ac:dyDescent="0.15">
      <c r="A21" s="159">
        <v>23</v>
      </c>
      <c r="B21" s="164" t="s">
        <v>32</v>
      </c>
      <c r="C21" s="143"/>
      <c r="D21" s="143">
        <v>20</v>
      </c>
      <c r="E21" s="142">
        <v>2</v>
      </c>
      <c r="F21" s="144">
        <v>0.03</v>
      </c>
      <c r="G21" s="144">
        <v>0.02</v>
      </c>
      <c r="H21" s="144">
        <v>0.01</v>
      </c>
      <c r="I21" s="142">
        <f t="shared" ref="I21:I26" si="4">ROUND(K21+R21+S21,2)</f>
        <v>2.36</v>
      </c>
      <c r="J21" s="142">
        <f t="shared" ref="J21:J26" si="5">ROUND((D21*E21)-I21,2)</f>
        <v>37.64</v>
      </c>
      <c r="K21" s="299">
        <f t="shared" si="0"/>
        <v>1.2</v>
      </c>
      <c r="L21" s="300">
        <v>12</v>
      </c>
      <c r="M21" s="301" t="s">
        <v>31</v>
      </c>
      <c r="N21" s="302"/>
      <c r="O21" s="142">
        <v>10</v>
      </c>
      <c r="P21" s="142">
        <v>1</v>
      </c>
      <c r="Q21" s="142">
        <f t="shared" si="1"/>
        <v>10</v>
      </c>
      <c r="R21" s="299">
        <f t="shared" si="2"/>
        <v>0.77599999999999991</v>
      </c>
      <c r="S21" s="299">
        <f t="shared" si="3"/>
        <v>0.38</v>
      </c>
      <c r="T21" s="361"/>
    </row>
    <row r="22" spans="1:23" x14ac:dyDescent="0.15">
      <c r="A22" s="159">
        <v>34</v>
      </c>
      <c r="B22" s="164" t="s">
        <v>33</v>
      </c>
      <c r="C22" s="143"/>
      <c r="D22" s="143">
        <v>30</v>
      </c>
      <c r="E22" s="142">
        <v>3</v>
      </c>
      <c r="F22" s="144">
        <v>0.03</v>
      </c>
      <c r="G22" s="144">
        <v>0.02</v>
      </c>
      <c r="H22" s="144">
        <v>0.01</v>
      </c>
      <c r="I22" s="142">
        <f t="shared" si="4"/>
        <v>5.31</v>
      </c>
      <c r="J22" s="142">
        <f t="shared" si="5"/>
        <v>84.69</v>
      </c>
      <c r="K22" s="299">
        <f t="shared" si="0"/>
        <v>2.6999999999999997</v>
      </c>
      <c r="L22" s="300">
        <v>12</v>
      </c>
      <c r="M22" s="301" t="s">
        <v>31</v>
      </c>
      <c r="N22" s="302"/>
      <c r="O22" s="142">
        <v>10</v>
      </c>
      <c r="P22" s="142">
        <v>1</v>
      </c>
      <c r="Q22" s="142">
        <f t="shared" si="1"/>
        <v>10</v>
      </c>
      <c r="R22" s="299">
        <f t="shared" si="2"/>
        <v>1.746</v>
      </c>
      <c r="S22" s="299">
        <f t="shared" si="3"/>
        <v>0.86</v>
      </c>
      <c r="T22" s="361"/>
    </row>
    <row r="23" spans="1:23" x14ac:dyDescent="0.15">
      <c r="A23" s="159">
        <v>45</v>
      </c>
      <c r="B23" s="164" t="s">
        <v>34</v>
      </c>
      <c r="C23" s="143"/>
      <c r="D23" s="143">
        <v>40</v>
      </c>
      <c r="E23" s="142">
        <v>4</v>
      </c>
      <c r="F23" s="144">
        <v>0.03</v>
      </c>
      <c r="G23" s="144">
        <v>0.02</v>
      </c>
      <c r="H23" s="144">
        <v>0.01</v>
      </c>
      <c r="I23" s="142">
        <f t="shared" si="4"/>
        <v>9.42</v>
      </c>
      <c r="J23" s="142">
        <f t="shared" si="5"/>
        <v>150.58000000000001</v>
      </c>
      <c r="K23" s="299">
        <f t="shared" si="0"/>
        <v>4.8</v>
      </c>
      <c r="L23" s="300">
        <v>12</v>
      </c>
      <c r="M23" s="301" t="s">
        <v>31</v>
      </c>
      <c r="N23" s="302"/>
      <c r="O23" s="142">
        <v>10</v>
      </c>
      <c r="P23" s="142">
        <v>1</v>
      </c>
      <c r="Q23" s="142">
        <f t="shared" si="1"/>
        <v>10</v>
      </c>
      <c r="R23" s="299">
        <f t="shared" si="2"/>
        <v>3.1039999999999996</v>
      </c>
      <c r="S23" s="299">
        <f t="shared" si="3"/>
        <v>1.52</v>
      </c>
      <c r="T23" s="361"/>
    </row>
    <row r="24" spans="1:23" x14ac:dyDescent="0.15">
      <c r="A24" s="159">
        <v>56</v>
      </c>
      <c r="B24" s="164" t="s">
        <v>35</v>
      </c>
      <c r="C24" s="143"/>
      <c r="D24" s="143">
        <v>50</v>
      </c>
      <c r="E24" s="142">
        <v>5</v>
      </c>
      <c r="F24" s="144">
        <v>0.03</v>
      </c>
      <c r="G24" s="144">
        <v>0.02</v>
      </c>
      <c r="H24" s="144">
        <v>0.01</v>
      </c>
      <c r="I24" s="142">
        <f t="shared" si="4"/>
        <v>14.73</v>
      </c>
      <c r="J24" s="142">
        <f t="shared" si="5"/>
        <v>235.27</v>
      </c>
      <c r="K24" s="299">
        <f t="shared" si="0"/>
        <v>7.5</v>
      </c>
      <c r="L24" s="300">
        <v>12</v>
      </c>
      <c r="M24" s="301" t="s">
        <v>31</v>
      </c>
      <c r="N24" s="302"/>
      <c r="O24" s="142">
        <v>10</v>
      </c>
      <c r="P24" s="142">
        <v>1</v>
      </c>
      <c r="Q24" s="142">
        <f t="shared" si="1"/>
        <v>10</v>
      </c>
      <c r="R24" s="299">
        <f t="shared" si="2"/>
        <v>4.8500000000000005</v>
      </c>
      <c r="S24" s="299">
        <f t="shared" si="3"/>
        <v>2.38</v>
      </c>
      <c r="T24" s="361"/>
    </row>
    <row r="25" spans="1:23" x14ac:dyDescent="0.15">
      <c r="A25" s="159">
        <v>67</v>
      </c>
      <c r="B25" s="164" t="s">
        <v>36</v>
      </c>
      <c r="C25" s="143"/>
      <c r="D25" s="143">
        <v>60</v>
      </c>
      <c r="E25" s="142">
        <v>6</v>
      </c>
      <c r="F25" s="144">
        <v>0.03</v>
      </c>
      <c r="G25" s="144">
        <v>0.02</v>
      </c>
      <c r="H25" s="144">
        <v>0.01</v>
      </c>
      <c r="I25" s="142">
        <f t="shared" si="4"/>
        <v>21.2</v>
      </c>
      <c r="J25" s="142">
        <f t="shared" si="5"/>
        <v>338.8</v>
      </c>
      <c r="K25" s="299">
        <f t="shared" si="0"/>
        <v>10.799999999999999</v>
      </c>
      <c r="L25" s="300">
        <v>12</v>
      </c>
      <c r="M25" s="301" t="s">
        <v>31</v>
      </c>
      <c r="N25" s="302"/>
      <c r="O25" s="142">
        <v>10</v>
      </c>
      <c r="P25" s="142">
        <v>1</v>
      </c>
      <c r="Q25" s="142">
        <f t="shared" si="1"/>
        <v>10</v>
      </c>
      <c r="R25" s="299">
        <f t="shared" si="2"/>
        <v>6.984</v>
      </c>
      <c r="S25" s="299">
        <f t="shared" si="3"/>
        <v>3.42</v>
      </c>
      <c r="T25" s="361"/>
    </row>
    <row r="26" spans="1:23" x14ac:dyDescent="0.15">
      <c r="A26" s="159">
        <v>89</v>
      </c>
      <c r="B26" s="164" t="s">
        <v>37</v>
      </c>
      <c r="C26" s="143"/>
      <c r="D26" s="143">
        <v>70</v>
      </c>
      <c r="E26" s="142">
        <v>7</v>
      </c>
      <c r="F26" s="144">
        <v>0.03</v>
      </c>
      <c r="G26" s="144">
        <v>0.02</v>
      </c>
      <c r="H26" s="144">
        <v>0.01</v>
      </c>
      <c r="I26" s="142">
        <f t="shared" si="4"/>
        <v>28.87</v>
      </c>
      <c r="J26" s="142">
        <f t="shared" si="5"/>
        <v>461.13</v>
      </c>
      <c r="K26" s="299">
        <f t="shared" si="0"/>
        <v>14.7</v>
      </c>
      <c r="L26" s="300">
        <v>12</v>
      </c>
      <c r="M26" s="301" t="s">
        <v>31</v>
      </c>
      <c r="N26" s="302"/>
      <c r="O26" s="142">
        <v>10</v>
      </c>
      <c r="P26" s="142">
        <v>1</v>
      </c>
      <c r="Q26" s="142">
        <f t="shared" si="1"/>
        <v>10</v>
      </c>
      <c r="R26" s="299">
        <f t="shared" si="2"/>
        <v>9.5060000000000002</v>
      </c>
      <c r="S26" s="299">
        <f t="shared" si="3"/>
        <v>4.66</v>
      </c>
      <c r="T26" s="361"/>
    </row>
    <row r="27" spans="1:23" x14ac:dyDescent="0.15">
      <c r="A27" s="137"/>
      <c r="B27" s="140"/>
      <c r="C27" s="310"/>
      <c r="D27" s="141"/>
      <c r="E27" s="137"/>
      <c r="F27" s="137"/>
      <c r="G27" s="137"/>
      <c r="H27" s="137"/>
      <c r="I27" s="144"/>
      <c r="J27" s="142"/>
      <c r="L27" s="137"/>
      <c r="M27" s="438"/>
      <c r="N27" s="439"/>
      <c r="O27" s="137"/>
      <c r="P27" s="139" t="s">
        <v>467</v>
      </c>
      <c r="Q27" s="137"/>
      <c r="R27" s="180"/>
      <c r="S27" s="180"/>
      <c r="T27" s="180"/>
    </row>
    <row r="28" spans="1:23" s="153" customFormat="1" ht="18" x14ac:dyDescent="0.2">
      <c r="A28" s="155"/>
      <c r="B28" s="165" t="s">
        <v>468</v>
      </c>
      <c r="C28" s="166"/>
      <c r="D28" s="166"/>
      <c r="E28" s="155"/>
      <c r="F28" s="155"/>
      <c r="G28" s="155"/>
      <c r="H28" s="155"/>
      <c r="I28" s="156">
        <f>SUM(I20:I26)</f>
        <v>82.48</v>
      </c>
      <c r="J28" s="156">
        <f>SUM(J20:J26)</f>
        <v>1317.52</v>
      </c>
      <c r="L28" s="137"/>
      <c r="M28" s="440" t="s">
        <v>466</v>
      </c>
      <c r="N28" s="441"/>
      <c r="O28" s="137"/>
      <c r="P28" s="144">
        <v>0.03</v>
      </c>
      <c r="Q28" s="142">
        <f>ROUND(SUM(Q20:Q26)*P28,2)</f>
        <v>2.1</v>
      </c>
      <c r="R28" s="297"/>
      <c r="S28" s="297"/>
      <c r="T28" s="297"/>
    </row>
    <row r="29" spans="1:23" x14ac:dyDescent="0.15">
      <c r="L29" s="137"/>
      <c r="M29" s="140"/>
      <c r="N29" s="141"/>
      <c r="O29" s="137"/>
      <c r="P29" s="144"/>
      <c r="Q29" s="142"/>
      <c r="R29" s="297"/>
      <c r="S29" s="297"/>
      <c r="T29" s="297"/>
    </row>
    <row r="30" spans="1:23" ht="18" x14ac:dyDescent="0.2">
      <c r="L30" s="155"/>
      <c r="M30" s="436" t="s">
        <v>468</v>
      </c>
      <c r="N30" s="437"/>
      <c r="O30" s="155"/>
      <c r="P30" s="155"/>
      <c r="Q30" s="156">
        <f>SUM(Q20:Q26)-Q28</f>
        <v>67.900000000000006</v>
      </c>
      <c r="R30" s="298"/>
      <c r="S30" s="298"/>
      <c r="T30" s="298"/>
      <c r="U30" s="134" t="s">
        <v>742</v>
      </c>
    </row>
    <row r="31" spans="1:23" x14ac:dyDescent="0.15">
      <c r="U31" s="134" t="s">
        <v>741</v>
      </c>
    </row>
    <row r="32" spans="1:23" x14ac:dyDescent="0.15">
      <c r="B32" s="391" t="s">
        <v>16</v>
      </c>
      <c r="C32" s="167">
        <f>SUM(D20:D26)</f>
        <v>280</v>
      </c>
      <c r="E32" s="295"/>
      <c r="F32" s="295"/>
      <c r="G32" s="295"/>
      <c r="H32" s="138" t="s">
        <v>463</v>
      </c>
      <c r="I32" s="146">
        <f>J28+I28</f>
        <v>1400</v>
      </c>
      <c r="J32" s="146"/>
      <c r="U32" s="138" t="s">
        <v>738</v>
      </c>
    </row>
    <row r="33" spans="1:22" x14ac:dyDescent="0.15">
      <c r="C33" s="168">
        <v>0.03</v>
      </c>
      <c r="E33" s="296"/>
      <c r="F33" s="296"/>
      <c r="G33" s="296"/>
      <c r="H33" s="134" t="s">
        <v>464</v>
      </c>
      <c r="I33" s="145">
        <f>I28*-1</f>
        <v>-82.48</v>
      </c>
      <c r="J33" s="145"/>
      <c r="U33" s="134" t="s">
        <v>70</v>
      </c>
      <c r="V33" s="134" t="s">
        <v>362</v>
      </c>
    </row>
    <row r="34" spans="1:22" s="152" customFormat="1" ht="21" thickBot="1" x14ac:dyDescent="0.35">
      <c r="H34" s="153" t="s">
        <v>469</v>
      </c>
      <c r="I34" s="154">
        <f>I32+I33</f>
        <v>1317.52</v>
      </c>
      <c r="J34" s="298"/>
      <c r="K34" s="398" t="s">
        <v>924</v>
      </c>
      <c r="L34" s="399"/>
      <c r="M34" s="399"/>
      <c r="N34" s="399"/>
      <c r="O34" s="400">
        <f>SUM(O20:O26)</f>
        <v>70</v>
      </c>
      <c r="P34" s="401" t="s">
        <v>463</v>
      </c>
      <c r="Q34" s="402">
        <f>SUM(Q20:Q26)</f>
        <v>70</v>
      </c>
      <c r="R34" s="402"/>
      <c r="S34" s="146"/>
      <c r="T34" s="146"/>
      <c r="U34" s="134" t="s">
        <v>66</v>
      </c>
      <c r="V34" s="134" t="s">
        <v>739</v>
      </c>
    </row>
    <row r="35" spans="1:22" ht="15" thickTop="1" x14ac:dyDescent="0.15">
      <c r="K35" s="134" t="s">
        <v>66</v>
      </c>
      <c r="P35" s="134" t="s">
        <v>464</v>
      </c>
      <c r="Q35" s="145">
        <f>Q28*-1</f>
        <v>-2.1</v>
      </c>
      <c r="R35" s="145" t="s">
        <v>925</v>
      </c>
      <c r="S35" s="145"/>
      <c r="T35" s="145"/>
      <c r="V35" s="134" t="s">
        <v>740</v>
      </c>
    </row>
    <row r="36" spans="1:22" ht="19" thickBot="1" x14ac:dyDescent="0.25">
      <c r="A36" s="163" t="s">
        <v>470</v>
      </c>
      <c r="L36" s="152"/>
      <c r="M36" s="152"/>
      <c r="N36" s="152"/>
      <c r="O36" s="152"/>
      <c r="P36" s="153" t="s">
        <v>469</v>
      </c>
      <c r="Q36" s="154">
        <f>Q34+Q35</f>
        <v>67.900000000000006</v>
      </c>
      <c r="R36" s="178" t="s">
        <v>739</v>
      </c>
      <c r="S36" s="298"/>
      <c r="T36" s="298"/>
      <c r="U36" s="134" t="s">
        <v>104</v>
      </c>
      <c r="V36" s="134" t="s">
        <v>743</v>
      </c>
    </row>
    <row r="37" spans="1:22" ht="15" thickTop="1" x14ac:dyDescent="0.15">
      <c r="A37" s="163" t="s">
        <v>471</v>
      </c>
      <c r="U37" s="134" t="s">
        <v>67</v>
      </c>
      <c r="V37" s="134" t="s">
        <v>739</v>
      </c>
    </row>
    <row r="38" spans="1:22" x14ac:dyDescent="0.15">
      <c r="A38" s="163" t="s">
        <v>472</v>
      </c>
      <c r="K38" s="134" t="s">
        <v>68</v>
      </c>
      <c r="L38" s="163" t="s">
        <v>470</v>
      </c>
      <c r="R38" s="134" t="s">
        <v>925</v>
      </c>
      <c r="U38" s="134" t="s">
        <v>68</v>
      </c>
      <c r="V38" s="134" t="s">
        <v>362</v>
      </c>
    </row>
    <row r="39" spans="1:22" x14ac:dyDescent="0.15">
      <c r="L39" s="163" t="s">
        <v>471</v>
      </c>
      <c r="R39" s="134" t="s">
        <v>926</v>
      </c>
      <c r="U39" s="134" t="s">
        <v>71</v>
      </c>
      <c r="V39" s="134" t="s">
        <v>743</v>
      </c>
    </row>
    <row r="40" spans="1:22" s="148" customFormat="1" ht="30" x14ac:dyDescent="0.15">
      <c r="A40" s="148" t="s">
        <v>125</v>
      </c>
      <c r="C40" s="148" t="s">
        <v>474</v>
      </c>
      <c r="H40" s="148" t="s">
        <v>475</v>
      </c>
      <c r="I40" s="149" t="s">
        <v>476</v>
      </c>
      <c r="J40" s="149"/>
      <c r="L40" s="163" t="s">
        <v>472</v>
      </c>
      <c r="M40" s="134"/>
      <c r="N40" s="134"/>
      <c r="O40" s="134"/>
      <c r="P40" s="134"/>
      <c r="Q40" s="134"/>
      <c r="R40" s="134" t="s">
        <v>927</v>
      </c>
      <c r="S40" s="134"/>
      <c r="T40" s="134" t="s">
        <v>931</v>
      </c>
    </row>
    <row r="41" spans="1:22" x14ac:dyDescent="0.15">
      <c r="R41" s="134" t="s">
        <v>928</v>
      </c>
      <c r="T41" s="134" t="s">
        <v>931</v>
      </c>
    </row>
    <row r="42" spans="1:22" ht="30" x14ac:dyDescent="0.15">
      <c r="A42" s="147" t="s">
        <v>473</v>
      </c>
      <c r="B42" s="147"/>
      <c r="C42" s="147"/>
      <c r="D42" s="147"/>
      <c r="E42" s="147"/>
      <c r="F42" s="147"/>
      <c r="G42" s="147"/>
      <c r="H42" s="147"/>
      <c r="I42" s="147"/>
      <c r="J42" s="180"/>
      <c r="L42" s="148" t="s">
        <v>125</v>
      </c>
      <c r="M42" s="148"/>
      <c r="N42" s="148" t="s">
        <v>474</v>
      </c>
      <c r="O42" s="148"/>
      <c r="P42" s="148" t="s">
        <v>475</v>
      </c>
      <c r="Q42" s="149" t="s">
        <v>476</v>
      </c>
      <c r="R42" s="395" t="s">
        <v>929</v>
      </c>
      <c r="S42" s="149"/>
      <c r="T42" s="396">
        <v>0.03</v>
      </c>
      <c r="U42" s="292" t="s">
        <v>763</v>
      </c>
    </row>
    <row r="43" spans="1:22" x14ac:dyDescent="0.15">
      <c r="U43" s="134" t="s">
        <v>764</v>
      </c>
    </row>
    <row r="44" spans="1:22" x14ac:dyDescent="0.15">
      <c r="L44" s="147" t="s">
        <v>473</v>
      </c>
      <c r="M44" s="147"/>
      <c r="N44" s="147"/>
      <c r="O44" s="147"/>
      <c r="P44" s="147"/>
      <c r="Q44" s="147"/>
      <c r="R44" s="180"/>
      <c r="S44" s="180"/>
      <c r="T44" s="180"/>
    </row>
    <row r="45" spans="1:22" ht="18" x14ac:dyDescent="0.2">
      <c r="K45" s="403" t="s">
        <v>930</v>
      </c>
      <c r="L45" s="216"/>
      <c r="M45" s="216"/>
      <c r="N45" s="216"/>
      <c r="O45" s="216"/>
      <c r="P45" s="216"/>
      <c r="Q45" s="216"/>
      <c r="R45" s="216"/>
      <c r="S45" s="216"/>
      <c r="T45" s="292"/>
    </row>
    <row r="46" spans="1:22" ht="18" x14ac:dyDescent="0.2">
      <c r="A46" s="434" t="s">
        <v>477</v>
      </c>
      <c r="B46" s="434"/>
      <c r="C46" s="434"/>
      <c r="D46" s="434"/>
      <c r="E46" s="434"/>
      <c r="F46" s="434"/>
      <c r="G46" s="434"/>
      <c r="H46" s="434"/>
      <c r="I46" s="434"/>
      <c r="J46" s="308"/>
    </row>
    <row r="47" spans="1:22" ht="16" x14ac:dyDescent="0.2">
      <c r="A47" s="433" t="s">
        <v>438</v>
      </c>
      <c r="B47" s="433"/>
      <c r="C47" s="433"/>
      <c r="D47" s="433"/>
      <c r="E47" s="433"/>
      <c r="F47" s="433"/>
      <c r="G47" s="433"/>
      <c r="H47" s="433"/>
      <c r="I47" s="433"/>
      <c r="J47" s="307"/>
      <c r="K47" s="404" t="s">
        <v>933</v>
      </c>
      <c r="L47" s="292"/>
      <c r="M47" s="292"/>
      <c r="N47" s="292"/>
      <c r="O47" s="292"/>
      <c r="P47" s="292"/>
      <c r="Q47" s="292"/>
      <c r="R47" s="292"/>
      <c r="S47" s="292"/>
      <c r="T47" s="292"/>
      <c r="U47" s="292"/>
    </row>
    <row r="48" spans="1:22" x14ac:dyDescent="0.15">
      <c r="A48" s="433" t="s">
        <v>449</v>
      </c>
      <c r="B48" s="433"/>
      <c r="C48" s="433"/>
      <c r="D48" s="433"/>
      <c r="E48" s="433"/>
      <c r="F48" s="433"/>
      <c r="G48" s="433"/>
      <c r="H48" s="433"/>
      <c r="I48" s="433"/>
      <c r="J48" s="307"/>
    </row>
    <row r="50" spans="1:10" ht="18" x14ac:dyDescent="0.2">
      <c r="A50" s="434" t="s">
        <v>448</v>
      </c>
      <c r="B50" s="434"/>
      <c r="C50" s="434"/>
      <c r="D50" s="434"/>
      <c r="E50" s="434"/>
      <c r="F50" s="434"/>
      <c r="G50" s="434"/>
      <c r="H50" s="434"/>
      <c r="I50" s="434"/>
      <c r="J50" s="308"/>
    </row>
    <row r="51" spans="1:10" x14ac:dyDescent="0.15">
      <c r="A51" s="136"/>
      <c r="B51" s="136"/>
      <c r="C51" s="136"/>
      <c r="D51" s="136"/>
      <c r="E51" s="279"/>
      <c r="F51" s="279"/>
      <c r="G51" s="279"/>
      <c r="H51" s="136"/>
      <c r="I51" s="136"/>
      <c r="J51" s="307"/>
    </row>
    <row r="52" spans="1:10" ht="16" x14ac:dyDescent="0.2">
      <c r="A52" s="158" t="s">
        <v>450</v>
      </c>
      <c r="B52" s="151" t="s">
        <v>478</v>
      </c>
      <c r="H52" s="158" t="s">
        <v>457</v>
      </c>
      <c r="I52" s="151" t="s">
        <v>502</v>
      </c>
      <c r="J52" s="151"/>
    </row>
    <row r="53" spans="1:10" x14ac:dyDescent="0.15">
      <c r="A53" s="134" t="s">
        <v>456</v>
      </c>
      <c r="H53" s="135" t="s">
        <v>458</v>
      </c>
      <c r="I53" s="170">
        <v>43770</v>
      </c>
      <c r="J53" s="170"/>
    </row>
    <row r="54" spans="1:10" x14ac:dyDescent="0.15">
      <c r="A54" s="135" t="s">
        <v>451</v>
      </c>
    </row>
    <row r="55" spans="1:10" x14ac:dyDescent="0.15">
      <c r="H55" s="135" t="s">
        <v>452</v>
      </c>
    </row>
    <row r="56" spans="1:10" x14ac:dyDescent="0.15">
      <c r="A56" s="134" t="s">
        <v>459</v>
      </c>
      <c r="B56" s="137"/>
      <c r="H56" s="135" t="s">
        <v>454</v>
      </c>
      <c r="I56" s="134">
        <v>15</v>
      </c>
    </row>
    <row r="57" spans="1:10" x14ac:dyDescent="0.15">
      <c r="A57" s="134" t="s">
        <v>460</v>
      </c>
      <c r="B57" s="150" t="s">
        <v>461</v>
      </c>
      <c r="H57" s="135" t="s">
        <v>453</v>
      </c>
      <c r="I57" s="170">
        <f>I53+I56</f>
        <v>43785</v>
      </c>
      <c r="J57" s="170"/>
    </row>
    <row r="59" spans="1:10" x14ac:dyDescent="0.15">
      <c r="E59" s="435" t="s">
        <v>466</v>
      </c>
      <c r="F59" s="435"/>
      <c r="G59" s="435"/>
      <c r="H59" s="435"/>
    </row>
    <row r="60" spans="1:10" x14ac:dyDescent="0.15">
      <c r="A60" s="139" t="s">
        <v>2</v>
      </c>
      <c r="B60" s="140" t="s">
        <v>247</v>
      </c>
      <c r="C60" s="139" t="s">
        <v>462</v>
      </c>
      <c r="D60" s="139" t="s">
        <v>96</v>
      </c>
      <c r="E60" s="139" t="s">
        <v>746</v>
      </c>
      <c r="F60" s="139"/>
      <c r="G60" s="139"/>
      <c r="H60" s="139" t="s">
        <v>747</v>
      </c>
      <c r="I60" s="139" t="s">
        <v>204</v>
      </c>
      <c r="J60" s="362"/>
    </row>
    <row r="61" spans="1:10" x14ac:dyDescent="0.15">
      <c r="A61" s="159">
        <v>12</v>
      </c>
      <c r="B61" s="164" t="s">
        <v>31</v>
      </c>
      <c r="C61" s="143">
        <v>20</v>
      </c>
      <c r="D61" s="142">
        <v>1</v>
      </c>
      <c r="E61" s="144">
        <v>0.03</v>
      </c>
      <c r="F61" s="144"/>
      <c r="G61" s="144"/>
      <c r="H61" s="142">
        <f t="shared" ref="H61:H67" si="6">ROUND((C61*D61)*(E61),2)</f>
        <v>0.6</v>
      </c>
      <c r="I61" s="142">
        <f>ROUND((C61*D61)-H61,2)</f>
        <v>19.399999999999999</v>
      </c>
      <c r="J61" s="297"/>
    </row>
    <row r="62" spans="1:10" x14ac:dyDescent="0.15">
      <c r="A62" s="159">
        <v>23</v>
      </c>
      <c r="B62" s="164" t="s">
        <v>32</v>
      </c>
      <c r="C62" s="143">
        <v>20</v>
      </c>
      <c r="D62" s="142">
        <v>2</v>
      </c>
      <c r="E62" s="144">
        <v>0.03</v>
      </c>
      <c r="F62" s="144"/>
      <c r="G62" s="144"/>
      <c r="H62" s="142">
        <f t="shared" si="6"/>
        <v>1.2</v>
      </c>
      <c r="I62" s="142">
        <f t="shared" ref="I62:I67" si="7">ROUND((C62*D62)-H62,2)</f>
        <v>38.799999999999997</v>
      </c>
      <c r="J62" s="297"/>
    </row>
    <row r="63" spans="1:10" x14ac:dyDescent="0.15">
      <c r="A63" s="159">
        <v>34</v>
      </c>
      <c r="B63" s="164" t="s">
        <v>33</v>
      </c>
      <c r="C63" s="143">
        <v>50</v>
      </c>
      <c r="D63" s="142">
        <v>3</v>
      </c>
      <c r="E63" s="144">
        <v>0.03</v>
      </c>
      <c r="F63" s="144"/>
      <c r="G63" s="144"/>
      <c r="H63" s="142">
        <f t="shared" si="6"/>
        <v>4.5</v>
      </c>
      <c r="I63" s="142">
        <f t="shared" si="7"/>
        <v>145.5</v>
      </c>
      <c r="J63" s="297"/>
    </row>
    <row r="64" spans="1:10" x14ac:dyDescent="0.15">
      <c r="A64" s="159">
        <v>45</v>
      </c>
      <c r="B64" s="164" t="s">
        <v>34</v>
      </c>
      <c r="C64" s="143">
        <v>40</v>
      </c>
      <c r="D64" s="142">
        <v>4</v>
      </c>
      <c r="E64" s="144">
        <v>0.03</v>
      </c>
      <c r="F64" s="144"/>
      <c r="G64" s="144"/>
      <c r="H64" s="142">
        <f t="shared" si="6"/>
        <v>4.8</v>
      </c>
      <c r="I64" s="142">
        <f t="shared" si="7"/>
        <v>155.19999999999999</v>
      </c>
      <c r="J64" s="297"/>
    </row>
    <row r="65" spans="1:10" x14ac:dyDescent="0.15">
      <c r="A65" s="159">
        <v>56</v>
      </c>
      <c r="B65" s="164" t="s">
        <v>35</v>
      </c>
      <c r="C65" s="143">
        <v>100</v>
      </c>
      <c r="D65" s="142">
        <v>5</v>
      </c>
      <c r="E65" s="144">
        <v>0.03</v>
      </c>
      <c r="F65" s="144"/>
      <c r="G65" s="144"/>
      <c r="H65" s="142">
        <f t="shared" si="6"/>
        <v>15</v>
      </c>
      <c r="I65" s="142">
        <f t="shared" si="7"/>
        <v>485</v>
      </c>
      <c r="J65" s="297"/>
    </row>
    <row r="66" spans="1:10" x14ac:dyDescent="0.15">
      <c r="A66" s="159">
        <v>67</v>
      </c>
      <c r="B66" s="164" t="s">
        <v>36</v>
      </c>
      <c r="C66" s="143">
        <v>90</v>
      </c>
      <c r="D66" s="142">
        <v>6</v>
      </c>
      <c r="E66" s="144">
        <v>0.03</v>
      </c>
      <c r="F66" s="144"/>
      <c r="G66" s="144"/>
      <c r="H66" s="142">
        <f t="shared" si="6"/>
        <v>16.2</v>
      </c>
      <c r="I66" s="142">
        <f t="shared" si="7"/>
        <v>523.79999999999995</v>
      </c>
      <c r="J66" s="297"/>
    </row>
    <row r="67" spans="1:10" x14ac:dyDescent="0.15">
      <c r="A67" s="159">
        <v>89</v>
      </c>
      <c r="B67" s="164" t="s">
        <v>37</v>
      </c>
      <c r="C67" s="143">
        <v>100</v>
      </c>
      <c r="D67" s="142">
        <v>7</v>
      </c>
      <c r="E67" s="144">
        <v>0.03</v>
      </c>
      <c r="F67" s="144"/>
      <c r="G67" s="144"/>
      <c r="H67" s="142">
        <f t="shared" si="6"/>
        <v>21</v>
      </c>
      <c r="I67" s="142">
        <f t="shared" si="7"/>
        <v>679</v>
      </c>
      <c r="J67" s="297"/>
    </row>
    <row r="68" spans="1:10" x14ac:dyDescent="0.15">
      <c r="A68" s="137"/>
      <c r="B68" s="140"/>
      <c r="C68" s="141"/>
      <c r="D68" s="137"/>
      <c r="E68" s="137"/>
      <c r="F68" s="137"/>
      <c r="G68" s="137"/>
      <c r="H68" s="144"/>
      <c r="I68" s="142"/>
      <c r="J68" s="297"/>
    </row>
    <row r="69" spans="1:10" ht="18" x14ac:dyDescent="0.2">
      <c r="A69" s="155"/>
      <c r="B69" s="165" t="s">
        <v>468</v>
      </c>
      <c r="C69" s="166"/>
      <c r="D69" s="155"/>
      <c r="E69" s="155"/>
      <c r="F69" s="155"/>
      <c r="G69" s="155"/>
      <c r="H69" s="156">
        <f>SUM(H61:H67)</f>
        <v>63.3</v>
      </c>
      <c r="I69" s="156">
        <f>SUM(I61:I67)</f>
        <v>2046.6999999999998</v>
      </c>
      <c r="J69" s="298"/>
    </row>
    <row r="73" spans="1:10" x14ac:dyDescent="0.15">
      <c r="D73" s="167">
        <f>SUM(D61:D67)</f>
        <v>28</v>
      </c>
      <c r="E73" s="295"/>
      <c r="F73" s="295"/>
      <c r="G73" s="295"/>
      <c r="H73" s="138" t="s">
        <v>463</v>
      </c>
      <c r="I73" s="146">
        <f>I69+H69</f>
        <v>2110</v>
      </c>
      <c r="J73" s="146"/>
    </row>
    <row r="74" spans="1:10" x14ac:dyDescent="0.15">
      <c r="D74" s="168">
        <v>0.03</v>
      </c>
      <c r="E74" s="296"/>
      <c r="F74" s="296"/>
      <c r="G74" s="296"/>
      <c r="H74" s="134" t="s">
        <v>464</v>
      </c>
      <c r="I74" s="145">
        <f>H69*-1</f>
        <v>-63.3</v>
      </c>
      <c r="J74" s="145"/>
    </row>
    <row r="75" spans="1:10" ht="19" thickBot="1" x14ac:dyDescent="0.25">
      <c r="A75" s="152"/>
      <c r="B75" s="152"/>
      <c r="C75" s="152"/>
      <c r="D75" s="152"/>
      <c r="E75" s="152"/>
      <c r="F75" s="152"/>
      <c r="G75" s="152"/>
      <c r="H75" s="153" t="s">
        <v>469</v>
      </c>
      <c r="I75" s="154">
        <f>I73+I74</f>
        <v>2046.7</v>
      </c>
      <c r="J75" s="298"/>
    </row>
    <row r="76" spans="1:10" ht="15" thickTop="1" x14ac:dyDescent="0.15"/>
    <row r="77" spans="1:10" x14ac:dyDescent="0.15">
      <c r="A77" s="163" t="s">
        <v>470</v>
      </c>
    </row>
    <row r="78" spans="1:10" x14ac:dyDescent="0.15">
      <c r="A78" s="163" t="s">
        <v>471</v>
      </c>
    </row>
    <row r="79" spans="1:10" x14ac:dyDescent="0.15">
      <c r="A79" s="163" t="s">
        <v>472</v>
      </c>
    </row>
    <row r="81" spans="1:10" ht="30" x14ac:dyDescent="0.15">
      <c r="A81" s="148" t="s">
        <v>125</v>
      </c>
      <c r="B81" s="148"/>
      <c r="C81" s="148" t="s">
        <v>474</v>
      </c>
      <c r="D81" s="148"/>
      <c r="E81" s="148"/>
      <c r="F81" s="148"/>
      <c r="G81" s="148"/>
      <c r="H81" s="148" t="s">
        <v>475</v>
      </c>
      <c r="I81" s="149" t="s">
        <v>476</v>
      </c>
      <c r="J81" s="149"/>
    </row>
    <row r="83" spans="1:10" x14ac:dyDescent="0.15">
      <c r="A83" s="147" t="s">
        <v>473</v>
      </c>
      <c r="B83" s="147"/>
      <c r="C83" s="147"/>
      <c r="D83" s="147"/>
      <c r="E83" s="147"/>
      <c r="F83" s="147"/>
      <c r="G83" s="147"/>
      <c r="H83" s="147"/>
      <c r="I83" s="147"/>
      <c r="J83" s="180"/>
    </row>
    <row r="86" spans="1:10" ht="18" x14ac:dyDescent="0.2">
      <c r="A86" s="434" t="s">
        <v>477</v>
      </c>
      <c r="B86" s="434"/>
      <c r="C86" s="434"/>
      <c r="D86" s="434"/>
      <c r="E86" s="434"/>
      <c r="F86" s="434"/>
      <c r="G86" s="434"/>
      <c r="H86" s="434"/>
      <c r="I86" s="434"/>
      <c r="J86" s="308"/>
    </row>
    <row r="87" spans="1:10" x14ac:dyDescent="0.15">
      <c r="A87" s="433" t="s">
        <v>438</v>
      </c>
      <c r="B87" s="433"/>
      <c r="C87" s="433"/>
      <c r="D87" s="433"/>
      <c r="E87" s="433"/>
      <c r="F87" s="433"/>
      <c r="G87" s="433"/>
      <c r="H87" s="433"/>
      <c r="I87" s="433"/>
      <c r="J87" s="307"/>
    </row>
    <row r="88" spans="1:10" x14ac:dyDescent="0.15">
      <c r="A88" s="433" t="s">
        <v>449</v>
      </c>
      <c r="B88" s="433"/>
      <c r="C88" s="433"/>
      <c r="D88" s="433"/>
      <c r="E88" s="433"/>
      <c r="F88" s="433"/>
      <c r="G88" s="433"/>
      <c r="H88" s="433"/>
      <c r="I88" s="433"/>
      <c r="J88" s="307"/>
    </row>
    <row r="90" spans="1:10" ht="18" x14ac:dyDescent="0.2">
      <c r="A90" s="434" t="s">
        <v>448</v>
      </c>
      <c r="B90" s="434"/>
      <c r="C90" s="434"/>
      <c r="D90" s="434"/>
      <c r="E90" s="434"/>
      <c r="F90" s="434"/>
      <c r="G90" s="434"/>
      <c r="H90" s="434"/>
      <c r="I90" s="434"/>
      <c r="J90" s="308"/>
    </row>
    <row r="91" spans="1:10" x14ac:dyDescent="0.15">
      <c r="A91" s="136"/>
      <c r="B91" s="136"/>
      <c r="C91" s="136"/>
      <c r="D91" s="136"/>
      <c r="E91" s="279"/>
      <c r="F91" s="279"/>
      <c r="G91" s="279"/>
      <c r="H91" s="136"/>
      <c r="I91" s="136"/>
      <c r="J91" s="307"/>
    </row>
    <row r="92" spans="1:10" ht="16" x14ac:dyDescent="0.2">
      <c r="A92" s="158" t="s">
        <v>450</v>
      </c>
      <c r="B92" s="151" t="s">
        <v>478</v>
      </c>
      <c r="H92" s="158" t="s">
        <v>457</v>
      </c>
      <c r="I92" s="151" t="s">
        <v>503</v>
      </c>
      <c r="J92" s="151"/>
    </row>
    <row r="93" spans="1:10" x14ac:dyDescent="0.15">
      <c r="A93" s="134" t="s">
        <v>456</v>
      </c>
      <c r="H93" s="135" t="s">
        <v>458</v>
      </c>
      <c r="I93" s="170">
        <v>43831</v>
      </c>
      <c r="J93" s="170"/>
    </row>
    <row r="94" spans="1:10" x14ac:dyDescent="0.15">
      <c r="A94" s="135" t="s">
        <v>451</v>
      </c>
    </row>
    <row r="95" spans="1:10" x14ac:dyDescent="0.15">
      <c r="H95" s="135" t="s">
        <v>452</v>
      </c>
    </row>
    <row r="96" spans="1:10" x14ac:dyDescent="0.15">
      <c r="A96" s="134" t="s">
        <v>459</v>
      </c>
      <c r="B96" s="137"/>
      <c r="H96" s="135" t="s">
        <v>454</v>
      </c>
      <c r="I96" s="134">
        <v>15</v>
      </c>
    </row>
    <row r="97" spans="1:10" x14ac:dyDescent="0.15">
      <c r="A97" s="134" t="s">
        <v>460</v>
      </c>
      <c r="B97" s="150" t="s">
        <v>461</v>
      </c>
      <c r="H97" s="135" t="s">
        <v>453</v>
      </c>
      <c r="I97" s="170">
        <f>I93+I96</f>
        <v>43846</v>
      </c>
      <c r="J97" s="170"/>
    </row>
    <row r="100" spans="1:10" x14ac:dyDescent="0.15">
      <c r="A100" s="139" t="s">
        <v>2</v>
      </c>
      <c r="B100" s="140" t="s">
        <v>247</v>
      </c>
      <c r="C100" s="139" t="s">
        <v>462</v>
      </c>
      <c r="D100" s="139" t="s">
        <v>96</v>
      </c>
      <c r="E100" s="139"/>
      <c r="F100" s="139"/>
      <c r="G100" s="139"/>
      <c r="H100" s="139" t="s">
        <v>466</v>
      </c>
      <c r="I100" s="139" t="s">
        <v>204</v>
      </c>
      <c r="J100" s="362"/>
    </row>
    <row r="101" spans="1:10" x14ac:dyDescent="0.15">
      <c r="A101" s="159">
        <v>12</v>
      </c>
      <c r="B101" s="164" t="s">
        <v>31</v>
      </c>
      <c r="C101" s="143">
        <v>20</v>
      </c>
      <c r="D101" s="142">
        <v>1</v>
      </c>
      <c r="E101" s="142"/>
      <c r="F101" s="142"/>
      <c r="G101" s="142"/>
      <c r="H101" s="142">
        <f t="shared" ref="H101:H107" si="8">ROUND((C101*D101)*($C$33),2)</f>
        <v>0.6</v>
      </c>
      <c r="I101" s="142">
        <f>ROUND((C101*D101)-H101,2)</f>
        <v>19.399999999999999</v>
      </c>
      <c r="J101" s="297"/>
    </row>
    <row r="102" spans="1:10" x14ac:dyDescent="0.15">
      <c r="A102" s="159">
        <v>23</v>
      </c>
      <c r="B102" s="164" t="s">
        <v>32</v>
      </c>
      <c r="C102" s="143">
        <v>15</v>
      </c>
      <c r="D102" s="142">
        <v>2</v>
      </c>
      <c r="E102" s="142"/>
      <c r="F102" s="142"/>
      <c r="G102" s="142"/>
      <c r="H102" s="142">
        <f t="shared" si="8"/>
        <v>0.9</v>
      </c>
      <c r="I102" s="142">
        <f t="shared" ref="I102:I107" si="9">ROUND((C102*D102)-H102,2)</f>
        <v>29.1</v>
      </c>
      <c r="J102" s="297"/>
    </row>
    <row r="103" spans="1:10" x14ac:dyDescent="0.15">
      <c r="A103" s="159">
        <v>34</v>
      </c>
      <c r="B103" s="164" t="s">
        <v>33</v>
      </c>
      <c r="C103" s="143">
        <v>50</v>
      </c>
      <c r="D103" s="142">
        <v>3</v>
      </c>
      <c r="E103" s="142"/>
      <c r="F103" s="142"/>
      <c r="G103" s="142"/>
      <c r="H103" s="142">
        <f t="shared" si="8"/>
        <v>4.5</v>
      </c>
      <c r="I103" s="142">
        <f t="shared" si="9"/>
        <v>145.5</v>
      </c>
      <c r="J103" s="297"/>
    </row>
    <row r="104" spans="1:10" x14ac:dyDescent="0.15">
      <c r="A104" s="159">
        <v>45</v>
      </c>
      <c r="B104" s="164" t="s">
        <v>34</v>
      </c>
      <c r="C104" s="143">
        <v>45</v>
      </c>
      <c r="D104" s="142">
        <v>4</v>
      </c>
      <c r="E104" s="142"/>
      <c r="F104" s="142"/>
      <c r="G104" s="142"/>
      <c r="H104" s="142">
        <f t="shared" si="8"/>
        <v>5.4</v>
      </c>
      <c r="I104" s="142">
        <f t="shared" si="9"/>
        <v>174.6</v>
      </c>
      <c r="J104" s="297"/>
    </row>
    <row r="105" spans="1:10" x14ac:dyDescent="0.15">
      <c r="A105" s="159">
        <v>56</v>
      </c>
      <c r="B105" s="164" t="s">
        <v>35</v>
      </c>
      <c r="C105" s="143">
        <v>110</v>
      </c>
      <c r="D105" s="142">
        <v>5</v>
      </c>
      <c r="E105" s="142"/>
      <c r="F105" s="142"/>
      <c r="G105" s="142"/>
      <c r="H105" s="142">
        <f t="shared" si="8"/>
        <v>16.5</v>
      </c>
      <c r="I105" s="142">
        <f t="shared" si="9"/>
        <v>533.5</v>
      </c>
      <c r="J105" s="297"/>
    </row>
    <row r="106" spans="1:10" x14ac:dyDescent="0.15">
      <c r="A106" s="159">
        <v>67</v>
      </c>
      <c r="B106" s="164" t="s">
        <v>36</v>
      </c>
      <c r="C106" s="143">
        <v>90</v>
      </c>
      <c r="D106" s="142">
        <v>6</v>
      </c>
      <c r="E106" s="142"/>
      <c r="F106" s="142"/>
      <c r="G106" s="142"/>
      <c r="H106" s="142">
        <f t="shared" si="8"/>
        <v>16.2</v>
      </c>
      <c r="I106" s="142">
        <f t="shared" si="9"/>
        <v>523.79999999999995</v>
      </c>
      <c r="J106" s="297"/>
    </row>
    <row r="107" spans="1:10" x14ac:dyDescent="0.15">
      <c r="A107" s="159">
        <v>89</v>
      </c>
      <c r="B107" s="164" t="s">
        <v>37</v>
      </c>
      <c r="C107" s="143">
        <v>100</v>
      </c>
      <c r="D107" s="142">
        <v>7</v>
      </c>
      <c r="E107" s="142"/>
      <c r="F107" s="142"/>
      <c r="G107" s="142"/>
      <c r="H107" s="142">
        <f t="shared" si="8"/>
        <v>21</v>
      </c>
      <c r="I107" s="142">
        <f t="shared" si="9"/>
        <v>679</v>
      </c>
      <c r="J107" s="297"/>
    </row>
    <row r="108" spans="1:10" x14ac:dyDescent="0.15">
      <c r="A108" s="137"/>
      <c r="B108" s="140"/>
      <c r="C108" s="141"/>
      <c r="D108" s="137"/>
      <c r="E108" s="137"/>
      <c r="F108" s="137"/>
      <c r="G108" s="137"/>
      <c r="H108" s="144"/>
      <c r="I108" s="142"/>
      <c r="J108" s="297"/>
    </row>
    <row r="109" spans="1:10" ht="18" x14ac:dyDescent="0.2">
      <c r="A109" s="155"/>
      <c r="B109" s="165" t="s">
        <v>468</v>
      </c>
      <c r="C109" s="166"/>
      <c r="D109" s="155"/>
      <c r="E109" s="155"/>
      <c r="F109" s="155"/>
      <c r="G109" s="155"/>
      <c r="H109" s="156">
        <f>SUM(H101:H107)</f>
        <v>65.099999999999994</v>
      </c>
      <c r="I109" s="156">
        <f>SUM(I101:I107)</f>
        <v>2104.9</v>
      </c>
      <c r="J109" s="298"/>
    </row>
    <row r="113" spans="1:10" x14ac:dyDescent="0.15">
      <c r="D113" s="167">
        <f>SUM(D101:D107)</f>
        <v>28</v>
      </c>
      <c r="E113" s="295"/>
      <c r="F113" s="295"/>
      <c r="G113" s="295"/>
      <c r="H113" s="138" t="s">
        <v>463</v>
      </c>
      <c r="I113" s="146">
        <f>I109+H109</f>
        <v>2170</v>
      </c>
      <c r="J113" s="146"/>
    </row>
    <row r="114" spans="1:10" x14ac:dyDescent="0.15">
      <c r="D114" s="168">
        <v>0.03</v>
      </c>
      <c r="E114" s="296"/>
      <c r="F114" s="296"/>
      <c r="G114" s="296"/>
      <c r="H114" s="134" t="s">
        <v>464</v>
      </c>
      <c r="I114" s="145">
        <f>H109*-1</f>
        <v>-65.099999999999994</v>
      </c>
      <c r="J114" s="145"/>
    </row>
    <row r="115" spans="1:10" ht="19" thickBot="1" x14ac:dyDescent="0.25">
      <c r="A115" s="152"/>
      <c r="B115" s="152"/>
      <c r="C115" s="152"/>
      <c r="D115" s="152"/>
      <c r="E115" s="152"/>
      <c r="F115" s="152"/>
      <c r="G115" s="152"/>
      <c r="H115" s="153" t="s">
        <v>469</v>
      </c>
      <c r="I115" s="154">
        <f>I113+I114</f>
        <v>2104.9</v>
      </c>
      <c r="J115" s="298"/>
    </row>
    <row r="116" spans="1:10" ht="15" thickTop="1" x14ac:dyDescent="0.15"/>
    <row r="117" spans="1:10" x14ac:dyDescent="0.15">
      <c r="A117" s="163" t="s">
        <v>470</v>
      </c>
    </row>
    <row r="118" spans="1:10" x14ac:dyDescent="0.15">
      <c r="A118" s="163" t="s">
        <v>471</v>
      </c>
    </row>
    <row r="119" spans="1:10" x14ac:dyDescent="0.15">
      <c r="A119" s="163" t="s">
        <v>472</v>
      </c>
    </row>
    <row r="121" spans="1:10" ht="30" x14ac:dyDescent="0.15">
      <c r="A121" s="148" t="s">
        <v>125</v>
      </c>
      <c r="B121" s="148"/>
      <c r="C121" s="148" t="s">
        <v>474</v>
      </c>
      <c r="D121" s="148"/>
      <c r="E121" s="148"/>
      <c r="F121" s="148"/>
      <c r="G121" s="148"/>
      <c r="H121" s="148" t="s">
        <v>475</v>
      </c>
      <c r="I121" s="149" t="s">
        <v>476</v>
      </c>
      <c r="J121" s="149"/>
    </row>
    <row r="123" spans="1:10" x14ac:dyDescent="0.15">
      <c r="A123" s="147" t="s">
        <v>473</v>
      </c>
      <c r="B123" s="147"/>
      <c r="C123" s="147"/>
      <c r="D123" s="147"/>
      <c r="E123" s="147"/>
      <c r="F123" s="147"/>
      <c r="G123" s="147"/>
      <c r="H123" s="147"/>
      <c r="I123" s="147"/>
      <c r="J123" s="180"/>
    </row>
    <row r="127" spans="1:10" x14ac:dyDescent="0.15">
      <c r="A127" s="305" t="s">
        <v>755</v>
      </c>
      <c r="B127" s="137"/>
      <c r="C127" s="137"/>
      <c r="D127" s="137"/>
      <c r="E127" s="137"/>
      <c r="F127" s="137"/>
      <c r="G127" s="137"/>
    </row>
    <row r="128" spans="1:10" x14ac:dyDescent="0.15">
      <c r="A128" s="305" t="s">
        <v>767</v>
      </c>
      <c r="B128" s="137"/>
      <c r="C128" s="137"/>
      <c r="D128" s="137"/>
      <c r="E128" s="137"/>
      <c r="F128" s="137"/>
      <c r="G128" s="137"/>
    </row>
    <row r="129" spans="1:7" s="307" customFormat="1" x14ac:dyDescent="0.15">
      <c r="A129" s="390" t="s">
        <v>756</v>
      </c>
      <c r="B129" s="390" t="s">
        <v>491</v>
      </c>
      <c r="C129" s="390" t="s">
        <v>760</v>
      </c>
      <c r="D129" s="390" t="s">
        <v>747</v>
      </c>
      <c r="E129" s="390" t="s">
        <v>205</v>
      </c>
      <c r="F129" s="390" t="s">
        <v>468</v>
      </c>
      <c r="G129" s="390" t="s">
        <v>761</v>
      </c>
    </row>
    <row r="130" spans="1:7" x14ac:dyDescent="0.15">
      <c r="A130" s="137"/>
      <c r="B130" s="137"/>
      <c r="C130" s="137"/>
      <c r="D130" s="137"/>
      <c r="E130" s="137"/>
      <c r="F130" s="137"/>
      <c r="G130" s="137"/>
    </row>
    <row r="131" spans="1:7" x14ac:dyDescent="0.15">
      <c r="A131" s="500" t="s">
        <v>989</v>
      </c>
      <c r="B131" s="501"/>
      <c r="C131" s="501"/>
      <c r="D131" s="501"/>
      <c r="E131" s="501"/>
      <c r="F131" s="502"/>
      <c r="G131" s="137"/>
    </row>
    <row r="132" spans="1:7" x14ac:dyDescent="0.15">
      <c r="A132" s="503"/>
      <c r="B132" s="504"/>
      <c r="C132" s="504"/>
      <c r="D132" s="504"/>
      <c r="E132" s="504"/>
      <c r="F132" s="505"/>
      <c r="G132" s="137"/>
    </row>
    <row r="133" spans="1:7" x14ac:dyDescent="0.15">
      <c r="A133" s="137"/>
      <c r="B133" s="137"/>
      <c r="C133" s="137"/>
      <c r="D133" s="137"/>
      <c r="E133" s="137"/>
      <c r="F133" s="137"/>
      <c r="G133" s="137"/>
    </row>
    <row r="134" spans="1:7" x14ac:dyDescent="0.15">
      <c r="A134" s="137"/>
      <c r="B134" s="137"/>
      <c r="C134" s="137"/>
      <c r="D134" s="137"/>
      <c r="E134" s="137"/>
      <c r="F134" s="137"/>
      <c r="G134" s="137"/>
    </row>
    <row r="135" spans="1:7" x14ac:dyDescent="0.15">
      <c r="A135" s="137"/>
      <c r="B135" s="137"/>
      <c r="C135" s="137"/>
      <c r="D135" s="137"/>
      <c r="E135" s="137"/>
      <c r="F135" s="137"/>
      <c r="G135" s="137"/>
    </row>
    <row r="136" spans="1:7" x14ac:dyDescent="0.15">
      <c r="A136" s="137"/>
      <c r="B136" s="137"/>
      <c r="C136" s="137"/>
      <c r="D136" s="137"/>
      <c r="E136" s="137"/>
      <c r="F136" s="137"/>
      <c r="G136" s="137"/>
    </row>
    <row r="137" spans="1:7" x14ac:dyDescent="0.15">
      <c r="A137" s="137"/>
      <c r="B137" s="137"/>
      <c r="C137" s="137"/>
      <c r="D137" s="137"/>
      <c r="E137" s="137"/>
      <c r="F137" s="137"/>
      <c r="G137" s="137"/>
    </row>
    <row r="138" spans="1:7" x14ac:dyDescent="0.15">
      <c r="A138" s="137"/>
      <c r="B138" s="137"/>
      <c r="C138" s="137" t="s">
        <v>41</v>
      </c>
      <c r="D138" s="137"/>
      <c r="E138" s="137"/>
      <c r="F138" s="137"/>
      <c r="G138" s="137"/>
    </row>
    <row r="141" spans="1:7" x14ac:dyDescent="0.15">
      <c r="A141" s="138" t="s">
        <v>762</v>
      </c>
    </row>
    <row r="142" spans="1:7" x14ac:dyDescent="0.15">
      <c r="A142" s="306" t="s">
        <v>766</v>
      </c>
      <c r="B142" s="292"/>
    </row>
    <row r="143" spans="1:7" s="341" customFormat="1" x14ac:dyDescent="0.15">
      <c r="A143" s="309" t="s">
        <v>2</v>
      </c>
      <c r="B143" s="309" t="s">
        <v>109</v>
      </c>
      <c r="C143" s="309" t="s">
        <v>10</v>
      </c>
      <c r="D143" s="309" t="s">
        <v>16</v>
      </c>
      <c r="E143" s="390" t="s">
        <v>468</v>
      </c>
    </row>
    <row r="144" spans="1:7" x14ac:dyDescent="0.15">
      <c r="A144" s="137"/>
      <c r="B144" s="137"/>
      <c r="C144" s="137"/>
      <c r="D144" s="137"/>
      <c r="E144" s="137"/>
    </row>
    <row r="145" spans="1:6" x14ac:dyDescent="0.15">
      <c r="A145" s="137"/>
      <c r="B145" s="137"/>
      <c r="C145" s="137"/>
      <c r="D145" s="137"/>
      <c r="E145" s="137"/>
    </row>
    <row r="146" spans="1:6" x14ac:dyDescent="0.15">
      <c r="A146" s="500" t="s">
        <v>990</v>
      </c>
      <c r="B146" s="501"/>
      <c r="C146" s="501"/>
      <c r="D146" s="501"/>
      <c r="E146" s="502"/>
    </row>
    <row r="147" spans="1:6" x14ac:dyDescent="0.15">
      <c r="A147" s="503"/>
      <c r="B147" s="504"/>
      <c r="C147" s="504"/>
      <c r="D147" s="504"/>
      <c r="E147" s="505"/>
    </row>
    <row r="148" spans="1:6" x14ac:dyDescent="0.15">
      <c r="A148" s="137"/>
      <c r="B148" s="137"/>
      <c r="C148" s="137"/>
      <c r="D148" s="137"/>
      <c r="E148" s="137"/>
    </row>
    <row r="149" spans="1:6" x14ac:dyDescent="0.15">
      <c r="A149" s="137"/>
      <c r="B149" s="137"/>
      <c r="C149" s="137"/>
      <c r="D149" s="137"/>
      <c r="E149" s="137"/>
    </row>
    <row r="150" spans="1:6" x14ac:dyDescent="0.15">
      <c r="A150" s="137"/>
      <c r="B150" s="137"/>
      <c r="C150" s="137"/>
      <c r="D150" s="137"/>
      <c r="E150" s="137"/>
    </row>
    <row r="151" spans="1:6" x14ac:dyDescent="0.15">
      <c r="C151" s="134" t="s">
        <v>41</v>
      </c>
      <c r="D151" s="137"/>
      <c r="E151" s="137"/>
    </row>
    <row r="152" spans="1:6" x14ac:dyDescent="0.15">
      <c r="C152" s="134" t="s">
        <v>923</v>
      </c>
      <c r="D152" s="137"/>
    </row>
    <row r="154" spans="1:6" x14ac:dyDescent="0.15">
      <c r="B154" s="341"/>
      <c r="C154" s="341"/>
      <c r="D154" s="341"/>
      <c r="E154" s="341"/>
      <c r="F154" s="341"/>
    </row>
    <row r="155" spans="1:6" x14ac:dyDescent="0.15">
      <c r="B155" s="394"/>
      <c r="C155" s="394"/>
      <c r="D155" s="394"/>
      <c r="E155" s="394"/>
      <c r="F155" s="394"/>
    </row>
    <row r="156" spans="1:6" x14ac:dyDescent="0.15">
      <c r="D156" s="394"/>
      <c r="E156" s="394"/>
      <c r="F156" s="394"/>
    </row>
    <row r="157" spans="1:6" x14ac:dyDescent="0.15">
      <c r="D157" s="394"/>
      <c r="E157" s="394"/>
      <c r="F157" s="394"/>
    </row>
    <row r="159" spans="1:6" x14ac:dyDescent="0.15">
      <c r="D159" s="145"/>
      <c r="E159" s="145"/>
      <c r="F159" s="145"/>
    </row>
  </sheetData>
  <mergeCells count="22">
    <mergeCell ref="A131:F132"/>
    <mergeCell ref="A146:E147"/>
    <mergeCell ref="M30:N30"/>
    <mergeCell ref="A1:I1"/>
    <mergeCell ref="A2:I2"/>
    <mergeCell ref="A3:I3"/>
    <mergeCell ref="A5:I5"/>
    <mergeCell ref="M27:N27"/>
    <mergeCell ref="M28:N28"/>
    <mergeCell ref="M19:N19"/>
    <mergeCell ref="E18:H18"/>
    <mergeCell ref="E17:G17"/>
    <mergeCell ref="A12:B12"/>
    <mergeCell ref="A88:I88"/>
    <mergeCell ref="A90:I90"/>
    <mergeCell ref="A46:I46"/>
    <mergeCell ref="A47:I47"/>
    <mergeCell ref="A48:I48"/>
    <mergeCell ref="A50:I50"/>
    <mergeCell ref="A86:I86"/>
    <mergeCell ref="A87:I87"/>
    <mergeCell ref="E59:H5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"/>
  <sheetViews>
    <sheetView workbookViewId="0">
      <selection activeCell="D26" sqref="D26"/>
    </sheetView>
  </sheetViews>
  <sheetFormatPr baseColWidth="10" defaultColWidth="10.83203125" defaultRowHeight="14" x14ac:dyDescent="0.15"/>
  <cols>
    <col min="1" max="1" width="22.1640625" style="134" customWidth="1"/>
    <col min="2" max="2" width="21.83203125" style="134" bestFit="1" customWidth="1"/>
    <col min="3" max="3" width="16.6640625" style="134" bestFit="1" customWidth="1"/>
    <col min="4" max="4" width="29.33203125" style="134" bestFit="1" customWidth="1"/>
    <col min="5" max="5" width="23" style="134" bestFit="1" customWidth="1"/>
    <col min="6" max="6" width="22.83203125" style="134" bestFit="1" customWidth="1"/>
    <col min="7" max="7" width="20.1640625" style="134" bestFit="1" customWidth="1"/>
    <col min="8" max="16384" width="10.83203125" style="134"/>
  </cols>
  <sheetData>
    <row r="1" spans="1:9" x14ac:dyDescent="0.15">
      <c r="A1" s="190" t="s">
        <v>497</v>
      </c>
      <c r="B1" s="191"/>
      <c r="C1" s="192"/>
      <c r="D1" s="193" t="s">
        <v>505</v>
      </c>
      <c r="E1" s="194">
        <v>43754</v>
      </c>
      <c r="F1" s="192"/>
      <c r="G1" s="195"/>
    </row>
    <row r="2" spans="1:9" x14ac:dyDescent="0.15">
      <c r="A2" s="196"/>
      <c r="B2" s="180"/>
      <c r="C2" s="180"/>
      <c r="D2" s="180"/>
      <c r="E2" s="180"/>
      <c r="F2" s="180"/>
      <c r="G2" s="197"/>
    </row>
    <row r="3" spans="1:9" ht="16" x14ac:dyDescent="0.2">
      <c r="A3" s="198" t="s">
        <v>491</v>
      </c>
      <c r="B3" s="181" t="s">
        <v>478</v>
      </c>
      <c r="C3" s="180"/>
      <c r="D3" s="182" t="s">
        <v>495</v>
      </c>
      <c r="E3" s="217" t="s">
        <v>496</v>
      </c>
      <c r="F3" s="180"/>
      <c r="G3" s="197"/>
    </row>
    <row r="4" spans="1:9" x14ac:dyDescent="0.15">
      <c r="A4" s="199" t="s">
        <v>456</v>
      </c>
      <c r="B4" s="180"/>
      <c r="C4" s="180"/>
      <c r="D4" s="184"/>
      <c r="E4" s="180"/>
      <c r="F4" s="180"/>
      <c r="G4" s="197"/>
    </row>
    <row r="5" spans="1:9" x14ac:dyDescent="0.15">
      <c r="A5" s="199" t="s">
        <v>451</v>
      </c>
      <c r="B5" s="180"/>
      <c r="C5" s="180"/>
      <c r="D5" s="180"/>
      <c r="E5" s="180"/>
      <c r="F5" s="180"/>
      <c r="G5" s="197"/>
    </row>
    <row r="6" spans="1:9" x14ac:dyDescent="0.15">
      <c r="A6" s="196"/>
      <c r="B6" s="180"/>
      <c r="C6" s="180"/>
      <c r="D6" s="180"/>
      <c r="E6" s="180"/>
      <c r="F6" s="180"/>
      <c r="G6" s="197"/>
    </row>
    <row r="7" spans="1:9" x14ac:dyDescent="0.15">
      <c r="A7" s="196" t="s">
        <v>460</v>
      </c>
      <c r="B7" s="175">
        <v>7000</v>
      </c>
      <c r="C7" s="180"/>
      <c r="D7" s="444" t="s">
        <v>514</v>
      </c>
      <c r="E7" s="444"/>
      <c r="F7" s="180"/>
      <c r="G7" s="197"/>
      <c r="I7" s="134" t="s">
        <v>460</v>
      </c>
    </row>
    <row r="8" spans="1:9" x14ac:dyDescent="0.15">
      <c r="A8" s="196"/>
      <c r="B8" s="180"/>
      <c r="C8" s="184"/>
      <c r="D8" s="184" t="s">
        <v>493</v>
      </c>
      <c r="E8" s="185"/>
      <c r="F8" s="212" t="str">
        <f>IF(A7="CASH"," ",IF(E8=0,"INDICATE DATE",IF($E$8&lt;$E$1," ","PDC CHECK")))</f>
        <v xml:space="preserve"> </v>
      </c>
      <c r="G8" s="213" t="str">
        <f>IF(A7="CASH"," ",IF(A7="ON-DATE CHECK",IF($E$8&lt;=$E$1,"ON DATE","PLEASE CHECK"),"PDC CHECK"))</f>
        <v xml:space="preserve"> </v>
      </c>
      <c r="I8" s="134" t="s">
        <v>512</v>
      </c>
    </row>
    <row r="9" spans="1:9" x14ac:dyDescent="0.15">
      <c r="A9" s="196"/>
      <c r="B9" s="180"/>
      <c r="C9" s="184"/>
      <c r="D9" s="184" t="s">
        <v>492</v>
      </c>
      <c r="E9" s="185"/>
      <c r="F9" s="184"/>
      <c r="G9" s="197"/>
      <c r="I9" s="134" t="s">
        <v>513</v>
      </c>
    </row>
    <row r="10" spans="1:9" x14ac:dyDescent="0.15">
      <c r="A10" s="196"/>
      <c r="B10" s="180"/>
      <c r="C10" s="184"/>
      <c r="D10" s="184" t="s">
        <v>494</v>
      </c>
      <c r="E10" s="180"/>
      <c r="F10" s="184"/>
      <c r="G10" s="197"/>
    </row>
    <row r="11" spans="1:9" x14ac:dyDescent="0.15">
      <c r="A11" s="200" t="s">
        <v>498</v>
      </c>
      <c r="B11" s="140" t="s">
        <v>463</v>
      </c>
      <c r="C11" s="139" t="s">
        <v>504</v>
      </c>
      <c r="D11" s="139" t="s">
        <v>510</v>
      </c>
      <c r="E11" s="139" t="s">
        <v>507</v>
      </c>
      <c r="F11" s="139" t="s">
        <v>509</v>
      </c>
      <c r="G11" s="201" t="s">
        <v>307</v>
      </c>
    </row>
    <row r="12" spans="1:9" x14ac:dyDescent="0.15">
      <c r="A12" s="202" t="s">
        <v>499</v>
      </c>
      <c r="B12" s="169">
        <f>'SALES INVOICING'!I34</f>
        <v>1317.52</v>
      </c>
      <c r="C12" s="172">
        <f>'SALES INVOICING'!I14</f>
        <v>43754</v>
      </c>
      <c r="D12" s="142">
        <f>IF(C12&lt;=$E$1,IF(B12&lt;$B$7,B12,$B$7),0)</f>
        <v>1317.52</v>
      </c>
      <c r="E12" s="142">
        <f>IF(C12&lt;=$E$1,IF(B12=D12,0),IF(B12&lt;$B$7,B12,$B$7))</f>
        <v>0</v>
      </c>
      <c r="F12" s="142">
        <f>IF(B13&gt;0,0,$B$7-D12-E12)</f>
        <v>0</v>
      </c>
      <c r="G12" s="203">
        <f>B12-D12-E12-F12</f>
        <v>0</v>
      </c>
    </row>
    <row r="13" spans="1:9" x14ac:dyDescent="0.15">
      <c r="A13" s="202" t="s">
        <v>500</v>
      </c>
      <c r="B13" s="169">
        <f>'SALES INVOICING'!I75</f>
        <v>2046.7</v>
      </c>
      <c r="C13" s="172">
        <f>'SALES INVOICING'!I57</f>
        <v>43785</v>
      </c>
      <c r="D13" s="142">
        <f>IF(C13&lt;=$E$1,IF(B13&lt;($B$7-D12-E12-F12),B13,$B$7-E12-F12),0)</f>
        <v>0</v>
      </c>
      <c r="E13" s="142">
        <f>IF(C13&lt;=$E$1,IF(B13=D13,0),IF(B13&lt;$B$7,B13,$B$7-D12-E12-F12))</f>
        <v>2046.7</v>
      </c>
      <c r="F13" s="142">
        <f>IF(B14&gt;0,0,$B$7-D12-E12-F12-D13-E13)</f>
        <v>0</v>
      </c>
      <c r="G13" s="203">
        <f t="shared" ref="G13:G19" si="0">B13-D13-E13-F13</f>
        <v>0</v>
      </c>
    </row>
    <row r="14" spans="1:9" x14ac:dyDescent="0.15">
      <c r="A14" s="202" t="s">
        <v>501</v>
      </c>
      <c r="B14" s="169">
        <f>'SALES INVOICING'!I115</f>
        <v>2104.9</v>
      </c>
      <c r="C14" s="172">
        <f>'SALES INVOICING'!I97</f>
        <v>43846</v>
      </c>
      <c r="D14" s="142">
        <f>IF(C14&lt;=$E$1,IF(B14&lt;($B$7-D12-E12-F12-D13-E13-F13),B14,$B$7-D12-E12-F12-D13-E13-F13),0)</f>
        <v>0</v>
      </c>
      <c r="E14" s="142">
        <f>IF(C14&lt;=$E$1,IF(B14=D14,0),IF(B14&lt;$B$7,B14,$B$7-D12-E12-F12-D13-E13-F13-D14))</f>
        <v>2104.9</v>
      </c>
      <c r="F14" s="142">
        <f>IF(B15&gt;0,0,$B$7-D12-E12-F12-D13-E13-F13-D14-E14)</f>
        <v>1530.8799999999997</v>
      </c>
      <c r="G14" s="203">
        <f t="shared" ref="G14" si="1">B14-D14-E14-F14</f>
        <v>-1530.8799999999997</v>
      </c>
    </row>
    <row r="15" spans="1:9" x14ac:dyDescent="0.15">
      <c r="A15" s="204"/>
      <c r="B15" s="137"/>
      <c r="C15" s="137"/>
      <c r="D15" s="137"/>
      <c r="E15" s="137"/>
      <c r="F15" s="137"/>
      <c r="G15" s="203">
        <f t="shared" si="0"/>
        <v>0</v>
      </c>
    </row>
    <row r="16" spans="1:9" x14ac:dyDescent="0.15">
      <c r="A16" s="204"/>
      <c r="B16" s="137"/>
      <c r="C16" s="137"/>
      <c r="D16" s="137"/>
      <c r="E16" s="137"/>
      <c r="F16" s="137"/>
      <c r="G16" s="203">
        <f t="shared" si="0"/>
        <v>0</v>
      </c>
    </row>
    <row r="17" spans="1:7" x14ac:dyDescent="0.15">
      <c r="A17" s="202"/>
      <c r="B17" s="164"/>
      <c r="C17" s="143"/>
      <c r="D17" s="142"/>
      <c r="E17" s="142"/>
      <c r="F17" s="142"/>
      <c r="G17" s="203">
        <f t="shared" si="0"/>
        <v>0</v>
      </c>
    </row>
    <row r="18" spans="1:7" x14ac:dyDescent="0.15">
      <c r="A18" s="202"/>
      <c r="B18" s="164"/>
      <c r="C18" s="143"/>
      <c r="D18" s="142"/>
      <c r="E18" s="142"/>
      <c r="F18" s="142"/>
      <c r="G18" s="203">
        <f t="shared" si="0"/>
        <v>0</v>
      </c>
    </row>
    <row r="19" spans="1:7" x14ac:dyDescent="0.15">
      <c r="A19" s="204"/>
      <c r="B19" s="140"/>
      <c r="C19" s="141"/>
      <c r="D19" s="144"/>
      <c r="E19" s="137"/>
      <c r="F19" s="137"/>
      <c r="G19" s="203">
        <f t="shared" si="0"/>
        <v>0</v>
      </c>
    </row>
    <row r="20" spans="1:7" ht="18" x14ac:dyDescent="0.2">
      <c r="A20" s="205" t="s">
        <v>41</v>
      </c>
      <c r="B20" s="174">
        <f>SUM(B12:B18)</f>
        <v>5469.1200000000008</v>
      </c>
      <c r="C20" s="173"/>
      <c r="D20" s="156">
        <f>SUM(D12:D18)</f>
        <v>1317.52</v>
      </c>
      <c r="E20" s="156">
        <f>SUM(E12:E18)</f>
        <v>4151.6000000000004</v>
      </c>
      <c r="F20" s="156">
        <f>SUM(F12:F18)</f>
        <v>1530.8799999999997</v>
      </c>
      <c r="G20" s="206">
        <f>SUM(G12:G18)</f>
        <v>-1530.8799999999997</v>
      </c>
    </row>
    <row r="21" spans="1:7" x14ac:dyDescent="0.15">
      <c r="A21" s="196"/>
      <c r="B21" s="180"/>
      <c r="C21" s="180"/>
      <c r="D21" s="180"/>
      <c r="E21" s="180"/>
      <c r="F21" s="180"/>
      <c r="G21" s="197"/>
    </row>
    <row r="22" spans="1:7" x14ac:dyDescent="0.15">
      <c r="A22" s="196"/>
      <c r="B22" s="180"/>
      <c r="C22" s="180"/>
      <c r="D22" s="180"/>
      <c r="E22" s="180"/>
      <c r="F22" s="180"/>
      <c r="G22" s="197"/>
    </row>
    <row r="23" spans="1:7" x14ac:dyDescent="0.15">
      <c r="A23" s="196"/>
      <c r="B23" s="180"/>
      <c r="C23" s="180"/>
      <c r="D23" s="180"/>
      <c r="E23" s="178"/>
      <c r="F23" s="180"/>
      <c r="G23" s="197"/>
    </row>
    <row r="24" spans="1:7" ht="19" thickBot="1" x14ac:dyDescent="0.25">
      <c r="A24" s="207"/>
      <c r="B24" s="186"/>
      <c r="C24" s="180"/>
      <c r="D24" s="445" t="s">
        <v>506</v>
      </c>
      <c r="E24" s="445"/>
      <c r="F24" s="154">
        <f>D20+E20+F20</f>
        <v>7000</v>
      </c>
      <c r="G24" s="197"/>
    </row>
    <row r="25" spans="1:7" ht="15" thickTop="1" x14ac:dyDescent="0.15">
      <c r="A25" s="196"/>
      <c r="B25" s="180"/>
      <c r="C25" s="180"/>
      <c r="D25" s="180"/>
      <c r="E25" s="180"/>
      <c r="F25" s="180"/>
      <c r="G25" s="197"/>
    </row>
    <row r="26" spans="1:7" x14ac:dyDescent="0.15">
      <c r="A26" s="196"/>
      <c r="B26" s="180"/>
      <c r="C26" s="180"/>
      <c r="D26" s="187" t="s">
        <v>511</v>
      </c>
      <c r="E26" s="180"/>
      <c r="F26" s="180"/>
      <c r="G26" s="197"/>
    </row>
    <row r="27" spans="1:7" x14ac:dyDescent="0.15">
      <c r="A27" s="196"/>
      <c r="B27" s="180"/>
      <c r="C27" s="180"/>
      <c r="D27" s="180"/>
      <c r="E27" s="180" t="s">
        <v>510</v>
      </c>
      <c r="F27" s="178">
        <f>D20</f>
        <v>1317.52</v>
      </c>
      <c r="G27" s="197"/>
    </row>
    <row r="28" spans="1:7" x14ac:dyDescent="0.15">
      <c r="A28" s="196"/>
      <c r="B28" s="180"/>
      <c r="C28" s="180"/>
      <c r="D28" s="180"/>
      <c r="E28" s="180" t="s">
        <v>507</v>
      </c>
      <c r="F28" s="178">
        <f>E20</f>
        <v>4151.6000000000004</v>
      </c>
      <c r="G28" s="197"/>
    </row>
    <row r="29" spans="1:7" x14ac:dyDescent="0.15">
      <c r="A29" s="196"/>
      <c r="B29" s="180"/>
      <c r="C29" s="180"/>
      <c r="D29" s="180"/>
      <c r="E29" s="180" t="s">
        <v>509</v>
      </c>
      <c r="F29" s="177">
        <f>B7-D20-E20</f>
        <v>1530.8799999999992</v>
      </c>
      <c r="G29" s="197"/>
    </row>
    <row r="30" spans="1:7" x14ac:dyDescent="0.15">
      <c r="A30" s="196"/>
      <c r="B30" s="180"/>
      <c r="C30" s="180"/>
      <c r="D30" s="180"/>
      <c r="E30" s="180"/>
      <c r="F30" s="179">
        <f>SUM(F27:F29)</f>
        <v>7000</v>
      </c>
      <c r="G30" s="197"/>
    </row>
    <row r="31" spans="1:7" x14ac:dyDescent="0.15">
      <c r="A31" s="196"/>
      <c r="B31" s="180"/>
      <c r="C31" s="180"/>
      <c r="D31" s="180"/>
      <c r="E31" s="180"/>
      <c r="F31" s="180"/>
      <c r="G31" s="197"/>
    </row>
    <row r="32" spans="1:7" ht="16" x14ac:dyDescent="0.2">
      <c r="A32" s="196"/>
      <c r="B32" s="180"/>
      <c r="C32" s="180"/>
      <c r="D32" s="188"/>
      <c r="E32" s="188"/>
      <c r="F32" s="178"/>
      <c r="G32" s="197"/>
    </row>
    <row r="33" spans="1:7" ht="19" thickBot="1" x14ac:dyDescent="0.25">
      <c r="A33" s="196"/>
      <c r="B33" s="180"/>
      <c r="C33" s="180"/>
      <c r="D33" s="189"/>
      <c r="E33" s="189" t="s">
        <v>508</v>
      </c>
      <c r="F33" s="176">
        <f>IF(G20&gt;0,G20,0)</f>
        <v>0</v>
      </c>
      <c r="G33" s="197"/>
    </row>
    <row r="34" spans="1:7" ht="15" thickTop="1" x14ac:dyDescent="0.15">
      <c r="A34" s="196"/>
      <c r="B34" s="180"/>
      <c r="C34" s="180"/>
      <c r="D34" s="180"/>
      <c r="E34" s="180"/>
      <c r="F34" s="180"/>
      <c r="G34" s="197"/>
    </row>
    <row r="35" spans="1:7" ht="19" thickBot="1" x14ac:dyDescent="0.25">
      <c r="A35" s="196"/>
      <c r="B35" s="180"/>
      <c r="C35" s="180"/>
      <c r="D35" s="180"/>
      <c r="E35" s="189" t="s">
        <v>509</v>
      </c>
      <c r="F35" s="176">
        <f>IF(G20&lt;0,G20*-1)</f>
        <v>1530.8799999999997</v>
      </c>
      <c r="G35" s="197"/>
    </row>
    <row r="36" spans="1:7" ht="16" thickTop="1" thickBot="1" x14ac:dyDescent="0.2">
      <c r="A36" s="208"/>
      <c r="B36" s="209"/>
      <c r="C36" s="209"/>
      <c r="D36" s="209"/>
      <c r="E36" s="209"/>
      <c r="F36" s="209"/>
      <c r="G36" s="210"/>
    </row>
    <row r="37" spans="1:7" ht="15" thickBot="1" x14ac:dyDescent="0.2"/>
    <row r="38" spans="1:7" x14ac:dyDescent="0.15">
      <c r="A38" s="190" t="s">
        <v>497</v>
      </c>
      <c r="B38" s="191"/>
      <c r="C38" s="192"/>
      <c r="D38" s="193" t="s">
        <v>505</v>
      </c>
      <c r="E38" s="194">
        <v>43754</v>
      </c>
      <c r="F38" s="192"/>
      <c r="G38" s="195"/>
    </row>
    <row r="39" spans="1:7" x14ac:dyDescent="0.15">
      <c r="A39" s="196"/>
      <c r="B39" s="180"/>
      <c r="C39" s="180"/>
      <c r="D39" s="180"/>
      <c r="E39" s="180"/>
      <c r="F39" s="180"/>
      <c r="G39" s="197"/>
    </row>
    <row r="40" spans="1:7" ht="16" x14ac:dyDescent="0.2">
      <c r="A40" s="198" t="s">
        <v>491</v>
      </c>
      <c r="B40" s="181" t="s">
        <v>478</v>
      </c>
      <c r="C40" s="180"/>
      <c r="D40" s="182" t="s">
        <v>495</v>
      </c>
      <c r="E40" s="183" t="s">
        <v>496</v>
      </c>
      <c r="F40" s="180"/>
      <c r="G40" s="197"/>
    </row>
    <row r="41" spans="1:7" x14ac:dyDescent="0.15">
      <c r="A41" s="199" t="s">
        <v>456</v>
      </c>
      <c r="B41" s="180"/>
      <c r="C41" s="180"/>
      <c r="D41" s="184"/>
      <c r="E41" s="180"/>
      <c r="F41" s="180"/>
      <c r="G41" s="197"/>
    </row>
    <row r="42" spans="1:7" x14ac:dyDescent="0.15">
      <c r="A42" s="199" t="s">
        <v>451</v>
      </c>
      <c r="B42" s="180"/>
      <c r="C42" s="180"/>
      <c r="D42" s="180"/>
      <c r="E42" s="180"/>
      <c r="F42" s="180"/>
      <c r="G42" s="197"/>
    </row>
    <row r="43" spans="1:7" x14ac:dyDescent="0.15">
      <c r="A43" s="196"/>
      <c r="B43" s="180"/>
      <c r="C43" s="180"/>
      <c r="D43" s="180"/>
      <c r="E43" s="180"/>
      <c r="F43" s="180"/>
      <c r="G43" s="197"/>
    </row>
    <row r="44" spans="1:7" x14ac:dyDescent="0.15">
      <c r="A44" s="196" t="s">
        <v>513</v>
      </c>
      <c r="B44" s="175">
        <v>7000</v>
      </c>
      <c r="C44" s="180"/>
      <c r="D44" s="444" t="s">
        <v>514</v>
      </c>
      <c r="E44" s="444"/>
      <c r="F44" s="180"/>
      <c r="G44" s="197"/>
    </row>
    <row r="45" spans="1:7" x14ac:dyDescent="0.15">
      <c r="A45" s="196"/>
      <c r="B45" s="180"/>
      <c r="C45" s="184"/>
      <c r="D45" s="184" t="s">
        <v>493</v>
      </c>
      <c r="E45" s="185">
        <v>43824</v>
      </c>
      <c r="F45" s="212" t="str">
        <f>IF(A44="CASH"," ",IF(E45=0,"INDICATE DATE",IF($E$8&lt;$E$1," ","PDC CHECK")))</f>
        <v xml:space="preserve"> </v>
      </c>
      <c r="G45" s="213" t="str">
        <f>IF(A44="CASH"," ",IF(A44="ON-DATE CHECK",IF($E$8&lt;=$E$1,"ON DATE","PLEASE CHECK"),"PDC CHECK"))</f>
        <v>PDC CHECK</v>
      </c>
    </row>
    <row r="46" spans="1:7" x14ac:dyDescent="0.15">
      <c r="A46" s="196"/>
      <c r="B46" s="180"/>
      <c r="C46" s="184"/>
      <c r="D46" s="184" t="s">
        <v>492</v>
      </c>
      <c r="E46" s="214">
        <v>123456</v>
      </c>
      <c r="F46" s="184"/>
      <c r="G46" s="197"/>
    </row>
    <row r="47" spans="1:7" x14ac:dyDescent="0.15">
      <c r="A47" s="196"/>
      <c r="B47" s="180"/>
      <c r="C47" s="184"/>
      <c r="D47" s="184" t="s">
        <v>494</v>
      </c>
      <c r="E47" s="182" t="s">
        <v>515</v>
      </c>
      <c r="F47" s="184"/>
      <c r="G47" s="197"/>
    </row>
    <row r="48" spans="1:7" x14ac:dyDescent="0.15">
      <c r="A48" s="200" t="s">
        <v>498</v>
      </c>
      <c r="B48" s="140" t="s">
        <v>463</v>
      </c>
      <c r="C48" s="139" t="s">
        <v>504</v>
      </c>
      <c r="D48" s="139" t="s">
        <v>510</v>
      </c>
      <c r="E48" s="139" t="s">
        <v>507</v>
      </c>
      <c r="F48" s="139" t="s">
        <v>509</v>
      </c>
      <c r="G48" s="201" t="s">
        <v>307</v>
      </c>
    </row>
    <row r="49" spans="1:7" x14ac:dyDescent="0.15">
      <c r="A49" s="202" t="s">
        <v>499</v>
      </c>
      <c r="B49" s="169">
        <f>B12</f>
        <v>1317.52</v>
      </c>
      <c r="C49" s="211">
        <f>C12</f>
        <v>43754</v>
      </c>
      <c r="D49" s="142">
        <f>IF(C49&lt;=$E$1,IF(B49&lt;$B$7,B49,$B$7),0)</f>
        <v>1317.52</v>
      </c>
      <c r="E49" s="142">
        <f>IF(C49&lt;=$E$1,IF(B49=D49,0),IF(B49&lt;$B$7,B49,$B$7))</f>
        <v>0</v>
      </c>
      <c r="F49" s="142">
        <f>IF(B50&gt;0,0,$B$7-D49-E49)</f>
        <v>0</v>
      </c>
      <c r="G49" s="203">
        <f>B49-D49-E49-F49</f>
        <v>0</v>
      </c>
    </row>
    <row r="50" spans="1:7" x14ac:dyDescent="0.15">
      <c r="A50" s="202" t="s">
        <v>500</v>
      </c>
      <c r="B50" s="169">
        <f t="shared" ref="B50:C50" si="2">B13</f>
        <v>2046.7</v>
      </c>
      <c r="C50" s="211">
        <f t="shared" si="2"/>
        <v>43785</v>
      </c>
      <c r="D50" s="142">
        <f>IF(C50&lt;=$E$1,IF(B50&lt;($B$7-D49-E49-F49),B50,$B$7-E49-F49),0)</f>
        <v>0</v>
      </c>
      <c r="E50" s="142">
        <f>IF(C50&lt;=$E$1,IF(B50=D50,0),IF(B50&lt;$B$7,B50,$B$7-D49-E49-F49))</f>
        <v>2046.7</v>
      </c>
      <c r="F50" s="142">
        <f>IF(B51&gt;0,0,$B$7-D49-E49-F49-D50-E50)</f>
        <v>0</v>
      </c>
      <c r="G50" s="203">
        <f t="shared" ref="G50:G56" si="3">B50-D50-E50-F50</f>
        <v>0</v>
      </c>
    </row>
    <row r="51" spans="1:7" x14ac:dyDescent="0.15">
      <c r="A51" s="202" t="s">
        <v>501</v>
      </c>
      <c r="B51" s="169">
        <f t="shared" ref="B51:C51" si="4">B14</f>
        <v>2104.9</v>
      </c>
      <c r="C51" s="211">
        <f t="shared" si="4"/>
        <v>43846</v>
      </c>
      <c r="D51" s="142">
        <f>IF(C51&lt;=$E$1,IF(B51&lt;($B$7-D49-E49-F49-D50-E50-F50),B51,$B$7-D49-E49-F49-D50-E50-F50),0)</f>
        <v>0</v>
      </c>
      <c r="E51" s="142">
        <f>IF(C51&lt;=$E$1,IF(B51=D51,0),IF(B51&lt;$B$7,B51,$B$7-D49-E49-F49-D50-E50-F50-D51))</f>
        <v>2104.9</v>
      </c>
      <c r="F51" s="142">
        <f>IF(B52&gt;0,0,$B$7-D49-E49-F49-D50-E50-F50-D51-E51)</f>
        <v>1530.8799999999997</v>
      </c>
      <c r="G51" s="203">
        <f t="shared" si="3"/>
        <v>-1530.8799999999997</v>
      </c>
    </row>
    <row r="52" spans="1:7" x14ac:dyDescent="0.15">
      <c r="A52" s="204"/>
      <c r="B52" s="137"/>
      <c r="C52" s="137"/>
      <c r="D52" s="137"/>
      <c r="E52" s="137"/>
      <c r="F52" s="137"/>
      <c r="G52" s="203">
        <f t="shared" si="3"/>
        <v>0</v>
      </c>
    </row>
    <row r="53" spans="1:7" x14ac:dyDescent="0.15">
      <c r="A53" s="204"/>
      <c r="B53" s="137"/>
      <c r="C53" s="137"/>
      <c r="D53" s="137"/>
      <c r="E53" s="137"/>
      <c r="F53" s="137"/>
      <c r="G53" s="203">
        <f t="shared" si="3"/>
        <v>0</v>
      </c>
    </row>
    <row r="54" spans="1:7" x14ac:dyDescent="0.15">
      <c r="A54" s="202"/>
      <c r="B54" s="164"/>
      <c r="C54" s="143"/>
      <c r="D54" s="142"/>
      <c r="E54" s="142"/>
      <c r="F54" s="142"/>
      <c r="G54" s="203">
        <f t="shared" si="3"/>
        <v>0</v>
      </c>
    </row>
    <row r="55" spans="1:7" x14ac:dyDescent="0.15">
      <c r="A55" s="202"/>
      <c r="B55" s="164"/>
      <c r="C55" s="143"/>
      <c r="D55" s="142"/>
      <c r="E55" s="142"/>
      <c r="F55" s="142"/>
      <c r="G55" s="203">
        <f t="shared" si="3"/>
        <v>0</v>
      </c>
    </row>
    <row r="56" spans="1:7" x14ac:dyDescent="0.15">
      <c r="A56" s="204"/>
      <c r="B56" s="140"/>
      <c r="C56" s="141"/>
      <c r="D56" s="144"/>
      <c r="E56" s="137"/>
      <c r="F56" s="137"/>
      <c r="G56" s="203">
        <f t="shared" si="3"/>
        <v>0</v>
      </c>
    </row>
    <row r="57" spans="1:7" ht="18" x14ac:dyDescent="0.2">
      <c r="A57" s="205" t="s">
        <v>41</v>
      </c>
      <c r="B57" s="174">
        <f>SUM(B49:B55)</f>
        <v>5469.1200000000008</v>
      </c>
      <c r="C57" s="173"/>
      <c r="D57" s="156">
        <f>SUM(D49:D55)</f>
        <v>1317.52</v>
      </c>
      <c r="E57" s="156">
        <f>SUM(E49:E55)</f>
        <v>4151.6000000000004</v>
      </c>
      <c r="F57" s="156">
        <f>SUM(F49:F55)</f>
        <v>1530.8799999999997</v>
      </c>
      <c r="G57" s="206">
        <f>SUM(G49:G55)</f>
        <v>-1530.8799999999997</v>
      </c>
    </row>
    <row r="58" spans="1:7" x14ac:dyDescent="0.15">
      <c r="A58" s="196"/>
      <c r="B58" s="180"/>
      <c r="C58" s="180"/>
      <c r="D58" s="180"/>
      <c r="E58" s="180"/>
      <c r="F58" s="180"/>
      <c r="G58" s="197"/>
    </row>
    <row r="59" spans="1:7" x14ac:dyDescent="0.15">
      <c r="A59" s="196"/>
      <c r="B59" s="180"/>
      <c r="C59" s="180"/>
      <c r="D59" s="180"/>
      <c r="E59" s="180"/>
      <c r="F59" s="180"/>
      <c r="G59" s="197"/>
    </row>
    <row r="60" spans="1:7" x14ac:dyDescent="0.15">
      <c r="A60" s="196"/>
      <c r="B60" s="180"/>
      <c r="C60" s="180"/>
      <c r="D60" s="180"/>
      <c r="E60" s="178"/>
      <c r="F60" s="180"/>
      <c r="G60" s="197"/>
    </row>
    <row r="61" spans="1:7" ht="19" thickBot="1" x14ac:dyDescent="0.25">
      <c r="A61" s="207"/>
      <c r="B61" s="186"/>
      <c r="C61" s="180"/>
      <c r="D61" s="445" t="s">
        <v>506</v>
      </c>
      <c r="E61" s="445"/>
      <c r="F61" s="154">
        <f>D57+E57+F57</f>
        <v>7000</v>
      </c>
      <c r="G61" s="197"/>
    </row>
    <row r="62" spans="1:7" ht="15" thickTop="1" x14ac:dyDescent="0.15">
      <c r="A62" s="196"/>
      <c r="B62" s="180"/>
      <c r="C62" s="180"/>
      <c r="D62" s="180"/>
      <c r="E62" s="180"/>
      <c r="F62" s="180"/>
      <c r="G62" s="197"/>
    </row>
    <row r="63" spans="1:7" x14ac:dyDescent="0.15">
      <c r="A63" s="196"/>
      <c r="B63" s="180"/>
      <c r="C63" s="180"/>
      <c r="D63" s="187" t="s">
        <v>511</v>
      </c>
      <c r="E63" s="180"/>
      <c r="F63" s="180"/>
      <c r="G63" s="197"/>
    </row>
    <row r="64" spans="1:7" x14ac:dyDescent="0.15">
      <c r="A64" s="196"/>
      <c r="B64" s="180"/>
      <c r="C64" s="180"/>
      <c r="D64" s="180"/>
      <c r="E64" s="180" t="s">
        <v>510</v>
      </c>
      <c r="F64" s="178">
        <f>D57</f>
        <v>1317.52</v>
      </c>
      <c r="G64" s="197"/>
    </row>
    <row r="65" spans="1:7" x14ac:dyDescent="0.15">
      <c r="A65" s="196"/>
      <c r="B65" s="180"/>
      <c r="C65" s="180"/>
      <c r="D65" s="180"/>
      <c r="E65" s="180" t="s">
        <v>507</v>
      </c>
      <c r="F65" s="178">
        <f>E57</f>
        <v>4151.6000000000004</v>
      </c>
      <c r="G65" s="197"/>
    </row>
    <row r="66" spans="1:7" x14ac:dyDescent="0.15">
      <c r="A66" s="196"/>
      <c r="B66" s="180"/>
      <c r="C66" s="180"/>
      <c r="D66" s="180"/>
      <c r="E66" s="180" t="s">
        <v>509</v>
      </c>
      <c r="F66" s="177">
        <f>B44-D57-E57</f>
        <v>1530.8799999999992</v>
      </c>
      <c r="G66" s="197"/>
    </row>
    <row r="67" spans="1:7" x14ac:dyDescent="0.15">
      <c r="A67" s="196"/>
      <c r="B67" s="180"/>
      <c r="C67" s="180"/>
      <c r="D67" s="180"/>
      <c r="E67" s="180"/>
      <c r="F67" s="179">
        <f>SUM(F64:F66)</f>
        <v>7000</v>
      </c>
      <c r="G67" s="197"/>
    </row>
    <row r="68" spans="1:7" x14ac:dyDescent="0.15">
      <c r="A68" s="196"/>
      <c r="B68" s="180"/>
      <c r="C68" s="180"/>
      <c r="D68" s="180"/>
      <c r="E68" s="180"/>
      <c r="F68" s="180"/>
      <c r="G68" s="197"/>
    </row>
    <row r="69" spans="1:7" ht="16" x14ac:dyDescent="0.2">
      <c r="A69" s="196"/>
      <c r="B69" s="180"/>
      <c r="C69" s="180"/>
      <c r="D69" s="188"/>
      <c r="E69" s="188"/>
      <c r="F69" s="178"/>
      <c r="G69" s="197"/>
    </row>
    <row r="70" spans="1:7" ht="19" thickBot="1" x14ac:dyDescent="0.25">
      <c r="A70" s="196"/>
      <c r="B70" s="180"/>
      <c r="C70" s="180"/>
      <c r="D70" s="189"/>
      <c r="E70" s="189" t="s">
        <v>508</v>
      </c>
      <c r="F70" s="176">
        <f>IF(G57&gt;0,G57,0)</f>
        <v>0</v>
      </c>
      <c r="G70" s="197"/>
    </row>
    <row r="71" spans="1:7" ht="15" thickTop="1" x14ac:dyDescent="0.15">
      <c r="A71" s="196"/>
      <c r="B71" s="180"/>
      <c r="C71" s="180"/>
      <c r="D71" s="180"/>
      <c r="E71" s="180"/>
      <c r="F71" s="180"/>
      <c r="G71" s="197"/>
    </row>
    <row r="72" spans="1:7" ht="19" thickBot="1" x14ac:dyDescent="0.25">
      <c r="A72" s="196"/>
      <c r="B72" s="180"/>
      <c r="C72" s="180"/>
      <c r="D72" s="180"/>
      <c r="E72" s="189" t="s">
        <v>509</v>
      </c>
      <c r="F72" s="176">
        <f>IF(G57&lt;0,G57*-1)</f>
        <v>1530.8799999999997</v>
      </c>
      <c r="G72" s="197"/>
    </row>
    <row r="73" spans="1:7" ht="16" thickTop="1" thickBot="1" x14ac:dyDescent="0.2">
      <c r="A73" s="208"/>
      <c r="B73" s="209"/>
      <c r="C73" s="209"/>
      <c r="D73" s="209"/>
      <c r="E73" s="209"/>
      <c r="F73" s="209"/>
      <c r="G73" s="210"/>
    </row>
    <row r="79" spans="1:7" ht="18" x14ac:dyDescent="0.2">
      <c r="A79" s="215" t="s">
        <v>516</v>
      </c>
      <c r="B79" s="216"/>
      <c r="C79" s="216"/>
    </row>
    <row r="82" spans="1:3" ht="18" x14ac:dyDescent="0.2">
      <c r="A82" s="215" t="s">
        <v>517</v>
      </c>
      <c r="B82" s="215"/>
      <c r="C82" s="215"/>
    </row>
  </sheetData>
  <mergeCells count="4">
    <mergeCell ref="D7:E7"/>
    <mergeCell ref="D44:E44"/>
    <mergeCell ref="D24:E24"/>
    <mergeCell ref="D61:E61"/>
  </mergeCells>
  <dataValidations count="1">
    <dataValidation type="list" allowBlank="1" showInputMessage="1" showErrorMessage="1" sqref="A7 A44" xr:uid="{00000000-0002-0000-0300-000000000000}">
      <formula1>$I$7:$I$9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5"/>
  <sheetViews>
    <sheetView topLeftCell="A182" zoomScaleNormal="100" workbookViewId="0">
      <selection activeCell="K28" sqref="K28:K76"/>
    </sheetView>
  </sheetViews>
  <sheetFormatPr baseColWidth="10" defaultColWidth="10.83203125" defaultRowHeight="15" x14ac:dyDescent="0.2"/>
  <cols>
    <col min="1" max="1" width="10.83203125" style="93"/>
    <col min="2" max="2" width="16.6640625" style="93" bestFit="1" customWidth="1"/>
    <col min="3" max="3" width="16.6640625" style="93" customWidth="1"/>
    <col min="4" max="4" width="14.5" style="93" customWidth="1"/>
    <col min="5" max="5" width="10.6640625" style="93" customWidth="1"/>
    <col min="6" max="10" width="10.83203125" style="93"/>
    <col min="11" max="11" width="18.5" style="93" bestFit="1" customWidth="1"/>
    <col min="12" max="12" width="18.5" style="93" customWidth="1"/>
    <col min="13" max="13" width="25.1640625" style="93" bestFit="1" customWidth="1"/>
    <col min="14" max="14" width="25.1640625" style="93" customWidth="1"/>
    <col min="15" max="15" width="23.6640625" style="93" bestFit="1" customWidth="1"/>
    <col min="16" max="16" width="15" style="93" bestFit="1" customWidth="1"/>
    <col min="17" max="17" width="15.6640625" style="93" bestFit="1" customWidth="1"/>
    <col min="18" max="16384" width="10.83203125" style="93"/>
  </cols>
  <sheetData>
    <row r="1" spans="1:20" x14ac:dyDescent="0.2">
      <c r="A1" s="131" t="s">
        <v>674</v>
      </c>
      <c r="R1" s="446" t="s">
        <v>959</v>
      </c>
      <c r="S1" s="447"/>
      <c r="T1" s="448"/>
    </row>
    <row r="2" spans="1:20" x14ac:dyDescent="0.2">
      <c r="A2" s="131"/>
      <c r="R2" s="449"/>
      <c r="S2" s="450"/>
      <c r="T2" s="451"/>
    </row>
    <row r="3" spans="1:20" x14ac:dyDescent="0.2">
      <c r="A3" s="131" t="s">
        <v>40</v>
      </c>
      <c r="P3" s="282"/>
      <c r="R3" s="452"/>
      <c r="S3" s="453"/>
      <c r="T3" s="454"/>
    </row>
    <row r="4" spans="1:20" s="281" customFormat="1" ht="48" x14ac:dyDescent="0.2">
      <c r="A4" s="280" t="s">
        <v>2</v>
      </c>
      <c r="B4" s="280" t="s">
        <v>247</v>
      </c>
      <c r="C4" s="280" t="s">
        <v>711</v>
      </c>
      <c r="D4" s="280" t="s">
        <v>712</v>
      </c>
      <c r="E4" s="280" t="s">
        <v>5</v>
      </c>
      <c r="F4" s="410" t="s">
        <v>704</v>
      </c>
      <c r="G4" s="410" t="s">
        <v>706</v>
      </c>
      <c r="H4" s="280" t="s">
        <v>707</v>
      </c>
      <c r="I4" s="280" t="s">
        <v>708</v>
      </c>
      <c r="J4" s="280" t="s">
        <v>709</v>
      </c>
      <c r="K4" s="280" t="s">
        <v>675</v>
      </c>
      <c r="L4" s="280" t="s">
        <v>705</v>
      </c>
      <c r="M4" s="280" t="s">
        <v>710</v>
      </c>
      <c r="N4" s="280" t="s">
        <v>960</v>
      </c>
      <c r="O4" s="280" t="s">
        <v>961</v>
      </c>
      <c r="P4" s="280" t="s">
        <v>44</v>
      </c>
      <c r="Q4" s="410" t="s">
        <v>691</v>
      </c>
      <c r="R4" s="280" t="s">
        <v>956</v>
      </c>
      <c r="S4" s="280" t="s">
        <v>957</v>
      </c>
      <c r="T4" s="280" t="s">
        <v>958</v>
      </c>
    </row>
    <row r="5" spans="1:20" x14ac:dyDescent="0.2">
      <c r="A5" s="107"/>
      <c r="B5" s="107"/>
      <c r="C5" s="107"/>
      <c r="D5" s="107"/>
      <c r="E5" s="107"/>
      <c r="F5" s="411"/>
      <c r="G5" s="411"/>
      <c r="H5" s="107"/>
      <c r="I5" s="107"/>
      <c r="J5" s="107"/>
      <c r="K5" s="107"/>
      <c r="L5" s="107"/>
      <c r="M5" s="107"/>
      <c r="N5" s="107"/>
      <c r="O5" s="107"/>
      <c r="P5" s="107"/>
      <c r="Q5" s="411"/>
      <c r="R5" s="107"/>
      <c r="S5" s="107"/>
      <c r="T5" s="107"/>
    </row>
    <row r="6" spans="1:20" x14ac:dyDescent="0.2">
      <c r="A6" s="107"/>
      <c r="B6" s="107"/>
      <c r="C6" s="107"/>
      <c r="D6" s="107"/>
      <c r="E6" s="107"/>
      <c r="F6" s="411"/>
      <c r="G6" s="411"/>
      <c r="H6" s="107"/>
      <c r="I6" s="107"/>
      <c r="J6" s="107"/>
      <c r="K6" s="107"/>
      <c r="L6" s="107"/>
      <c r="M6" s="107"/>
      <c r="N6" s="107"/>
      <c r="O6" s="107"/>
      <c r="P6" s="107"/>
      <c r="Q6" s="411"/>
      <c r="R6" s="107"/>
      <c r="S6" s="107"/>
      <c r="T6" s="107"/>
    </row>
    <row r="7" spans="1:20" x14ac:dyDescent="0.2">
      <c r="A7" s="107"/>
      <c r="B7" s="107"/>
      <c r="C7" s="107"/>
      <c r="D7" s="107"/>
      <c r="E7" s="107"/>
      <c r="F7" s="411"/>
      <c r="G7" s="411"/>
      <c r="H7" s="107"/>
      <c r="I7" s="107"/>
      <c r="J7" s="107"/>
      <c r="K7" s="107"/>
      <c r="L7" s="107"/>
      <c r="M7" s="107"/>
      <c r="N7" s="107"/>
      <c r="O7" s="107"/>
      <c r="P7" s="107"/>
      <c r="Q7" s="411"/>
      <c r="R7" s="107"/>
      <c r="S7" s="107"/>
      <c r="T7" s="107"/>
    </row>
    <row r="8" spans="1:20" x14ac:dyDescent="0.2">
      <c r="A8" s="107"/>
      <c r="B8" s="107"/>
      <c r="C8" s="107"/>
      <c r="D8" s="107"/>
      <c r="E8" s="107"/>
      <c r="F8" s="411"/>
      <c r="G8" s="411"/>
      <c r="H8" s="107"/>
      <c r="I8" s="107"/>
      <c r="J8" s="107"/>
      <c r="K8" s="107"/>
      <c r="L8" s="107"/>
      <c r="M8" s="107"/>
      <c r="N8" s="107"/>
      <c r="O8" s="107"/>
      <c r="P8" s="107"/>
      <c r="Q8" s="411"/>
      <c r="R8" s="107"/>
      <c r="S8" s="107"/>
      <c r="T8" s="107"/>
    </row>
    <row r="9" spans="1:20" x14ac:dyDescent="0.2">
      <c r="A9" s="107"/>
      <c r="B9" s="107"/>
      <c r="C9" s="107"/>
      <c r="D9" s="107"/>
      <c r="E9" s="107"/>
      <c r="F9" s="411"/>
      <c r="G9" s="411"/>
      <c r="H9" s="107"/>
      <c r="I9" s="107"/>
      <c r="J9" s="107"/>
      <c r="K9" s="107"/>
      <c r="L9" s="107"/>
      <c r="M9" s="107"/>
      <c r="N9" s="107"/>
      <c r="O9" s="107"/>
      <c r="P9" s="107"/>
      <c r="Q9" s="411"/>
      <c r="R9" s="107"/>
      <c r="S9" s="107"/>
      <c r="T9" s="107"/>
    </row>
    <row r="10" spans="1:20" x14ac:dyDescent="0.2">
      <c r="A10" s="107"/>
      <c r="B10" s="107"/>
      <c r="C10" s="107"/>
      <c r="D10" s="107"/>
      <c r="E10" s="107"/>
      <c r="F10" s="411"/>
      <c r="G10" s="411"/>
      <c r="H10" s="107"/>
      <c r="I10" s="107"/>
      <c r="J10" s="107"/>
      <c r="K10" s="107"/>
      <c r="L10" s="107"/>
      <c r="M10" s="107"/>
      <c r="N10" s="107"/>
      <c r="O10" s="107"/>
      <c r="P10" s="107"/>
      <c r="Q10" s="411"/>
      <c r="R10" s="107"/>
      <c r="S10" s="107"/>
      <c r="T10" s="107"/>
    </row>
    <row r="11" spans="1:20" x14ac:dyDescent="0.2">
      <c r="A11" s="107"/>
      <c r="B11" s="107"/>
      <c r="C11" s="107"/>
      <c r="D11" s="107"/>
      <c r="E11" s="107"/>
      <c r="F11" s="411"/>
      <c r="G11" s="411"/>
      <c r="H11" s="107"/>
      <c r="I11" s="107"/>
      <c r="J11" s="107"/>
      <c r="K11" s="107"/>
      <c r="L11" s="107"/>
      <c r="M11" s="107"/>
      <c r="N11" s="107"/>
      <c r="O11" s="107"/>
      <c r="P11" s="107"/>
      <c r="Q11" s="411"/>
      <c r="R11" s="107"/>
      <c r="S11" s="107"/>
      <c r="T11" s="107"/>
    </row>
    <row r="12" spans="1:20" x14ac:dyDescent="0.2">
      <c r="A12" s="107"/>
      <c r="B12" s="107"/>
      <c r="C12" s="107"/>
      <c r="D12" s="107"/>
      <c r="E12" s="107"/>
      <c r="F12" s="411"/>
      <c r="G12" s="411"/>
      <c r="H12" s="107"/>
      <c r="I12" s="107"/>
      <c r="J12" s="107"/>
      <c r="K12" s="107"/>
      <c r="L12" s="107"/>
      <c r="M12" s="107"/>
      <c r="N12" s="107"/>
      <c r="O12" s="107"/>
      <c r="P12" s="107"/>
      <c r="Q12" s="411"/>
      <c r="R12" s="107"/>
      <c r="S12" s="107"/>
      <c r="T12" s="107"/>
    </row>
    <row r="13" spans="1:20" x14ac:dyDescent="0.2">
      <c r="A13" s="107"/>
      <c r="B13" s="107"/>
      <c r="C13" s="107"/>
      <c r="D13" s="107"/>
      <c r="E13" s="107"/>
      <c r="F13" s="411"/>
      <c r="G13" s="411"/>
      <c r="H13" s="107"/>
      <c r="I13" s="107"/>
      <c r="J13" s="107"/>
      <c r="K13" s="107"/>
      <c r="L13" s="107"/>
      <c r="M13" s="107"/>
      <c r="N13" s="107"/>
      <c r="O13" s="107"/>
      <c r="P13" s="107"/>
      <c r="Q13" s="411"/>
      <c r="R13" s="107"/>
      <c r="S13" s="107"/>
      <c r="T13" s="107"/>
    </row>
    <row r="14" spans="1:20" x14ac:dyDescent="0.2">
      <c r="A14" s="107"/>
      <c r="B14" s="107"/>
      <c r="C14" s="107"/>
      <c r="D14" s="107"/>
      <c r="E14" s="107"/>
      <c r="F14" s="411"/>
      <c r="G14" s="411"/>
      <c r="H14" s="107"/>
      <c r="I14" s="107"/>
      <c r="J14" s="107"/>
      <c r="K14" s="107"/>
      <c r="L14" s="107"/>
      <c r="M14" s="107"/>
      <c r="N14" s="107"/>
      <c r="O14" s="107"/>
      <c r="P14" s="107"/>
      <c r="Q14" s="411"/>
      <c r="R14" s="107"/>
      <c r="S14" s="107"/>
      <c r="T14" s="107"/>
    </row>
    <row r="15" spans="1:20" x14ac:dyDescent="0.2">
      <c r="A15" s="107"/>
      <c r="B15" s="107"/>
      <c r="C15" s="107"/>
      <c r="D15" s="107"/>
      <c r="E15" s="107"/>
      <c r="F15" s="411"/>
      <c r="G15" s="411"/>
      <c r="H15" s="107"/>
      <c r="I15" s="107"/>
      <c r="J15" s="107"/>
      <c r="K15" s="107"/>
      <c r="L15" s="107"/>
      <c r="M15" s="107"/>
      <c r="N15" s="107"/>
      <c r="O15" s="107"/>
      <c r="P15" s="107"/>
      <c r="Q15" s="411"/>
      <c r="R15" s="107"/>
      <c r="S15" s="107"/>
      <c r="T15" s="107"/>
    </row>
    <row r="16" spans="1:20" x14ac:dyDescent="0.2">
      <c r="A16" s="107"/>
      <c r="B16" s="107"/>
      <c r="C16" s="107"/>
      <c r="D16" s="107"/>
      <c r="E16" s="107"/>
      <c r="F16" s="411"/>
      <c r="G16" s="411"/>
      <c r="H16" s="107"/>
      <c r="I16" s="107"/>
      <c r="J16" s="107"/>
      <c r="K16" s="107"/>
      <c r="L16" s="107"/>
      <c r="M16" s="107"/>
      <c r="N16" s="107"/>
      <c r="O16" s="107"/>
      <c r="P16" s="107"/>
      <c r="Q16" s="411"/>
      <c r="R16" s="107"/>
      <c r="S16" s="107"/>
      <c r="T16" s="107"/>
    </row>
    <row r="17" spans="1:20" x14ac:dyDescent="0.2">
      <c r="A17" s="107"/>
      <c r="B17" s="107"/>
      <c r="C17" s="107"/>
      <c r="D17" s="107"/>
      <c r="E17" s="107"/>
      <c r="F17" s="411"/>
      <c r="G17" s="411"/>
      <c r="H17" s="107"/>
      <c r="I17" s="107"/>
      <c r="J17" s="107"/>
      <c r="K17" s="107"/>
      <c r="L17" s="107"/>
      <c r="M17" s="107"/>
      <c r="N17" s="107"/>
      <c r="O17" s="107"/>
      <c r="P17" s="107"/>
      <c r="Q17" s="411"/>
      <c r="R17" s="107"/>
      <c r="S17" s="107"/>
      <c r="T17" s="107"/>
    </row>
    <row r="18" spans="1:20" x14ac:dyDescent="0.2">
      <c r="A18" s="107"/>
      <c r="B18" s="107"/>
      <c r="C18" s="107"/>
      <c r="D18" s="107"/>
      <c r="E18" s="107"/>
      <c r="F18" s="411"/>
      <c r="G18" s="411"/>
      <c r="H18" s="107"/>
      <c r="I18" s="107"/>
      <c r="J18" s="107"/>
      <c r="K18" s="107"/>
      <c r="L18" s="107"/>
      <c r="M18" s="107"/>
      <c r="N18" s="107"/>
      <c r="O18" s="107"/>
      <c r="P18" s="107"/>
      <c r="Q18" s="411"/>
      <c r="R18" s="107"/>
      <c r="S18" s="107"/>
      <c r="T18" s="107"/>
    </row>
    <row r="19" spans="1:20" x14ac:dyDescent="0.2">
      <c r="A19" s="107"/>
      <c r="B19" s="107"/>
      <c r="C19" s="107"/>
      <c r="D19" s="107"/>
      <c r="E19" s="107"/>
      <c r="F19" s="411"/>
      <c r="G19" s="411"/>
      <c r="H19" s="107"/>
      <c r="I19" s="107"/>
      <c r="J19" s="107"/>
      <c r="K19" s="107"/>
      <c r="L19" s="107"/>
      <c r="M19" s="107"/>
      <c r="N19" s="107"/>
      <c r="O19" s="107"/>
      <c r="P19" s="107"/>
      <c r="Q19" s="411"/>
      <c r="R19" s="107"/>
      <c r="S19" s="107"/>
      <c r="T19" s="107"/>
    </row>
    <row r="20" spans="1:20" x14ac:dyDescent="0.2">
      <c r="A20" s="107"/>
      <c r="B20" s="107"/>
      <c r="C20" s="107"/>
      <c r="D20" s="107"/>
      <c r="E20" s="107"/>
      <c r="F20" s="411"/>
      <c r="G20" s="411"/>
      <c r="H20" s="107"/>
      <c r="I20" s="107"/>
      <c r="J20" s="107"/>
      <c r="K20" s="107"/>
      <c r="L20" s="107"/>
      <c r="M20" s="107"/>
      <c r="N20" s="107"/>
      <c r="O20" s="107"/>
      <c r="P20" s="107"/>
      <c r="Q20" s="411"/>
      <c r="R20" s="107"/>
      <c r="S20" s="107"/>
      <c r="T20" s="107"/>
    </row>
    <row r="21" spans="1:20" x14ac:dyDescent="0.2">
      <c r="A21" s="107"/>
      <c r="B21" s="107"/>
      <c r="C21" s="107"/>
      <c r="D21" s="107"/>
      <c r="E21" s="107"/>
      <c r="F21" s="411"/>
      <c r="G21" s="411"/>
      <c r="H21" s="107"/>
      <c r="I21" s="107"/>
      <c r="J21" s="107"/>
      <c r="K21" s="107"/>
      <c r="L21" s="107"/>
      <c r="M21" s="107"/>
      <c r="N21" s="107"/>
      <c r="O21" s="107"/>
      <c r="P21" s="107"/>
      <c r="Q21" s="411"/>
      <c r="R21" s="107"/>
      <c r="S21" s="107"/>
      <c r="T21" s="107"/>
    </row>
    <row r="25" spans="1:20" x14ac:dyDescent="0.2">
      <c r="A25" s="131" t="s">
        <v>674</v>
      </c>
      <c r="R25" s="446" t="s">
        <v>959</v>
      </c>
      <c r="S25" s="447"/>
      <c r="T25" s="448"/>
    </row>
    <row r="26" spans="1:20" x14ac:dyDescent="0.2">
      <c r="A26" s="131"/>
      <c r="R26" s="449"/>
      <c r="S26" s="450"/>
      <c r="T26" s="451"/>
    </row>
    <row r="27" spans="1:20" x14ac:dyDescent="0.2">
      <c r="A27" s="131" t="s">
        <v>319</v>
      </c>
      <c r="P27" s="282"/>
      <c r="R27" s="452"/>
      <c r="S27" s="453"/>
      <c r="T27" s="454"/>
    </row>
    <row r="28" spans="1:20" ht="48" x14ac:dyDescent="0.2">
      <c r="A28" s="280" t="s">
        <v>2</v>
      </c>
      <c r="B28" s="280" t="s">
        <v>247</v>
      </c>
      <c r="C28" s="280" t="s">
        <v>711</v>
      </c>
      <c r="D28" s="280" t="s">
        <v>712</v>
      </c>
      <c r="E28" s="280" t="s">
        <v>5</v>
      </c>
      <c r="F28" s="410" t="s">
        <v>704</v>
      </c>
      <c r="G28" s="410" t="s">
        <v>706</v>
      </c>
      <c r="H28" s="280" t="s">
        <v>707</v>
      </c>
      <c r="I28" s="280" t="s">
        <v>708</v>
      </c>
      <c r="J28" s="280" t="s">
        <v>709</v>
      </c>
      <c r="K28" s="280" t="s">
        <v>675</v>
      </c>
      <c r="L28" s="280" t="s">
        <v>962</v>
      </c>
      <c r="M28" s="280" t="s">
        <v>710</v>
      </c>
      <c r="N28" s="280" t="s">
        <v>960</v>
      </c>
      <c r="O28" s="280" t="s">
        <v>961</v>
      </c>
      <c r="P28" s="280" t="s">
        <v>44</v>
      </c>
      <c r="Q28" s="410" t="s">
        <v>691</v>
      </c>
      <c r="R28" s="280" t="s">
        <v>956</v>
      </c>
      <c r="S28" s="280" t="s">
        <v>957</v>
      </c>
      <c r="T28" s="280" t="s">
        <v>958</v>
      </c>
    </row>
    <row r="29" spans="1:20" x14ac:dyDescent="0.2">
      <c r="A29" s="107"/>
      <c r="B29" s="107"/>
      <c r="C29" s="107"/>
      <c r="D29" s="107"/>
      <c r="E29" s="107"/>
      <c r="F29" s="411"/>
      <c r="G29" s="411"/>
      <c r="H29" s="107"/>
      <c r="I29" s="107"/>
      <c r="J29" s="107"/>
      <c r="K29" s="107"/>
      <c r="L29" s="107"/>
      <c r="M29" s="107"/>
      <c r="N29" s="107"/>
      <c r="O29" s="107"/>
      <c r="P29" s="107"/>
      <c r="Q29" s="411"/>
      <c r="R29" s="107"/>
      <c r="S29" s="107"/>
      <c r="T29" s="107"/>
    </row>
    <row r="30" spans="1:20" x14ac:dyDescent="0.2">
      <c r="A30" s="107"/>
      <c r="B30" s="107"/>
      <c r="C30" s="107"/>
      <c r="D30" s="107"/>
      <c r="E30" s="107"/>
      <c r="F30" s="411"/>
      <c r="G30" s="411"/>
      <c r="H30" s="107"/>
      <c r="I30" s="107"/>
      <c r="J30" s="107"/>
      <c r="K30" s="107"/>
      <c r="L30" s="107"/>
      <c r="M30" s="107"/>
      <c r="N30" s="107"/>
      <c r="O30" s="107"/>
      <c r="P30" s="107"/>
      <c r="Q30" s="411"/>
      <c r="R30" s="107"/>
      <c r="S30" s="107"/>
      <c r="T30" s="107"/>
    </row>
    <row r="31" spans="1:20" x14ac:dyDescent="0.2">
      <c r="A31" s="107"/>
      <c r="B31" s="107"/>
      <c r="C31" s="107"/>
      <c r="D31" s="107"/>
      <c r="E31" s="107"/>
      <c r="F31" s="411"/>
      <c r="G31" s="411"/>
      <c r="H31" s="107"/>
      <c r="I31" s="107"/>
      <c r="J31" s="107"/>
      <c r="K31" s="107"/>
      <c r="L31" s="107"/>
      <c r="M31" s="107"/>
      <c r="N31" s="107"/>
      <c r="O31" s="107"/>
      <c r="P31" s="107"/>
      <c r="Q31" s="411"/>
      <c r="R31" s="107"/>
      <c r="S31" s="107"/>
      <c r="T31" s="107"/>
    </row>
    <row r="32" spans="1:20" x14ac:dyDescent="0.2">
      <c r="A32" s="107"/>
      <c r="B32" s="107"/>
      <c r="C32" s="107"/>
      <c r="D32" s="107"/>
      <c r="E32" s="107"/>
      <c r="F32" s="411"/>
      <c r="G32" s="411"/>
      <c r="H32" s="107"/>
      <c r="I32" s="107"/>
      <c r="J32" s="107"/>
      <c r="K32" s="107"/>
      <c r="L32" s="107"/>
      <c r="M32" s="107"/>
      <c r="N32" s="107"/>
      <c r="O32" s="107"/>
      <c r="P32" s="107"/>
      <c r="Q32" s="411"/>
      <c r="R32" s="107"/>
      <c r="S32" s="107"/>
      <c r="T32" s="107"/>
    </row>
    <row r="33" spans="1:20" x14ac:dyDescent="0.2">
      <c r="A33" s="107"/>
      <c r="B33" s="107"/>
      <c r="C33" s="107"/>
      <c r="D33" s="107"/>
      <c r="E33" s="107"/>
      <c r="F33" s="411"/>
      <c r="G33" s="411"/>
      <c r="H33" s="107"/>
      <c r="I33" s="107"/>
      <c r="J33" s="107"/>
      <c r="K33" s="107"/>
      <c r="L33" s="107"/>
      <c r="M33" s="107"/>
      <c r="N33" s="107"/>
      <c r="O33" s="107"/>
      <c r="P33" s="107"/>
      <c r="Q33" s="411"/>
      <c r="R33" s="107"/>
      <c r="S33" s="107"/>
      <c r="T33" s="107"/>
    </row>
    <row r="34" spans="1:20" x14ac:dyDescent="0.2">
      <c r="A34" s="107"/>
      <c r="B34" s="107"/>
      <c r="C34" s="107"/>
      <c r="D34" s="107"/>
      <c r="E34" s="107"/>
      <c r="F34" s="411"/>
      <c r="G34" s="411"/>
      <c r="H34" s="107"/>
      <c r="I34" s="107"/>
      <c r="J34" s="107"/>
      <c r="K34" s="107"/>
      <c r="L34" s="107"/>
      <c r="M34" s="107"/>
      <c r="N34" s="107"/>
      <c r="O34" s="107"/>
      <c r="P34" s="107"/>
      <c r="Q34" s="411"/>
      <c r="R34" s="107"/>
      <c r="S34" s="107"/>
      <c r="T34" s="107"/>
    </row>
    <row r="35" spans="1:20" x14ac:dyDescent="0.2">
      <c r="A35" s="107"/>
      <c r="B35" s="107"/>
      <c r="C35" s="107"/>
      <c r="D35" s="107"/>
      <c r="E35" s="107"/>
      <c r="F35" s="411"/>
      <c r="G35" s="411"/>
      <c r="H35" s="107"/>
      <c r="I35" s="107"/>
      <c r="J35" s="107"/>
      <c r="K35" s="107"/>
      <c r="L35" s="107"/>
      <c r="M35" s="107"/>
      <c r="N35" s="107"/>
      <c r="O35" s="107"/>
      <c r="P35" s="107"/>
      <c r="Q35" s="411"/>
      <c r="R35" s="107"/>
      <c r="S35" s="107"/>
      <c r="T35" s="107"/>
    </row>
    <row r="36" spans="1:20" x14ac:dyDescent="0.2">
      <c r="A36" s="107"/>
      <c r="B36" s="107"/>
      <c r="C36" s="107"/>
      <c r="D36" s="107"/>
      <c r="E36" s="107"/>
      <c r="F36" s="411"/>
      <c r="G36" s="411"/>
      <c r="H36" s="107"/>
      <c r="I36" s="107"/>
      <c r="J36" s="107"/>
      <c r="K36" s="107"/>
      <c r="L36" s="107"/>
      <c r="M36" s="107"/>
      <c r="N36" s="107"/>
      <c r="O36" s="107"/>
      <c r="P36" s="107"/>
      <c r="Q36" s="411"/>
      <c r="R36" s="107"/>
      <c r="S36" s="107"/>
      <c r="T36" s="107"/>
    </row>
    <row r="37" spans="1:20" x14ac:dyDescent="0.2">
      <c r="A37" s="107"/>
      <c r="B37" s="107"/>
      <c r="C37" s="107"/>
      <c r="D37" s="107"/>
      <c r="E37" s="107"/>
      <c r="F37" s="411"/>
      <c r="G37" s="411"/>
      <c r="H37" s="107"/>
      <c r="I37" s="107"/>
      <c r="J37" s="107"/>
      <c r="K37" s="107"/>
      <c r="L37" s="107"/>
      <c r="M37" s="107"/>
      <c r="N37" s="107"/>
      <c r="O37" s="107"/>
      <c r="P37" s="107"/>
      <c r="Q37" s="411"/>
      <c r="R37" s="107"/>
      <c r="S37" s="107"/>
      <c r="T37" s="107"/>
    </row>
    <row r="38" spans="1:20" x14ac:dyDescent="0.2">
      <c r="A38" s="107"/>
      <c r="B38" s="107"/>
      <c r="C38" s="107"/>
      <c r="D38" s="107"/>
      <c r="E38" s="107"/>
      <c r="F38" s="411"/>
      <c r="G38" s="411"/>
      <c r="H38" s="107"/>
      <c r="I38" s="107"/>
      <c r="J38" s="107"/>
      <c r="K38" s="107"/>
      <c r="L38" s="107"/>
      <c r="M38" s="107"/>
      <c r="N38" s="107"/>
      <c r="O38" s="107"/>
      <c r="P38" s="107"/>
      <c r="Q38" s="411"/>
      <c r="R38" s="107"/>
      <c r="S38" s="107"/>
      <c r="T38" s="107"/>
    </row>
    <row r="39" spans="1:20" x14ac:dyDescent="0.2">
      <c r="A39" s="107"/>
      <c r="B39" s="107"/>
      <c r="C39" s="107"/>
      <c r="D39" s="107"/>
      <c r="E39" s="107"/>
      <c r="F39" s="411"/>
      <c r="G39" s="411"/>
      <c r="H39" s="107"/>
      <c r="I39" s="107"/>
      <c r="J39" s="107"/>
      <c r="K39" s="107"/>
      <c r="L39" s="107"/>
      <c r="M39" s="107"/>
      <c r="N39" s="107"/>
      <c r="O39" s="107"/>
      <c r="P39" s="107"/>
      <c r="Q39" s="411"/>
      <c r="R39" s="107"/>
      <c r="S39" s="107"/>
      <c r="T39" s="107"/>
    </row>
    <row r="40" spans="1:20" x14ac:dyDescent="0.2">
      <c r="A40" s="107"/>
      <c r="B40" s="107"/>
      <c r="C40" s="107"/>
      <c r="D40" s="107"/>
      <c r="E40" s="107"/>
      <c r="F40" s="411"/>
      <c r="G40" s="411"/>
      <c r="H40" s="107"/>
      <c r="I40" s="107"/>
      <c r="J40" s="107"/>
      <c r="K40" s="107"/>
      <c r="L40" s="107"/>
      <c r="M40" s="107"/>
      <c r="N40" s="107"/>
      <c r="O40" s="107"/>
      <c r="P40" s="107"/>
      <c r="Q40" s="411"/>
      <c r="R40" s="107"/>
      <c r="S40" s="107"/>
      <c r="T40" s="107"/>
    </row>
    <row r="41" spans="1:20" x14ac:dyDescent="0.2">
      <c r="A41" s="107"/>
      <c r="B41" s="107"/>
      <c r="C41" s="107"/>
      <c r="D41" s="107"/>
      <c r="E41" s="107"/>
      <c r="F41" s="411"/>
      <c r="G41" s="411"/>
      <c r="H41" s="107"/>
      <c r="I41" s="107"/>
      <c r="J41" s="107"/>
      <c r="K41" s="107"/>
      <c r="L41" s="107"/>
      <c r="M41" s="107"/>
      <c r="N41" s="107"/>
      <c r="O41" s="107"/>
      <c r="P41" s="107"/>
      <c r="Q41" s="411"/>
      <c r="R41" s="107"/>
      <c r="S41" s="107"/>
      <c r="T41" s="107"/>
    </row>
    <row r="42" spans="1:20" x14ac:dyDescent="0.2">
      <c r="A42" s="107"/>
      <c r="B42" s="107"/>
      <c r="C42" s="107"/>
      <c r="D42" s="107"/>
      <c r="E42" s="107"/>
      <c r="F42" s="411"/>
      <c r="G42" s="411"/>
      <c r="H42" s="107"/>
      <c r="I42" s="107"/>
      <c r="J42" s="107"/>
      <c r="K42" s="107"/>
      <c r="L42" s="107"/>
      <c r="M42" s="107"/>
      <c r="N42" s="107"/>
      <c r="O42" s="107"/>
      <c r="P42" s="107"/>
      <c r="Q42" s="411"/>
      <c r="R42" s="107"/>
      <c r="S42" s="107"/>
      <c r="T42" s="107"/>
    </row>
    <row r="43" spans="1:20" x14ac:dyDescent="0.2">
      <c r="A43" s="107"/>
      <c r="B43" s="107"/>
      <c r="C43" s="107"/>
      <c r="D43" s="107"/>
      <c r="E43" s="107"/>
      <c r="F43" s="411"/>
      <c r="G43" s="411"/>
      <c r="H43" s="107"/>
      <c r="I43" s="107"/>
      <c r="J43" s="107"/>
      <c r="K43" s="107"/>
      <c r="L43" s="107"/>
      <c r="M43" s="107"/>
      <c r="N43" s="107"/>
      <c r="O43" s="107"/>
      <c r="P43" s="107"/>
      <c r="Q43" s="411"/>
      <c r="R43" s="107"/>
      <c r="S43" s="107"/>
      <c r="T43" s="107"/>
    </row>
    <row r="44" spans="1:20" x14ac:dyDescent="0.2">
      <c r="A44" s="107"/>
      <c r="B44" s="107"/>
      <c r="C44" s="107"/>
      <c r="D44" s="107"/>
      <c r="E44" s="107"/>
      <c r="F44" s="411"/>
      <c r="G44" s="411"/>
      <c r="H44" s="107"/>
      <c r="I44" s="107"/>
      <c r="J44" s="107"/>
      <c r="K44" s="107"/>
      <c r="L44" s="107"/>
      <c r="M44" s="107"/>
      <c r="N44" s="107"/>
      <c r="O44" s="107"/>
      <c r="P44" s="107"/>
      <c r="Q44" s="411"/>
      <c r="R44" s="107"/>
      <c r="S44" s="107"/>
      <c r="T44" s="107"/>
    </row>
    <row r="45" spans="1:20" x14ac:dyDescent="0.2">
      <c r="A45" s="107"/>
      <c r="B45" s="107"/>
      <c r="C45" s="107"/>
      <c r="D45" s="107"/>
      <c r="E45" s="107"/>
      <c r="F45" s="411"/>
      <c r="G45" s="411"/>
      <c r="H45" s="107"/>
      <c r="I45" s="107"/>
      <c r="J45" s="107"/>
      <c r="K45" s="107"/>
      <c r="L45" s="107"/>
      <c r="M45" s="107"/>
      <c r="N45" s="107"/>
      <c r="O45" s="107"/>
      <c r="P45" s="107"/>
      <c r="Q45" s="411"/>
      <c r="R45" s="107"/>
      <c r="S45" s="107"/>
      <c r="T45" s="107"/>
    </row>
  </sheetData>
  <mergeCells count="2">
    <mergeCell ref="R1:T3"/>
    <mergeCell ref="R25:T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D9A0-452A-744D-8FAD-91B6CA649994}">
  <dimension ref="A1:H72"/>
  <sheetViews>
    <sheetView zoomScale="128" zoomScaleNormal="130" workbookViewId="0">
      <selection activeCell="A101" sqref="A101"/>
    </sheetView>
  </sheetViews>
  <sheetFormatPr baseColWidth="10" defaultRowHeight="15" x14ac:dyDescent="0.2"/>
  <cols>
    <col min="1" max="1" width="50.1640625" style="344" bestFit="1" customWidth="1"/>
    <col min="2" max="2" width="15.5" bestFit="1" customWidth="1"/>
    <col min="4" max="5" width="11.83203125" bestFit="1" customWidth="1"/>
    <col min="8" max="8" width="14.6640625" bestFit="1" customWidth="1"/>
  </cols>
  <sheetData>
    <row r="1" spans="1:1" ht="16" x14ac:dyDescent="0.2">
      <c r="A1" s="363" t="s">
        <v>873</v>
      </c>
    </row>
    <row r="2" spans="1:1" ht="16" x14ac:dyDescent="0.2">
      <c r="A2" s="344" t="s">
        <v>437</v>
      </c>
    </row>
    <row r="3" spans="1:1" ht="16" x14ac:dyDescent="0.2">
      <c r="A3" s="344" t="s">
        <v>874</v>
      </c>
    </row>
    <row r="4" spans="1:1" ht="16" x14ac:dyDescent="0.2">
      <c r="A4" s="344" t="s">
        <v>875</v>
      </c>
    </row>
    <row r="5" spans="1:1" ht="16" x14ac:dyDescent="0.2">
      <c r="A5" s="344" t="s">
        <v>185</v>
      </c>
    </row>
    <row r="6" spans="1:1" ht="16" x14ac:dyDescent="0.2">
      <c r="A6" s="344" t="s">
        <v>877</v>
      </c>
    </row>
    <row r="7" spans="1:1" ht="16" x14ac:dyDescent="0.2">
      <c r="A7" s="344" t="s">
        <v>876</v>
      </c>
    </row>
    <row r="8" spans="1:1" x14ac:dyDescent="0.2">
      <c r="A8" s="343"/>
    </row>
    <row r="9" spans="1:1" ht="16" x14ac:dyDescent="0.2">
      <c r="A9" s="346" t="s">
        <v>854</v>
      </c>
    </row>
    <row r="11" spans="1:1" ht="16" x14ac:dyDescent="0.2">
      <c r="A11" s="343" t="s">
        <v>855</v>
      </c>
    </row>
    <row r="12" spans="1:1" ht="32" x14ac:dyDescent="0.2">
      <c r="A12" s="345" t="s">
        <v>857</v>
      </c>
    </row>
    <row r="13" spans="1:1" ht="16" x14ac:dyDescent="0.2">
      <c r="A13" s="345" t="s">
        <v>856</v>
      </c>
    </row>
    <row r="14" spans="1:1" ht="32" x14ac:dyDescent="0.2">
      <c r="A14" s="345" t="s">
        <v>858</v>
      </c>
    </row>
    <row r="15" spans="1:1" ht="16" x14ac:dyDescent="0.2">
      <c r="A15" s="345" t="s">
        <v>859</v>
      </c>
    </row>
    <row r="16" spans="1:1" ht="32" x14ac:dyDescent="0.2">
      <c r="A16" s="345" t="s">
        <v>860</v>
      </c>
    </row>
    <row r="19" spans="1:8" ht="16" x14ac:dyDescent="0.2">
      <c r="A19" s="343" t="s">
        <v>861</v>
      </c>
    </row>
    <row r="20" spans="1:8" ht="16" x14ac:dyDescent="0.2">
      <c r="A20" s="347" t="s">
        <v>862</v>
      </c>
      <c r="B20" s="348" t="s">
        <v>13</v>
      </c>
      <c r="C20" s="348"/>
      <c r="D20" s="349" t="s">
        <v>715</v>
      </c>
    </row>
    <row r="21" spans="1:8" ht="16" x14ac:dyDescent="0.2">
      <c r="A21" s="350" t="s">
        <v>863</v>
      </c>
      <c r="B21" s="351" t="s">
        <v>871</v>
      </c>
      <c r="C21" s="351"/>
      <c r="D21" s="352"/>
    </row>
    <row r="22" spans="1:8" ht="16" x14ac:dyDescent="0.2">
      <c r="A22" s="353" t="s">
        <v>864</v>
      </c>
      <c r="B22" s="101" t="s">
        <v>865</v>
      </c>
      <c r="C22" s="101"/>
      <c r="D22" s="354"/>
    </row>
    <row r="25" spans="1:8" ht="16" x14ac:dyDescent="0.2">
      <c r="A25" s="347" t="s">
        <v>714</v>
      </c>
      <c r="B25" s="348" t="s">
        <v>538</v>
      </c>
      <c r="C25" s="348"/>
      <c r="D25" s="348" t="s">
        <v>715</v>
      </c>
      <c r="E25" s="348"/>
      <c r="F25" s="348"/>
      <c r="G25" s="348"/>
      <c r="H25" s="349"/>
    </row>
    <row r="26" spans="1:8" ht="16" x14ac:dyDescent="0.2">
      <c r="A26" s="350" t="s">
        <v>487</v>
      </c>
      <c r="B26" s="351" t="s">
        <v>866</v>
      </c>
      <c r="C26" s="351"/>
      <c r="D26" s="351"/>
      <c r="E26" s="351"/>
      <c r="F26" s="351"/>
      <c r="G26" s="351"/>
      <c r="H26" s="352"/>
    </row>
    <row r="27" spans="1:8" x14ac:dyDescent="0.2">
      <c r="A27" s="350"/>
      <c r="B27" s="351"/>
      <c r="C27" s="351"/>
      <c r="D27" s="351"/>
      <c r="E27" s="351"/>
      <c r="F27" s="351"/>
      <c r="G27" s="351"/>
      <c r="H27" s="352"/>
    </row>
    <row r="28" spans="1:8" s="335" customFormat="1" ht="16" x14ac:dyDescent="0.2">
      <c r="A28" s="355" t="s">
        <v>2</v>
      </c>
      <c r="B28" s="356" t="s">
        <v>247</v>
      </c>
      <c r="C28" s="356" t="s">
        <v>10</v>
      </c>
      <c r="D28" s="356" t="s">
        <v>867</v>
      </c>
      <c r="E28" s="356" t="s">
        <v>868</v>
      </c>
      <c r="F28" s="356" t="s">
        <v>869</v>
      </c>
      <c r="G28" s="356" t="s">
        <v>747</v>
      </c>
      <c r="H28" s="357" t="s">
        <v>870</v>
      </c>
    </row>
    <row r="29" spans="1:8" x14ac:dyDescent="0.2">
      <c r="A29" s="358"/>
      <c r="B29" s="359"/>
      <c r="C29" s="359"/>
      <c r="D29" s="359"/>
      <c r="E29" s="359"/>
      <c r="F29" s="359"/>
      <c r="G29" s="359"/>
      <c r="H29" s="359"/>
    </row>
    <row r="30" spans="1:8" x14ac:dyDescent="0.2">
      <c r="A30" s="358"/>
      <c r="B30" s="359"/>
      <c r="C30" s="359"/>
      <c r="D30" s="359"/>
      <c r="E30" s="359"/>
      <c r="F30" s="359"/>
      <c r="G30" s="359"/>
      <c r="H30" s="359"/>
    </row>
    <row r="31" spans="1:8" x14ac:dyDescent="0.2">
      <c r="A31" s="358"/>
      <c r="B31" s="359"/>
      <c r="C31" s="359"/>
      <c r="D31" s="359"/>
      <c r="E31" s="359"/>
      <c r="F31" s="359"/>
      <c r="G31" s="359"/>
      <c r="H31" s="359"/>
    </row>
    <row r="32" spans="1:8" x14ac:dyDescent="0.2">
      <c r="A32" s="353"/>
      <c r="B32" s="101"/>
      <c r="C32" s="101"/>
      <c r="D32" s="101"/>
      <c r="E32" s="101"/>
      <c r="F32" s="101"/>
      <c r="G32" s="101"/>
      <c r="H32" s="354"/>
    </row>
    <row r="34" spans="1:8" ht="16" x14ac:dyDescent="0.2">
      <c r="A34" s="347" t="s">
        <v>714</v>
      </c>
      <c r="B34" s="348" t="s">
        <v>538</v>
      </c>
      <c r="C34" s="348"/>
      <c r="D34" s="348" t="s">
        <v>715</v>
      </c>
      <c r="E34" s="348"/>
      <c r="F34" s="348"/>
      <c r="G34" s="348"/>
      <c r="H34" s="349"/>
    </row>
    <row r="35" spans="1:8" ht="16" x14ac:dyDescent="0.2">
      <c r="A35" s="350" t="s">
        <v>487</v>
      </c>
      <c r="B35" s="351" t="s">
        <v>866</v>
      </c>
      <c r="C35" s="351"/>
      <c r="D35" s="351"/>
      <c r="E35" s="351"/>
      <c r="F35" s="351"/>
      <c r="G35" s="351"/>
      <c r="H35" s="352"/>
    </row>
    <row r="36" spans="1:8" x14ac:dyDescent="0.2">
      <c r="A36" s="350"/>
      <c r="B36" s="351"/>
      <c r="C36" s="351"/>
      <c r="D36" s="351"/>
      <c r="E36" s="351"/>
      <c r="F36" s="351"/>
      <c r="G36" s="351"/>
      <c r="H36" s="352"/>
    </row>
    <row r="37" spans="1:8" ht="16" x14ac:dyDescent="0.2">
      <c r="A37" s="355" t="s">
        <v>2</v>
      </c>
      <c r="B37" s="356" t="s">
        <v>247</v>
      </c>
      <c r="C37" s="356" t="s">
        <v>10</v>
      </c>
      <c r="D37" s="356" t="s">
        <v>867</v>
      </c>
      <c r="E37" s="356" t="s">
        <v>868</v>
      </c>
      <c r="F37" s="356" t="s">
        <v>869</v>
      </c>
      <c r="G37" s="356" t="s">
        <v>747</v>
      </c>
      <c r="H37" s="357" t="s">
        <v>870</v>
      </c>
    </row>
    <row r="38" spans="1:8" x14ac:dyDescent="0.2">
      <c r="A38" s="358"/>
      <c r="B38" s="359"/>
      <c r="C38" s="359"/>
      <c r="D38" s="359"/>
      <c r="E38" s="359"/>
      <c r="F38" s="359"/>
      <c r="G38" s="359"/>
      <c r="H38" s="359"/>
    </row>
    <row r="39" spans="1:8" x14ac:dyDescent="0.2">
      <c r="A39" s="358"/>
      <c r="B39" s="359"/>
      <c r="C39" s="359"/>
      <c r="D39" s="359"/>
      <c r="E39" s="359"/>
      <c r="F39" s="359"/>
      <c r="G39" s="359"/>
      <c r="H39" s="359"/>
    </row>
    <row r="40" spans="1:8" x14ac:dyDescent="0.2">
      <c r="A40" s="358"/>
      <c r="B40" s="359"/>
      <c r="C40" s="359"/>
      <c r="D40" s="359"/>
      <c r="E40" s="359"/>
      <c r="F40" s="359"/>
      <c r="G40" s="359"/>
      <c r="H40" s="359"/>
    </row>
    <row r="41" spans="1:8" x14ac:dyDescent="0.2">
      <c r="A41" s="353"/>
      <c r="B41" s="101"/>
      <c r="C41" s="101"/>
      <c r="D41" s="101"/>
      <c r="E41" s="101"/>
      <c r="F41" s="101"/>
      <c r="G41" s="101"/>
      <c r="H41" s="354"/>
    </row>
    <row r="43" spans="1:8" ht="16" x14ac:dyDescent="0.2">
      <c r="A43" s="347" t="s">
        <v>714</v>
      </c>
      <c r="B43" s="348" t="s">
        <v>538</v>
      </c>
      <c r="C43" s="348"/>
      <c r="D43" s="348" t="s">
        <v>715</v>
      </c>
      <c r="E43" s="348"/>
      <c r="F43" s="348"/>
      <c r="G43" s="348"/>
      <c r="H43" s="349"/>
    </row>
    <row r="44" spans="1:8" ht="16" x14ac:dyDescent="0.2">
      <c r="A44" s="350" t="s">
        <v>487</v>
      </c>
      <c r="B44" s="351" t="s">
        <v>866</v>
      </c>
      <c r="C44" s="351"/>
      <c r="D44" s="351"/>
      <c r="E44" s="351"/>
      <c r="F44" s="351"/>
      <c r="G44" s="351"/>
      <c r="H44" s="352"/>
    </row>
    <row r="45" spans="1:8" x14ac:dyDescent="0.2">
      <c r="A45" s="350"/>
      <c r="B45" s="351"/>
      <c r="C45" s="351"/>
      <c r="D45" s="351"/>
      <c r="E45" s="351"/>
      <c r="F45" s="351"/>
      <c r="G45" s="351"/>
      <c r="H45" s="352"/>
    </row>
    <row r="46" spans="1:8" ht="16" x14ac:dyDescent="0.2">
      <c r="A46" s="355" t="s">
        <v>2</v>
      </c>
      <c r="B46" s="356" t="s">
        <v>247</v>
      </c>
      <c r="C46" s="356" t="s">
        <v>10</v>
      </c>
      <c r="D46" s="356" t="s">
        <v>867</v>
      </c>
      <c r="E46" s="356" t="s">
        <v>868</v>
      </c>
      <c r="F46" s="356" t="s">
        <v>869</v>
      </c>
      <c r="G46" s="356" t="s">
        <v>747</v>
      </c>
      <c r="H46" s="357" t="s">
        <v>870</v>
      </c>
    </row>
    <row r="47" spans="1:8" x14ac:dyDescent="0.2">
      <c r="A47" s="358"/>
      <c r="B47" s="359"/>
      <c r="C47" s="359"/>
      <c r="D47" s="359"/>
      <c r="E47" s="359"/>
      <c r="F47" s="359"/>
      <c r="G47" s="359"/>
      <c r="H47" s="359"/>
    </row>
    <row r="48" spans="1:8" x14ac:dyDescent="0.2">
      <c r="A48" s="358"/>
      <c r="B48" s="359"/>
      <c r="C48" s="359"/>
      <c r="D48" s="359"/>
      <c r="E48" s="359"/>
      <c r="F48" s="359"/>
      <c r="G48" s="359"/>
      <c r="H48" s="359"/>
    </row>
    <row r="49" spans="1:8" x14ac:dyDescent="0.2">
      <c r="A49" s="358"/>
      <c r="B49" s="359"/>
      <c r="C49" s="359"/>
      <c r="D49" s="359"/>
      <c r="E49" s="359"/>
      <c r="F49" s="359"/>
      <c r="G49" s="359"/>
      <c r="H49" s="359"/>
    </row>
    <row r="50" spans="1:8" x14ac:dyDescent="0.2">
      <c r="A50" s="353"/>
      <c r="B50" s="101"/>
      <c r="C50" s="101"/>
      <c r="D50" s="101"/>
      <c r="E50" s="101"/>
      <c r="F50" s="101"/>
      <c r="G50" s="101"/>
      <c r="H50" s="354"/>
    </row>
    <row r="52" spans="1:8" ht="16" x14ac:dyDescent="0.2">
      <c r="A52" s="347" t="s">
        <v>714</v>
      </c>
      <c r="B52" s="348" t="s">
        <v>538</v>
      </c>
      <c r="C52" s="348"/>
      <c r="D52" s="348" t="s">
        <v>715</v>
      </c>
      <c r="E52" s="348"/>
      <c r="F52" s="348"/>
      <c r="G52" s="348"/>
      <c r="H52" s="349"/>
    </row>
    <row r="53" spans="1:8" ht="16" x14ac:dyDescent="0.2">
      <c r="A53" s="350" t="s">
        <v>487</v>
      </c>
      <c r="B53" s="351" t="s">
        <v>866</v>
      </c>
      <c r="C53" s="351"/>
      <c r="D53" s="351"/>
      <c r="E53" s="351"/>
      <c r="F53" s="351"/>
      <c r="G53" s="351"/>
      <c r="H53" s="352"/>
    </row>
    <row r="54" spans="1:8" x14ac:dyDescent="0.2">
      <c r="A54" s="350"/>
      <c r="B54" s="351"/>
      <c r="C54" s="351"/>
      <c r="D54" s="351"/>
      <c r="E54" s="351"/>
      <c r="F54" s="351"/>
      <c r="G54" s="351"/>
      <c r="H54" s="352"/>
    </row>
    <row r="55" spans="1:8" ht="16" x14ac:dyDescent="0.2">
      <c r="A55" s="355" t="s">
        <v>2</v>
      </c>
      <c r="B55" s="356" t="s">
        <v>247</v>
      </c>
      <c r="C55" s="356" t="s">
        <v>10</v>
      </c>
      <c r="D55" s="356" t="s">
        <v>867</v>
      </c>
      <c r="E55" s="356" t="s">
        <v>868</v>
      </c>
      <c r="F55" s="356" t="s">
        <v>869</v>
      </c>
      <c r="G55" s="356" t="s">
        <v>747</v>
      </c>
      <c r="H55" s="357" t="s">
        <v>870</v>
      </c>
    </row>
    <row r="56" spans="1:8" x14ac:dyDescent="0.2">
      <c r="A56" s="358"/>
      <c r="B56" s="359"/>
      <c r="C56" s="359"/>
      <c r="D56" s="359"/>
      <c r="E56" s="359"/>
      <c r="F56" s="359"/>
      <c r="G56" s="359"/>
      <c r="H56" s="359"/>
    </row>
    <row r="57" spans="1:8" x14ac:dyDescent="0.2">
      <c r="A57" s="358"/>
      <c r="B57" s="359"/>
      <c r="C57" s="359"/>
      <c r="D57" s="359"/>
      <c r="E57" s="359"/>
      <c r="F57" s="359"/>
      <c r="G57" s="359"/>
      <c r="H57" s="359"/>
    </row>
    <row r="58" spans="1:8" x14ac:dyDescent="0.2">
      <c r="A58" s="358"/>
      <c r="B58" s="359"/>
      <c r="C58" s="359"/>
      <c r="D58" s="359"/>
      <c r="E58" s="359"/>
      <c r="F58" s="359"/>
      <c r="G58" s="359"/>
      <c r="H58" s="359"/>
    </row>
    <row r="59" spans="1:8" x14ac:dyDescent="0.2">
      <c r="A59" s="353"/>
      <c r="B59" s="101"/>
      <c r="C59" s="101"/>
      <c r="D59" s="101"/>
      <c r="E59" s="101"/>
      <c r="F59" s="101"/>
      <c r="G59" s="101"/>
      <c r="H59" s="354"/>
    </row>
    <row r="62" spans="1:8" ht="16" x14ac:dyDescent="0.2">
      <c r="A62" s="347" t="s">
        <v>714</v>
      </c>
      <c r="B62" s="348" t="s">
        <v>538</v>
      </c>
      <c r="C62" s="348"/>
      <c r="D62" s="348" t="s">
        <v>715</v>
      </c>
      <c r="E62" s="348"/>
      <c r="F62" s="348"/>
      <c r="G62" s="348"/>
      <c r="H62" s="349"/>
    </row>
    <row r="63" spans="1:8" ht="16" x14ac:dyDescent="0.2">
      <c r="A63" s="350" t="s">
        <v>487</v>
      </c>
      <c r="B63" s="351" t="s">
        <v>866</v>
      </c>
      <c r="C63" s="351"/>
      <c r="D63" s="351"/>
      <c r="E63" s="351"/>
      <c r="F63" s="351"/>
      <c r="G63" s="351"/>
      <c r="H63" s="352"/>
    </row>
    <row r="64" spans="1:8" x14ac:dyDescent="0.2">
      <c r="A64" s="350"/>
      <c r="B64" s="351"/>
      <c r="C64" s="351"/>
      <c r="D64" s="351"/>
      <c r="E64" s="351"/>
      <c r="F64" s="351"/>
      <c r="G64" s="351"/>
      <c r="H64" s="352"/>
    </row>
    <row r="65" spans="1:8" ht="16" x14ac:dyDescent="0.2">
      <c r="A65" s="355" t="s">
        <v>2</v>
      </c>
      <c r="B65" s="356" t="s">
        <v>247</v>
      </c>
      <c r="C65" s="356" t="s">
        <v>10</v>
      </c>
      <c r="D65" s="356" t="s">
        <v>867</v>
      </c>
      <c r="E65" s="356" t="s">
        <v>868</v>
      </c>
      <c r="F65" s="356" t="s">
        <v>869</v>
      </c>
      <c r="G65" s="356" t="s">
        <v>747</v>
      </c>
      <c r="H65" s="357" t="s">
        <v>870</v>
      </c>
    </row>
    <row r="66" spans="1:8" x14ac:dyDescent="0.2">
      <c r="A66" s="358"/>
      <c r="B66" s="359"/>
      <c r="C66" s="359"/>
      <c r="D66" s="359"/>
      <c r="E66" s="359"/>
      <c r="F66" s="359"/>
      <c r="G66" s="359"/>
      <c r="H66" s="359"/>
    </row>
    <row r="67" spans="1:8" x14ac:dyDescent="0.2">
      <c r="A67" s="358"/>
      <c r="B67" s="359"/>
      <c r="C67" s="359"/>
      <c r="D67" s="359"/>
      <c r="E67" s="359"/>
      <c r="F67" s="359"/>
      <c r="G67" s="359"/>
      <c r="H67" s="359"/>
    </row>
    <row r="68" spans="1:8" x14ac:dyDescent="0.2">
      <c r="A68" s="358"/>
      <c r="B68" s="359"/>
      <c r="C68" s="359"/>
      <c r="D68" s="359"/>
      <c r="E68" s="359"/>
      <c r="F68" s="359"/>
      <c r="G68" s="359"/>
      <c r="H68" s="359"/>
    </row>
    <row r="69" spans="1:8" x14ac:dyDescent="0.2">
      <c r="A69" s="353"/>
      <c r="B69" s="101"/>
      <c r="C69" s="101"/>
      <c r="D69" s="101"/>
      <c r="E69" s="101"/>
      <c r="F69" s="101"/>
      <c r="G69" s="101"/>
      <c r="H69" s="354"/>
    </row>
    <row r="72" spans="1:8" x14ac:dyDescent="0.2">
      <c r="B72" s="100" t="s">
        <v>872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5CC8-DBED-404C-B8D8-A6D3B546B496}">
  <dimension ref="A1:I85"/>
  <sheetViews>
    <sheetView zoomScale="160" zoomScaleNormal="160" workbookViewId="0">
      <selection activeCell="C14" sqref="C14"/>
    </sheetView>
  </sheetViews>
  <sheetFormatPr baseColWidth="10" defaultRowHeight="14" x14ac:dyDescent="0.2"/>
  <cols>
    <col min="1" max="1" width="2.1640625" style="5" bestFit="1" customWidth="1"/>
    <col min="2" max="2" width="27.1640625" style="5" bestFit="1" customWidth="1"/>
    <col min="3" max="3" width="14.6640625" style="5" bestFit="1" customWidth="1"/>
    <col min="4" max="4" width="29.83203125" style="5" bestFit="1" customWidth="1"/>
    <col min="5" max="5" width="12.33203125" style="5" bestFit="1" customWidth="1"/>
    <col min="6" max="6" width="13.33203125" style="5" bestFit="1" customWidth="1"/>
    <col min="7" max="16384" width="10.83203125" style="5"/>
  </cols>
  <sheetData>
    <row r="1" spans="1:9" x14ac:dyDescent="0.2">
      <c r="B1" s="16" t="s">
        <v>782</v>
      </c>
    </row>
    <row r="2" spans="1:9" x14ac:dyDescent="0.2">
      <c r="A2" s="5">
        <v>1</v>
      </c>
      <c r="B2" s="5" t="s">
        <v>252</v>
      </c>
      <c r="C2" s="33"/>
    </row>
    <row r="3" spans="1:9" x14ac:dyDescent="0.2">
      <c r="A3" s="5">
        <f>A2+1</f>
        <v>2</v>
      </c>
      <c r="B3" s="5" t="s">
        <v>784</v>
      </c>
      <c r="C3" s="5" t="s">
        <v>804</v>
      </c>
    </row>
    <row r="4" spans="1:9" x14ac:dyDescent="0.2">
      <c r="A4" s="5">
        <f t="shared" ref="A4:A5" si="0">A3+1</f>
        <v>3</v>
      </c>
      <c r="B4" s="5" t="s">
        <v>785</v>
      </c>
      <c r="C4" s="5" t="s">
        <v>804</v>
      </c>
    </row>
    <row r="5" spans="1:9" x14ac:dyDescent="0.2">
      <c r="A5" s="5">
        <f t="shared" si="0"/>
        <v>4</v>
      </c>
      <c r="B5" s="5" t="s">
        <v>786</v>
      </c>
      <c r="C5" s="5" t="s">
        <v>804</v>
      </c>
    </row>
    <row r="7" spans="1:9" x14ac:dyDescent="0.2">
      <c r="B7" s="290" t="s">
        <v>787</v>
      </c>
      <c r="C7" s="291" t="s">
        <v>788</v>
      </c>
      <c r="D7" s="291" t="s">
        <v>790</v>
      </c>
      <c r="E7" s="291" t="s">
        <v>789</v>
      </c>
      <c r="F7" s="455" t="s">
        <v>791</v>
      </c>
      <c r="G7" s="455"/>
      <c r="H7" s="455"/>
      <c r="I7" s="455"/>
    </row>
    <row r="8" spans="1:9" x14ac:dyDescent="0.2">
      <c r="B8" s="32" t="s">
        <v>783</v>
      </c>
      <c r="C8" s="5" t="s">
        <v>792</v>
      </c>
      <c r="D8" s="5" t="s">
        <v>793</v>
      </c>
      <c r="E8" s="5" t="s">
        <v>800</v>
      </c>
      <c r="H8" s="291" t="s">
        <v>526</v>
      </c>
      <c r="I8" s="291" t="s">
        <v>527</v>
      </c>
    </row>
    <row r="9" spans="1:9" x14ac:dyDescent="0.2">
      <c r="D9" s="5" t="s">
        <v>794</v>
      </c>
      <c r="F9" s="5" t="s">
        <v>801</v>
      </c>
      <c r="H9" s="75" t="s">
        <v>461</v>
      </c>
      <c r="I9" s="75"/>
    </row>
    <row r="10" spans="1:9" x14ac:dyDescent="0.2">
      <c r="D10" s="5" t="s">
        <v>795</v>
      </c>
      <c r="F10" s="323" t="s">
        <v>802</v>
      </c>
      <c r="H10" s="75"/>
      <c r="I10" s="75" t="s">
        <v>461</v>
      </c>
    </row>
    <row r="11" spans="1:9" x14ac:dyDescent="0.2">
      <c r="D11" s="5" t="s">
        <v>796</v>
      </c>
    </row>
    <row r="12" spans="1:9" x14ac:dyDescent="0.2">
      <c r="D12" s="5" t="s">
        <v>797</v>
      </c>
    </row>
    <row r="14" spans="1:9" x14ac:dyDescent="0.2">
      <c r="B14" s="27" t="s">
        <v>247</v>
      </c>
      <c r="C14" s="27" t="s">
        <v>798</v>
      </c>
      <c r="D14" s="27" t="s">
        <v>799</v>
      </c>
      <c r="E14" s="27" t="s">
        <v>10</v>
      </c>
      <c r="F14" s="27" t="s">
        <v>168</v>
      </c>
      <c r="G14" s="27" t="s">
        <v>318</v>
      </c>
    </row>
    <row r="15" spans="1:9" x14ac:dyDescent="0.2">
      <c r="B15" s="328"/>
      <c r="C15" s="328"/>
      <c r="D15" s="27"/>
      <c r="E15" s="328"/>
      <c r="F15" s="328"/>
      <c r="G15" s="26"/>
    </row>
    <row r="16" spans="1:9" x14ac:dyDescent="0.2">
      <c r="B16" s="328"/>
      <c r="C16" s="328"/>
      <c r="D16" s="26"/>
      <c r="E16" s="328"/>
      <c r="F16" s="328"/>
      <c r="G16" s="26"/>
    </row>
    <row r="17" spans="2:9" x14ac:dyDescent="0.2">
      <c r="B17" s="328"/>
      <c r="C17" s="328"/>
      <c r="D17" s="26"/>
      <c r="E17" s="328"/>
      <c r="F17" s="328"/>
      <c r="G17" s="26"/>
    </row>
    <row r="18" spans="2:9" x14ac:dyDescent="0.2">
      <c r="B18" s="328"/>
      <c r="C18" s="328"/>
      <c r="D18" s="26"/>
      <c r="E18" s="328"/>
      <c r="F18" s="328"/>
      <c r="G18" s="26"/>
    </row>
    <row r="19" spans="2:9" x14ac:dyDescent="0.2">
      <c r="B19" s="328"/>
      <c r="C19" s="328"/>
      <c r="D19" s="26"/>
      <c r="E19" s="328"/>
      <c r="F19" s="328"/>
      <c r="G19" s="26"/>
    </row>
    <row r="20" spans="2:9" x14ac:dyDescent="0.2">
      <c r="B20" s="328"/>
      <c r="C20" s="328"/>
      <c r="D20" s="26"/>
      <c r="E20" s="328"/>
      <c r="F20" s="328"/>
      <c r="G20" s="26"/>
    </row>
    <row r="21" spans="2:9" x14ac:dyDescent="0.2">
      <c r="B21" s="328"/>
      <c r="C21" s="328"/>
      <c r="D21" s="26"/>
      <c r="E21" s="328"/>
      <c r="F21" s="328"/>
      <c r="G21" s="26"/>
    </row>
    <row r="22" spans="2:9" x14ac:dyDescent="0.2">
      <c r="B22" s="328"/>
      <c r="C22" s="328"/>
      <c r="D22" s="26"/>
      <c r="E22" s="328"/>
      <c r="F22" s="328"/>
      <c r="G22" s="26"/>
    </row>
    <row r="23" spans="2:9" x14ac:dyDescent="0.2">
      <c r="B23" s="328"/>
      <c r="C23" s="328"/>
      <c r="D23" s="27" t="s">
        <v>122</v>
      </c>
      <c r="E23" s="328"/>
      <c r="F23" s="328"/>
      <c r="G23" s="26"/>
    </row>
    <row r="25" spans="2:9" x14ac:dyDescent="0.2">
      <c r="B25" s="290" t="s">
        <v>787</v>
      </c>
      <c r="C25" s="291" t="s">
        <v>788</v>
      </c>
      <c r="D25" s="291" t="s">
        <v>790</v>
      </c>
      <c r="E25" s="291" t="s">
        <v>789</v>
      </c>
      <c r="F25" s="455" t="s">
        <v>791</v>
      </c>
      <c r="G25" s="455"/>
      <c r="H25" s="455"/>
      <c r="I25" s="455"/>
    </row>
    <row r="26" spans="2:9" x14ac:dyDescent="0.2">
      <c r="B26" s="32" t="s">
        <v>784</v>
      </c>
      <c r="C26" s="5" t="s">
        <v>792</v>
      </c>
      <c r="D26" s="5" t="s">
        <v>793</v>
      </c>
      <c r="E26" s="5" t="s">
        <v>804</v>
      </c>
      <c r="H26" s="291" t="s">
        <v>526</v>
      </c>
      <c r="I26" s="291" t="s">
        <v>527</v>
      </c>
    </row>
    <row r="27" spans="2:9" x14ac:dyDescent="0.2">
      <c r="B27" s="325" t="s">
        <v>805</v>
      </c>
      <c r="D27" s="5" t="s">
        <v>794</v>
      </c>
      <c r="F27" s="5" t="s">
        <v>801</v>
      </c>
      <c r="H27" s="75" t="s">
        <v>461</v>
      </c>
      <c r="I27" s="75"/>
    </row>
    <row r="28" spans="2:9" x14ac:dyDescent="0.2">
      <c r="D28" s="5" t="s">
        <v>795</v>
      </c>
      <c r="F28" s="323" t="s">
        <v>802</v>
      </c>
      <c r="H28" s="75"/>
      <c r="I28" s="75" t="s">
        <v>461</v>
      </c>
    </row>
    <row r="29" spans="2:9" x14ac:dyDescent="0.2">
      <c r="D29" s="5" t="s">
        <v>796</v>
      </c>
    </row>
    <row r="30" spans="2:9" x14ac:dyDescent="0.2">
      <c r="D30" s="5" t="s">
        <v>803</v>
      </c>
    </row>
    <row r="32" spans="2:9" x14ac:dyDescent="0.2">
      <c r="B32" s="27" t="s">
        <v>247</v>
      </c>
      <c r="C32" s="27" t="s">
        <v>934</v>
      </c>
      <c r="D32" s="27" t="s">
        <v>10</v>
      </c>
      <c r="E32" s="27" t="s">
        <v>806</v>
      </c>
      <c r="F32" s="27" t="s">
        <v>807</v>
      </c>
    </row>
    <row r="33" spans="2:9" x14ac:dyDescent="0.2">
      <c r="B33" s="328"/>
      <c r="C33" s="328">
        <v>95</v>
      </c>
      <c r="D33" s="328"/>
      <c r="E33" s="26">
        <v>3</v>
      </c>
      <c r="F33" s="26">
        <f>C33*E33</f>
        <v>285</v>
      </c>
    </row>
    <row r="34" spans="2:9" x14ac:dyDescent="0.2">
      <c r="B34" s="328"/>
      <c r="C34" s="328"/>
      <c r="D34" s="328"/>
      <c r="E34" s="26"/>
      <c r="F34" s="26"/>
    </row>
    <row r="35" spans="2:9" x14ac:dyDescent="0.2">
      <c r="B35" s="328"/>
      <c r="C35" s="328"/>
      <c r="D35" s="328"/>
      <c r="E35" s="26"/>
      <c r="F35" s="26"/>
    </row>
    <row r="36" spans="2:9" x14ac:dyDescent="0.2">
      <c r="B36" s="328"/>
      <c r="C36" s="328"/>
      <c r="D36" s="328"/>
      <c r="E36" s="26"/>
      <c r="F36" s="26"/>
    </row>
    <row r="37" spans="2:9" x14ac:dyDescent="0.2">
      <c r="B37" s="328"/>
      <c r="C37" s="328"/>
      <c r="D37" s="328"/>
      <c r="E37" s="26"/>
      <c r="F37" s="26"/>
    </row>
    <row r="38" spans="2:9" x14ac:dyDescent="0.2">
      <c r="B38" s="328"/>
      <c r="C38" s="328"/>
      <c r="D38" s="328"/>
      <c r="E38" s="26"/>
      <c r="F38" s="26"/>
    </row>
    <row r="39" spans="2:9" x14ac:dyDescent="0.2">
      <c r="B39" s="328"/>
      <c r="C39" s="328"/>
      <c r="D39" s="328"/>
      <c r="E39" s="26"/>
      <c r="F39" s="26"/>
    </row>
    <row r="40" spans="2:9" x14ac:dyDescent="0.2">
      <c r="B40" s="328"/>
      <c r="C40" s="328"/>
      <c r="D40" s="328"/>
      <c r="E40" s="26"/>
      <c r="F40" s="26"/>
    </row>
    <row r="41" spans="2:9" x14ac:dyDescent="0.2">
      <c r="B41" s="328"/>
      <c r="C41" s="328"/>
      <c r="D41" s="329" t="s">
        <v>122</v>
      </c>
      <c r="E41" s="26"/>
      <c r="F41" s="26"/>
    </row>
    <row r="43" spans="2:9" x14ac:dyDescent="0.2">
      <c r="B43" s="16" t="s">
        <v>606</v>
      </c>
    </row>
    <row r="44" spans="2:9" x14ac:dyDescent="0.2">
      <c r="B44" s="456"/>
      <c r="C44" s="457"/>
      <c r="D44" s="457"/>
      <c r="E44" s="457"/>
      <c r="F44" s="458"/>
    </row>
    <row r="47" spans="2:9" x14ac:dyDescent="0.2">
      <c r="B47" s="290" t="s">
        <v>787</v>
      </c>
      <c r="C47" s="291" t="s">
        <v>788</v>
      </c>
      <c r="D47" s="291" t="s">
        <v>790</v>
      </c>
      <c r="E47" s="291" t="s">
        <v>789</v>
      </c>
      <c r="F47" s="455" t="s">
        <v>791</v>
      </c>
      <c r="G47" s="455"/>
      <c r="H47" s="455"/>
      <c r="I47" s="455"/>
    </row>
    <row r="48" spans="2:9" x14ac:dyDescent="0.2">
      <c r="B48" s="32" t="s">
        <v>785</v>
      </c>
      <c r="C48" s="5" t="s">
        <v>792</v>
      </c>
      <c r="D48" s="5" t="s">
        <v>809</v>
      </c>
      <c r="E48" s="5" t="s">
        <v>804</v>
      </c>
      <c r="H48" s="291" t="s">
        <v>526</v>
      </c>
      <c r="I48" s="291" t="s">
        <v>527</v>
      </c>
    </row>
    <row r="49" spans="2:9" x14ac:dyDescent="0.2">
      <c r="B49" s="325" t="s">
        <v>808</v>
      </c>
      <c r="F49" s="459" t="s">
        <v>810</v>
      </c>
      <c r="G49" s="459"/>
      <c r="H49" s="75" t="s">
        <v>461</v>
      </c>
      <c r="I49" s="75"/>
    </row>
    <row r="50" spans="2:9" x14ac:dyDescent="0.2">
      <c r="F50" s="459"/>
      <c r="G50" s="459"/>
      <c r="H50" s="75"/>
      <c r="I50" s="75" t="s">
        <v>461</v>
      </c>
    </row>
    <row r="52" spans="2:9" x14ac:dyDescent="0.2">
      <c r="B52" s="27" t="s">
        <v>811</v>
      </c>
      <c r="C52" s="27" t="s">
        <v>812</v>
      </c>
      <c r="D52" s="27" t="s">
        <v>813</v>
      </c>
      <c r="E52" s="27" t="s">
        <v>814</v>
      </c>
    </row>
    <row r="53" spans="2:9" x14ac:dyDescent="0.2">
      <c r="B53" s="26"/>
      <c r="C53" s="26"/>
      <c r="D53" s="26"/>
      <c r="E53" s="26"/>
    </row>
    <row r="54" spans="2:9" x14ac:dyDescent="0.2">
      <c r="B54" s="327" t="s">
        <v>758</v>
      </c>
      <c r="C54" s="460" t="s">
        <v>819</v>
      </c>
      <c r="D54" s="26"/>
      <c r="E54" s="26"/>
    </row>
    <row r="55" spans="2:9" x14ac:dyDescent="0.2">
      <c r="B55" s="26"/>
      <c r="C55" s="461"/>
      <c r="D55" s="26"/>
      <c r="E55" s="26"/>
    </row>
    <row r="56" spans="2:9" x14ac:dyDescent="0.2">
      <c r="B56" s="26"/>
      <c r="C56" s="461"/>
      <c r="D56" s="26"/>
      <c r="E56" s="26"/>
    </row>
    <row r="57" spans="2:9" x14ac:dyDescent="0.2">
      <c r="B57" s="26"/>
      <c r="C57" s="461"/>
      <c r="D57" s="26"/>
      <c r="E57" s="26"/>
    </row>
    <row r="58" spans="2:9" x14ac:dyDescent="0.2">
      <c r="B58" s="26"/>
      <c r="C58" s="462"/>
      <c r="D58" s="26"/>
      <c r="E58" s="26"/>
    </row>
    <row r="59" spans="2:9" x14ac:dyDescent="0.2">
      <c r="B59" s="26"/>
      <c r="C59" s="26"/>
      <c r="D59" s="26"/>
      <c r="E59" s="26"/>
    </row>
    <row r="60" spans="2:9" x14ac:dyDescent="0.2">
      <c r="B60" s="26"/>
      <c r="C60" s="26"/>
      <c r="D60" s="26"/>
      <c r="E60" s="26"/>
    </row>
    <row r="61" spans="2:9" x14ac:dyDescent="0.2">
      <c r="B61" s="26"/>
      <c r="C61" s="26"/>
      <c r="D61" s="26"/>
      <c r="E61" s="26"/>
    </row>
    <row r="63" spans="2:9" x14ac:dyDescent="0.2">
      <c r="B63" s="16" t="s">
        <v>606</v>
      </c>
    </row>
    <row r="64" spans="2:9" x14ac:dyDescent="0.2">
      <c r="B64" s="456"/>
      <c r="C64" s="457"/>
      <c r="D64" s="457"/>
      <c r="E64" s="458"/>
      <c r="F64" s="326"/>
    </row>
    <row r="67" spans="2:9" x14ac:dyDescent="0.2">
      <c r="B67" s="290" t="s">
        <v>787</v>
      </c>
      <c r="C67" s="291" t="s">
        <v>788</v>
      </c>
      <c r="D67" s="291" t="s">
        <v>790</v>
      </c>
      <c r="E67" s="291" t="s">
        <v>789</v>
      </c>
      <c r="F67" s="455" t="s">
        <v>791</v>
      </c>
      <c r="G67" s="455"/>
      <c r="H67" s="455"/>
      <c r="I67" s="455"/>
    </row>
    <row r="68" spans="2:9" x14ac:dyDescent="0.2">
      <c r="B68" s="32" t="s">
        <v>786</v>
      </c>
      <c r="C68" s="5" t="s">
        <v>792</v>
      </c>
      <c r="D68" s="5" t="s">
        <v>793</v>
      </c>
      <c r="E68" s="5" t="s">
        <v>804</v>
      </c>
      <c r="H68" s="291" t="s">
        <v>526</v>
      </c>
      <c r="I68" s="291" t="s">
        <v>527</v>
      </c>
    </row>
    <row r="69" spans="2:9" x14ac:dyDescent="0.2">
      <c r="B69" s="324" t="s">
        <v>815</v>
      </c>
      <c r="D69" s="5" t="s">
        <v>794</v>
      </c>
      <c r="F69" s="16" t="s">
        <v>818</v>
      </c>
    </row>
    <row r="70" spans="2:9" x14ac:dyDescent="0.2">
      <c r="D70" s="5" t="s">
        <v>795</v>
      </c>
      <c r="F70" s="322" t="s">
        <v>802</v>
      </c>
      <c r="H70" s="75" t="s">
        <v>461</v>
      </c>
      <c r="I70" s="75"/>
    </row>
    <row r="71" spans="2:9" x14ac:dyDescent="0.2">
      <c r="D71" s="5" t="s">
        <v>796</v>
      </c>
      <c r="F71" s="323" t="s">
        <v>801</v>
      </c>
      <c r="H71" s="75"/>
      <c r="I71" s="75" t="s">
        <v>461</v>
      </c>
    </row>
    <row r="72" spans="2:9" x14ac:dyDescent="0.2">
      <c r="D72" s="5" t="s">
        <v>816</v>
      </c>
    </row>
    <row r="73" spans="2:9" x14ac:dyDescent="0.2">
      <c r="F73" s="324" t="s">
        <v>817</v>
      </c>
      <c r="H73" s="75"/>
      <c r="I73" s="75"/>
    </row>
    <row r="74" spans="2:9" x14ac:dyDescent="0.2">
      <c r="F74" s="5" t="s">
        <v>801</v>
      </c>
      <c r="H74" s="75" t="s">
        <v>461</v>
      </c>
      <c r="I74" s="75"/>
    </row>
    <row r="75" spans="2:9" x14ac:dyDescent="0.2">
      <c r="F75" s="323" t="s">
        <v>802</v>
      </c>
      <c r="H75" s="75"/>
      <c r="I75" s="75" t="s">
        <v>461</v>
      </c>
    </row>
    <row r="76" spans="2:9" x14ac:dyDescent="0.2">
      <c r="B76" s="27" t="s">
        <v>247</v>
      </c>
      <c r="C76" s="27" t="s">
        <v>798</v>
      </c>
      <c r="D76" s="27" t="s">
        <v>10</v>
      </c>
      <c r="E76" s="27" t="s">
        <v>806</v>
      </c>
      <c r="F76" s="27" t="s">
        <v>807</v>
      </c>
    </row>
    <row r="77" spans="2:9" x14ac:dyDescent="0.2">
      <c r="B77" s="328"/>
      <c r="C77" s="328"/>
      <c r="D77" s="329"/>
      <c r="E77" s="26"/>
      <c r="F77" s="26"/>
    </row>
    <row r="78" spans="2:9" x14ac:dyDescent="0.2">
      <c r="B78" s="328"/>
      <c r="C78" s="328"/>
      <c r="D78" s="328"/>
      <c r="E78" s="26"/>
      <c r="F78" s="26"/>
    </row>
    <row r="79" spans="2:9" x14ac:dyDescent="0.2">
      <c r="B79" s="328"/>
      <c r="C79" s="328"/>
      <c r="D79" s="328"/>
      <c r="E79" s="26"/>
      <c r="F79" s="26"/>
    </row>
    <row r="80" spans="2:9" x14ac:dyDescent="0.2">
      <c r="B80" s="328"/>
      <c r="C80" s="328"/>
      <c r="D80" s="328"/>
      <c r="E80" s="26"/>
      <c r="F80" s="26"/>
    </row>
    <row r="81" spans="2:6" x14ac:dyDescent="0.2">
      <c r="B81" s="328"/>
      <c r="C81" s="328"/>
      <c r="D81" s="328"/>
      <c r="E81" s="26"/>
      <c r="F81" s="26"/>
    </row>
    <row r="82" spans="2:6" x14ac:dyDescent="0.2">
      <c r="B82" s="328"/>
      <c r="C82" s="328"/>
      <c r="D82" s="328"/>
      <c r="E82" s="26"/>
      <c r="F82" s="26"/>
    </row>
    <row r="83" spans="2:6" x14ac:dyDescent="0.2">
      <c r="B83" s="328"/>
      <c r="C83" s="328"/>
      <c r="D83" s="328"/>
      <c r="E83" s="26"/>
      <c r="F83" s="26"/>
    </row>
    <row r="84" spans="2:6" x14ac:dyDescent="0.2">
      <c r="B84" s="328"/>
      <c r="C84" s="328"/>
      <c r="D84" s="328"/>
      <c r="E84" s="26"/>
      <c r="F84" s="26"/>
    </row>
    <row r="85" spans="2:6" x14ac:dyDescent="0.2">
      <c r="B85" s="328"/>
      <c r="C85" s="328"/>
      <c r="D85" s="328"/>
      <c r="E85" s="26"/>
      <c r="F85" s="26"/>
    </row>
  </sheetData>
  <mergeCells count="8">
    <mergeCell ref="F67:I67"/>
    <mergeCell ref="F7:I7"/>
    <mergeCell ref="F25:I25"/>
    <mergeCell ref="B44:F44"/>
    <mergeCell ref="F47:I47"/>
    <mergeCell ref="F49:G50"/>
    <mergeCell ref="B64:E64"/>
    <mergeCell ref="C54:C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TIMELINE</vt:lpstr>
      <vt:lpstr>CHART OF ACCOUNTS</vt:lpstr>
      <vt:lpstr>INVENTORY LEDGER JAN 2020</vt:lpstr>
      <vt:lpstr>PAYABLE LEDGER</vt:lpstr>
      <vt:lpstr>SALES INVOICING</vt:lpstr>
      <vt:lpstr>RECEIVE PAYMENT</vt:lpstr>
      <vt:lpstr>PRODUCT PROFILE FOR MIGRATION</vt:lpstr>
      <vt:lpstr>MISSION DEC 16-21</vt:lpstr>
      <vt:lpstr>ADJUSTMENTS DEC 9-14, 2019</vt:lpstr>
      <vt:lpstr>MISSION - NOV.23-30</vt:lpstr>
      <vt:lpstr>MISSION - NOV.16-23, 2019</vt:lpstr>
      <vt:lpstr>ADDITIONS</vt:lpstr>
      <vt:lpstr>MISSION</vt:lpstr>
      <vt:lpstr>ADD PRODUCT</vt:lpstr>
      <vt:lpstr>RECEIVING</vt:lpstr>
      <vt:lpstr>BODEGA-OUT</vt:lpstr>
      <vt:lpstr>FINAL COST COMPUTATION</vt:lpstr>
      <vt:lpstr>PURCHASE ORDER</vt:lpstr>
      <vt:lpstr>RECEIVING FIELD</vt:lpstr>
      <vt:lpstr>EXPIRATION</vt:lpstr>
      <vt:lpstr>DEBIT MEMO</vt:lpstr>
      <vt:lpstr>ASIIGNMENT FOR NEXT WK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Vanessa Chiu</cp:lastModifiedBy>
  <dcterms:created xsi:type="dcterms:W3CDTF">2019-08-31T07:42:03Z</dcterms:created>
  <dcterms:modified xsi:type="dcterms:W3CDTF">2020-07-25T03:45:23Z</dcterms:modified>
</cp:coreProperties>
</file>