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\Desktop\"/>
    </mc:Choice>
  </mc:AlternateContent>
  <xr:revisionPtr revIDLastSave="0" documentId="13_ncr:1_{0E9921E6-6AF8-4043-9364-90763634FB10}" xr6:coauthVersionLast="47" xr6:coauthVersionMax="47" xr10:uidLastSave="{00000000-0000-0000-0000-000000000000}"/>
  <bookViews>
    <workbookView xWindow="-103" yWindow="-103" windowWidth="24892" windowHeight="15034" xr2:uid="{145AF836-EC8B-4EF8-AAD4-F4A7FC792BEF}"/>
  </bookViews>
  <sheets>
    <sheet name="DCF" sheetId="2" r:id="rId1"/>
    <sheet name="WACC" sheetId="4" r:id="rId2"/>
    <sheet name="IS" sheetId="3" r:id="rId3"/>
    <sheet name="CFS Est." sheetId="5" r:id="rId4"/>
    <sheet name="CFS Historicals" sheetId="6" r:id="rId5"/>
  </sheets>
  <definedNames>
    <definedName name="tgr">DCF!$D$15</definedName>
    <definedName name="wacc">DCF!$D$14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4" i="2" l="1"/>
  <c r="W73" i="2"/>
  <c r="D15" i="2"/>
  <c r="L13" i="2"/>
  <c r="H13" i="2" s="1"/>
  <c r="G22" i="4"/>
  <c r="G10" i="4"/>
  <c r="G9" i="4"/>
  <c r="G16" i="4"/>
  <c r="G20" i="4"/>
  <c r="G18" i="4"/>
  <c r="G15" i="4"/>
  <c r="M57" i="2"/>
  <c r="E57" i="2"/>
  <c r="E58" i="2" s="1"/>
  <c r="L57" i="2"/>
  <c r="J60" i="2"/>
  <c r="K60" i="2"/>
  <c r="K61" i="2" s="1"/>
  <c r="E63" i="2"/>
  <c r="F63" i="2"/>
  <c r="E64" i="2"/>
  <c r="F64" i="2"/>
  <c r="D63" i="2"/>
  <c r="D64" i="2" s="1"/>
  <c r="W50" i="2"/>
  <c r="W48" i="2"/>
  <c r="W49" i="2"/>
  <c r="W44" i="2"/>
  <c r="W42" i="2"/>
  <c r="W41" i="2"/>
  <c r="W43" i="2"/>
  <c r="N38" i="2"/>
  <c r="O38" i="2" s="1"/>
  <c r="P38" i="2" s="1"/>
  <c r="Q38" i="2" s="1"/>
  <c r="R38" i="2" s="1"/>
  <c r="S38" i="2" s="1"/>
  <c r="T38" i="2" s="1"/>
  <c r="U38" i="2" s="1"/>
  <c r="V38" i="2" s="1"/>
  <c r="W38" i="2" s="1"/>
  <c r="E35" i="2"/>
  <c r="F35" i="2"/>
  <c r="G35" i="2"/>
  <c r="G63" i="2" s="1"/>
  <c r="G64" i="2" s="1"/>
  <c r="H35" i="2"/>
  <c r="H63" i="2" s="1"/>
  <c r="H64" i="2" s="1"/>
  <c r="I35" i="2"/>
  <c r="I63" i="2" s="1"/>
  <c r="I64" i="2" s="1"/>
  <c r="J35" i="2"/>
  <c r="J63" i="2" s="1"/>
  <c r="K35" i="2"/>
  <c r="K63" i="2" s="1"/>
  <c r="K64" i="2" s="1"/>
  <c r="L35" i="2"/>
  <c r="L63" i="2" s="1"/>
  <c r="M35" i="2"/>
  <c r="N35" i="2"/>
  <c r="O35" i="2"/>
  <c r="P35" i="2"/>
  <c r="Q35" i="2"/>
  <c r="R35" i="2"/>
  <c r="D35" i="2"/>
  <c r="E32" i="2"/>
  <c r="E60" i="2" s="1"/>
  <c r="E61" i="2" s="1"/>
  <c r="F32" i="2"/>
  <c r="F60" i="2" s="1"/>
  <c r="F61" i="2" s="1"/>
  <c r="G32" i="2"/>
  <c r="G60" i="2" s="1"/>
  <c r="G61" i="2" s="1"/>
  <c r="H32" i="2"/>
  <c r="H60" i="2" s="1"/>
  <c r="H61" i="2" s="1"/>
  <c r="I32" i="2"/>
  <c r="I60" i="2" s="1"/>
  <c r="I61" i="2" s="1"/>
  <c r="J32" i="2"/>
  <c r="K32" i="2"/>
  <c r="L32" i="2"/>
  <c r="L60" i="2" s="1"/>
  <c r="M32" i="2"/>
  <c r="M60" i="2" s="1"/>
  <c r="N32" i="2"/>
  <c r="N60" i="2" s="1"/>
  <c r="O32" i="2"/>
  <c r="O60" i="2" s="1"/>
  <c r="P32" i="2"/>
  <c r="Q32" i="2"/>
  <c r="R32" i="2"/>
  <c r="E28" i="2"/>
  <c r="F28" i="2"/>
  <c r="F57" i="2" s="1"/>
  <c r="F58" i="2" s="1"/>
  <c r="G28" i="2"/>
  <c r="G57" i="2" s="1"/>
  <c r="G58" i="2" s="1"/>
  <c r="H28" i="2"/>
  <c r="H57" i="2" s="1"/>
  <c r="H58" i="2" s="1"/>
  <c r="I28" i="2"/>
  <c r="I57" i="2" s="1"/>
  <c r="I58" i="2" s="1"/>
  <c r="J28" i="2"/>
  <c r="J57" i="2" s="1"/>
  <c r="K28" i="2"/>
  <c r="K57" i="2" s="1"/>
  <c r="K58" i="2" s="1"/>
  <c r="L28" i="2"/>
  <c r="M28" i="2"/>
  <c r="N28" i="2"/>
  <c r="N57" i="2" s="1"/>
  <c r="O28" i="2"/>
  <c r="O57" i="2" s="1"/>
  <c r="P28" i="2"/>
  <c r="Q28" i="2"/>
  <c r="R28" i="2"/>
  <c r="D28" i="2"/>
  <c r="D57" i="2" s="1"/>
  <c r="D58" i="2" s="1"/>
  <c r="D32" i="2"/>
  <c r="D60" i="2" s="1"/>
  <c r="D61" i="2" s="1"/>
  <c r="C11" i="6"/>
  <c r="D11" i="6"/>
  <c r="E11" i="6"/>
  <c r="F11" i="6"/>
  <c r="G11" i="6"/>
  <c r="H11" i="6"/>
  <c r="I11" i="6"/>
  <c r="J11" i="6"/>
  <c r="K11" i="6"/>
  <c r="B11" i="6"/>
  <c r="E24" i="2"/>
  <c r="E52" i="2" s="1"/>
  <c r="F24" i="2"/>
  <c r="F52" i="2" s="1"/>
  <c r="G24" i="2"/>
  <c r="G52" i="2" s="1"/>
  <c r="H24" i="2"/>
  <c r="H52" i="2" s="1"/>
  <c r="I24" i="2"/>
  <c r="I52" i="2" s="1"/>
  <c r="J24" i="2"/>
  <c r="J52" i="2" s="1"/>
  <c r="K24" i="2"/>
  <c r="K52" i="2" s="1"/>
  <c r="L24" i="2"/>
  <c r="L52" i="2" s="1"/>
  <c r="M24" i="2"/>
  <c r="M52" i="2" s="1"/>
  <c r="N24" i="2"/>
  <c r="N52" i="2" s="1"/>
  <c r="O24" i="2"/>
  <c r="O52" i="2" s="1"/>
  <c r="P24" i="2"/>
  <c r="Q24" i="2"/>
  <c r="R24" i="2"/>
  <c r="D24" i="2"/>
  <c r="D52" i="2" s="1"/>
  <c r="R21" i="2"/>
  <c r="E21" i="2"/>
  <c r="E46" i="2" s="1"/>
  <c r="F21" i="2"/>
  <c r="F25" i="2" s="1"/>
  <c r="G21" i="2"/>
  <c r="G46" i="2" s="1"/>
  <c r="H21" i="2"/>
  <c r="H46" i="2" s="1"/>
  <c r="H47" i="2" s="1"/>
  <c r="I21" i="2"/>
  <c r="I46" i="2" s="1"/>
  <c r="J21" i="2"/>
  <c r="J46" i="2" s="1"/>
  <c r="K21" i="2"/>
  <c r="K46" i="2" s="1"/>
  <c r="L21" i="2"/>
  <c r="L46" i="2" s="1"/>
  <c r="M21" i="2"/>
  <c r="N21" i="2"/>
  <c r="N25" i="2" s="1"/>
  <c r="O21" i="2"/>
  <c r="P21" i="2"/>
  <c r="Q21" i="2"/>
  <c r="D21" i="2"/>
  <c r="D46" i="2" s="1"/>
  <c r="E18" i="2"/>
  <c r="E40" i="2" s="1"/>
  <c r="F18" i="2"/>
  <c r="F40" i="2" s="1"/>
  <c r="G18" i="2"/>
  <c r="G40" i="2" s="1"/>
  <c r="H18" i="2"/>
  <c r="H40" i="2" s="1"/>
  <c r="I18" i="2"/>
  <c r="I40" i="2" s="1"/>
  <c r="J18" i="2"/>
  <c r="J36" i="2" s="1"/>
  <c r="K18" i="2"/>
  <c r="K40" i="2" s="1"/>
  <c r="L18" i="2"/>
  <c r="M18" i="2"/>
  <c r="N18" i="2"/>
  <c r="O18" i="2"/>
  <c r="P18" i="2"/>
  <c r="Q18" i="2"/>
  <c r="R18" i="2"/>
  <c r="D18" i="2"/>
  <c r="D40" i="2" s="1"/>
  <c r="E39" i="2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E27" i="2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E17" i="2"/>
  <c r="F17" i="2" s="1"/>
  <c r="G17" i="2" s="1"/>
  <c r="H17" i="2" s="1"/>
  <c r="I17" i="2" s="1"/>
  <c r="J17" i="2" s="1"/>
  <c r="K17" i="2" s="1"/>
  <c r="L17" i="2" s="1"/>
  <c r="M17" i="2" s="1"/>
  <c r="W47" i="2" l="1"/>
  <c r="L61" i="2"/>
  <c r="J58" i="2"/>
  <c r="D47" i="2"/>
  <c r="P13" i="2"/>
  <c r="D14" i="2" s="1"/>
  <c r="G47" i="2"/>
  <c r="E47" i="2"/>
  <c r="K47" i="2"/>
  <c r="D53" i="2"/>
  <c r="J53" i="2"/>
  <c r="I47" i="2"/>
  <c r="I53" i="2"/>
  <c r="H53" i="2"/>
  <c r="G53" i="2"/>
  <c r="E53" i="2"/>
  <c r="K53" i="2"/>
  <c r="L53" i="2"/>
  <c r="F46" i="2"/>
  <c r="F47" i="2" s="1"/>
  <c r="L19" i="2"/>
  <c r="L41" i="2" s="1"/>
  <c r="J40" i="2"/>
  <c r="J47" i="2" s="1"/>
  <c r="D30" i="2"/>
  <c r="Q30" i="2"/>
  <c r="I30" i="2"/>
  <c r="L40" i="2"/>
  <c r="L47" i="2" s="1"/>
  <c r="N17" i="2"/>
  <c r="O17" i="2" s="1"/>
  <c r="P17" i="2" s="1"/>
  <c r="Q17" i="2" s="1"/>
  <c r="R17" i="2" s="1"/>
  <c r="L29" i="2"/>
  <c r="I36" i="2"/>
  <c r="D29" i="2"/>
  <c r="K29" i="2"/>
  <c r="N33" i="2"/>
  <c r="F33" i="2"/>
  <c r="O33" i="2"/>
  <c r="H37" i="2"/>
  <c r="P29" i="2"/>
  <c r="O29" i="2"/>
  <c r="G29" i="2"/>
  <c r="M33" i="2"/>
  <c r="E33" i="2"/>
  <c r="F37" i="2"/>
  <c r="H29" i="2"/>
  <c r="G37" i="2"/>
  <c r="N29" i="2"/>
  <c r="F29" i="2"/>
  <c r="L33" i="2"/>
  <c r="P30" i="2"/>
  <c r="G33" i="2"/>
  <c r="R29" i="2"/>
  <c r="M29" i="2"/>
  <c r="E29" i="2"/>
  <c r="K33" i="2"/>
  <c r="H30" i="2"/>
  <c r="L36" i="2"/>
  <c r="H36" i="2"/>
  <c r="Q29" i="2"/>
  <c r="I29" i="2"/>
  <c r="R30" i="2"/>
  <c r="J30" i="2"/>
  <c r="D36" i="2"/>
  <c r="K36" i="2"/>
  <c r="P33" i="2"/>
  <c r="H33" i="2"/>
  <c r="Q33" i="2"/>
  <c r="I33" i="2"/>
  <c r="J37" i="2"/>
  <c r="O30" i="2"/>
  <c r="G36" i="2"/>
  <c r="N30" i="2"/>
  <c r="F30" i="2"/>
  <c r="E37" i="2"/>
  <c r="F36" i="2"/>
  <c r="L37" i="2"/>
  <c r="J29" i="2"/>
  <c r="G30" i="2"/>
  <c r="M30" i="2"/>
  <c r="E30" i="2"/>
  <c r="D33" i="2"/>
  <c r="K37" i="2"/>
  <c r="L30" i="2"/>
  <c r="R33" i="2"/>
  <c r="J33" i="2"/>
  <c r="K30" i="2"/>
  <c r="I37" i="2"/>
  <c r="E36" i="2"/>
  <c r="D22" i="2"/>
  <c r="J22" i="2"/>
  <c r="F19" i="2"/>
  <c r="F41" i="2" s="1"/>
  <c r="M19" i="2"/>
  <c r="M43" i="2" s="1"/>
  <c r="M41" i="2" s="1"/>
  <c r="M40" i="2" s="1"/>
  <c r="N19" i="2"/>
  <c r="N43" i="2" s="1"/>
  <c r="E19" i="2"/>
  <c r="E41" i="2" s="1"/>
  <c r="D25" i="2"/>
  <c r="P22" i="2"/>
  <c r="H22" i="2"/>
  <c r="Q19" i="2"/>
  <c r="I19" i="2"/>
  <c r="I41" i="2" s="1"/>
  <c r="L25" i="2"/>
  <c r="O19" i="2"/>
  <c r="O43" i="2" s="1"/>
  <c r="G19" i="2"/>
  <c r="G41" i="2" s="1"/>
  <c r="K25" i="2"/>
  <c r="Q22" i="2"/>
  <c r="I22" i="2"/>
  <c r="R25" i="2"/>
  <c r="J25" i="2"/>
  <c r="H25" i="2"/>
  <c r="O25" i="2"/>
  <c r="G25" i="2"/>
  <c r="O22" i="2"/>
  <c r="O49" i="2" s="1"/>
  <c r="P25" i="2"/>
  <c r="R19" i="2"/>
  <c r="J19" i="2"/>
  <c r="J41" i="2" s="1"/>
  <c r="M22" i="2"/>
  <c r="M49" i="2" s="1"/>
  <c r="E22" i="2"/>
  <c r="G22" i="2"/>
  <c r="L22" i="2"/>
  <c r="R22" i="2"/>
  <c r="M25" i="2"/>
  <c r="E25" i="2"/>
  <c r="P19" i="2"/>
  <c r="H19" i="2"/>
  <c r="H41" i="2" s="1"/>
  <c r="K22" i="2"/>
  <c r="N22" i="2"/>
  <c r="N49" i="2" s="1"/>
  <c r="Q25" i="2"/>
  <c r="I25" i="2"/>
  <c r="F22" i="2"/>
  <c r="K19" i="2"/>
  <c r="K41" i="2" s="1"/>
  <c r="L64" i="2" l="1"/>
  <c r="L58" i="2"/>
  <c r="J61" i="2"/>
  <c r="J64" i="2"/>
  <c r="N50" i="2"/>
  <c r="N47" i="2" s="1"/>
  <c r="N48" i="2"/>
  <c r="M47" i="2"/>
  <c r="M50" i="2"/>
  <c r="M48" i="2"/>
  <c r="F53" i="2"/>
  <c r="O50" i="2"/>
  <c r="P50" i="2" s="1"/>
  <c r="Q50" i="2" s="1"/>
  <c r="R50" i="2" s="1"/>
  <c r="S50" i="2" s="1"/>
  <c r="T50" i="2" s="1"/>
  <c r="U50" i="2" s="1"/>
  <c r="V50" i="2" s="1"/>
  <c r="O48" i="2"/>
  <c r="P48" i="2" s="1"/>
  <c r="Q48" i="2" s="1"/>
  <c r="R48" i="2" s="1"/>
  <c r="S48" i="2" s="1"/>
  <c r="T48" i="2" s="1"/>
  <c r="U48" i="2" s="1"/>
  <c r="V48" i="2" s="1"/>
  <c r="P49" i="2"/>
  <c r="O47" i="2"/>
  <c r="O44" i="2"/>
  <c r="P44" i="2" s="1"/>
  <c r="Q44" i="2" s="1"/>
  <c r="R44" i="2" s="1"/>
  <c r="S44" i="2" s="1"/>
  <c r="T44" i="2" s="1"/>
  <c r="U44" i="2" s="1"/>
  <c r="V44" i="2" s="1"/>
  <c r="O42" i="2"/>
  <c r="P42" i="2" s="1"/>
  <c r="Q42" i="2" s="1"/>
  <c r="R42" i="2" s="1"/>
  <c r="S42" i="2" s="1"/>
  <c r="T42" i="2" s="1"/>
  <c r="U42" i="2" s="1"/>
  <c r="V42" i="2" s="1"/>
  <c r="P43" i="2"/>
  <c r="N44" i="2"/>
  <c r="N42" i="2"/>
  <c r="N41" i="2"/>
  <c r="N40" i="2" s="1"/>
  <c r="M42" i="2"/>
  <c r="M44" i="2"/>
  <c r="O41" i="2" l="1"/>
  <c r="O40" i="2" s="1"/>
  <c r="M63" i="2"/>
  <c r="M64" i="2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M61" i="2"/>
  <c r="M58" i="2"/>
  <c r="M46" i="2"/>
  <c r="P47" i="2"/>
  <c r="Q49" i="2"/>
  <c r="P41" i="2"/>
  <c r="Q43" i="2"/>
  <c r="P40" i="2" l="1"/>
  <c r="N63" i="2"/>
  <c r="N58" i="2"/>
  <c r="N61" i="2"/>
  <c r="M53" i="2"/>
  <c r="M55" i="2"/>
  <c r="R49" i="2"/>
  <c r="Q47" i="2"/>
  <c r="O63" i="2"/>
  <c r="N46" i="2"/>
  <c r="R43" i="2"/>
  <c r="Q41" i="2"/>
  <c r="Q40" i="2" l="1"/>
  <c r="O61" i="2"/>
  <c r="P61" i="2" s="1"/>
  <c r="O58" i="2"/>
  <c r="O46" i="2"/>
  <c r="O53" i="2" s="1"/>
  <c r="P53" i="2" s="1"/>
  <c r="Q53" i="2" s="1"/>
  <c r="N53" i="2"/>
  <c r="N55" i="2"/>
  <c r="N66" i="2" s="1"/>
  <c r="N67" i="2" s="1"/>
  <c r="S49" i="2"/>
  <c r="R47" i="2"/>
  <c r="S43" i="2"/>
  <c r="R41" i="2"/>
  <c r="R40" i="2" l="1"/>
  <c r="P46" i="2"/>
  <c r="P52" i="2" s="1"/>
  <c r="P55" i="2" s="1"/>
  <c r="P63" i="2"/>
  <c r="P58" i="2"/>
  <c r="P60" i="2"/>
  <c r="Q61" i="2"/>
  <c r="O55" i="2"/>
  <c r="O66" i="2" s="1"/>
  <c r="O67" i="2" s="1"/>
  <c r="R53" i="2"/>
  <c r="T49" i="2"/>
  <c r="S47" i="2"/>
  <c r="T43" i="2"/>
  <c r="S41" i="2"/>
  <c r="S40" i="2" l="1"/>
  <c r="Q46" i="2"/>
  <c r="Q52" i="2" s="1"/>
  <c r="Q55" i="2" s="1"/>
  <c r="Q63" i="2"/>
  <c r="Q58" i="2"/>
  <c r="P57" i="2"/>
  <c r="P66" i="2" s="1"/>
  <c r="P67" i="2" s="1"/>
  <c r="R61" i="2"/>
  <c r="Q60" i="2"/>
  <c r="S53" i="2"/>
  <c r="U49" i="2"/>
  <c r="T47" i="2"/>
  <c r="U43" i="2"/>
  <c r="T41" i="2"/>
  <c r="T40" i="2" l="1"/>
  <c r="R46" i="2"/>
  <c r="R52" i="2" s="1"/>
  <c r="R55" i="2" s="1"/>
  <c r="R63" i="2"/>
  <c r="R58" i="2"/>
  <c r="Q57" i="2"/>
  <c r="Q66" i="2" s="1"/>
  <c r="Q67" i="2" s="1"/>
  <c r="S61" i="2"/>
  <c r="R60" i="2"/>
  <c r="T53" i="2"/>
  <c r="V49" i="2"/>
  <c r="V47" i="2" s="1"/>
  <c r="U47" i="2"/>
  <c r="V43" i="2"/>
  <c r="V41" i="2" s="1"/>
  <c r="U41" i="2"/>
  <c r="U40" i="2" l="1"/>
  <c r="V40" i="2" s="1"/>
  <c r="W40" i="2" s="1"/>
  <c r="S46" i="2"/>
  <c r="S52" i="2" s="1"/>
  <c r="S55" i="2" s="1"/>
  <c r="S63" i="2"/>
  <c r="S58" i="2"/>
  <c r="R57" i="2"/>
  <c r="R66" i="2" s="1"/>
  <c r="R67" i="2" s="1"/>
  <c r="T61" i="2"/>
  <c r="S60" i="2"/>
  <c r="U53" i="2"/>
  <c r="T46" i="2" l="1"/>
  <c r="T52" i="2" s="1"/>
  <c r="T55" i="2" s="1"/>
  <c r="T63" i="2"/>
  <c r="T58" i="2"/>
  <c r="S57" i="2"/>
  <c r="S66" i="2" s="1"/>
  <c r="S67" i="2" s="1"/>
  <c r="U61" i="2"/>
  <c r="T60" i="2"/>
  <c r="V53" i="2"/>
  <c r="V63" i="2" l="1"/>
  <c r="U63" i="2"/>
  <c r="U58" i="2"/>
  <c r="T57" i="2"/>
  <c r="T66" i="2" s="1"/>
  <c r="T67" i="2" s="1"/>
  <c r="V61" i="2"/>
  <c r="U60" i="2"/>
  <c r="U46" i="2"/>
  <c r="W63" i="2" l="1"/>
  <c r="V46" i="2"/>
  <c r="V52" i="2" s="1"/>
  <c r="V55" i="2" s="1"/>
  <c r="V60" i="2"/>
  <c r="V58" i="2"/>
  <c r="V57" i="2" s="1"/>
  <c r="U57" i="2"/>
  <c r="U52" i="2"/>
  <c r="U55" i="2" s="1"/>
  <c r="U66" i="2" l="1"/>
  <c r="U67" i="2" s="1"/>
  <c r="V66" i="2"/>
  <c r="V67" i="2" s="1"/>
  <c r="W46" i="2"/>
  <c r="W52" i="2" s="1"/>
  <c r="W55" i="2" s="1"/>
  <c r="W57" i="2"/>
  <c r="W60" i="2"/>
  <c r="W66" i="2" l="1"/>
  <c r="W67" i="2" s="1"/>
  <c r="W69" i="2" l="1"/>
  <c r="W70" i="2" s="1"/>
  <c r="W72" i="2" s="1"/>
  <c r="W75" i="2" s="1"/>
  <c r="W77" i="2" s="1"/>
  <c r="H5" i="2" s="1"/>
  <c r="M4" i="2" l="1"/>
  <c r="Q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A7626-5709-4562-B26E-E4F5890E5D2E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<sst xmlns="http://schemas.openxmlformats.org/spreadsheetml/2006/main" count="239" uniqueCount="175">
  <si>
    <t>TSLA DCF</t>
  </si>
  <si>
    <t>x</t>
  </si>
  <si>
    <t>Ticker</t>
  </si>
  <si>
    <t>Date</t>
  </si>
  <si>
    <t>Assumpitions</t>
  </si>
  <si>
    <t>Income Statement</t>
  </si>
  <si>
    <t>Revenue</t>
  </si>
  <si>
    <t>% growth</t>
  </si>
  <si>
    <t>EBIT</t>
  </si>
  <si>
    <t>% of Sales</t>
  </si>
  <si>
    <t>Tax</t>
  </si>
  <si>
    <t>% of EBIT</t>
  </si>
  <si>
    <t>Cash Flow Items</t>
  </si>
  <si>
    <t>DCF</t>
  </si>
  <si>
    <t>TSLA</t>
  </si>
  <si>
    <t>TSLA-US</t>
  </si>
  <si>
    <t>Income Statement (M)</t>
  </si>
  <si>
    <t>DEC'13</t>
  </si>
  <si>
    <t>DEC'14</t>
  </si>
  <si>
    <t>DEC'15</t>
  </si>
  <si>
    <t>DEC'16</t>
  </si>
  <si>
    <t>DEC'17</t>
  </si>
  <si>
    <t>DEC'18</t>
  </si>
  <si>
    <t>DEC'19</t>
  </si>
  <si>
    <t>DEC'20</t>
  </si>
  <si>
    <t>DEC'21</t>
  </si>
  <si>
    <t>DEC'22E</t>
  </si>
  <si>
    <t>DEC'23E</t>
  </si>
  <si>
    <t>DEC'24E</t>
  </si>
  <si>
    <t>DEC'25E</t>
  </si>
  <si>
    <t>DEC'26E</t>
  </si>
  <si>
    <t>DEC'27E</t>
  </si>
  <si>
    <t>Sales</t>
  </si>
  <si>
    <t>Net Sales</t>
  </si>
  <si>
    <t>Total Revenues</t>
  </si>
  <si>
    <t>Cost of Sales</t>
  </si>
  <si>
    <t>Organic Growth (%)</t>
  </si>
  <si>
    <t>Gross Income</t>
  </si>
  <si>
    <t>SG&amp;A Expense</t>
  </si>
  <si>
    <t>Selling &amp; Marketing Expense</t>
  </si>
  <si>
    <t>General &amp; Admin Expense</t>
  </si>
  <si>
    <t>R&amp;D</t>
  </si>
  <si>
    <t>EBIDTA</t>
  </si>
  <si>
    <t>EBITDA Non- GAAP</t>
  </si>
  <si>
    <t>EBIDTDA GAPP</t>
  </si>
  <si>
    <t>Depr &amp; Amort</t>
  </si>
  <si>
    <t>Opererating Income</t>
  </si>
  <si>
    <t>EBITA</t>
  </si>
  <si>
    <t>Opererating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</si>
  <si>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</si>
  <si>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</si>
  <si>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</si>
  <si>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</si>
  <si>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</si>
  <si>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</si>
  <si>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</si>
  <si>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</si>
  <si>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</si>
  <si>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TSLA INC</t>
  </si>
  <si>
    <t>Net cash used in / provided by opererating activities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</si>
  <si>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</si>
  <si>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</si>
  <si>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</si>
  <si>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</si>
  <si>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</si>
  <si>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</si>
  <si>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</si>
  <si>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</si>
  <si>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</si>
  <si>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</si>
  <si>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Net loss / income</t>
  </si>
  <si>
    <t>Adjustments to reconcile net loss / income to net cash provided by / used in operating activities</t>
  </si>
  <si>
    <t>depreciation and amortization</t>
  </si>
  <si>
    <t>stock-based compensation</t>
  </si>
  <si>
    <t>Other</t>
  </si>
  <si>
    <t>Invesntory and purchase commitments writedowns</t>
  </si>
  <si>
    <t>Amortizationof department of energy (DOE) loan origination costs</t>
  </si>
  <si>
    <t>Change in fair value of department of Energy warrant liability</t>
  </si>
  <si>
    <t>Foreign currency transactions gain / loss</t>
  </si>
  <si>
    <t>Other non- cash operating activities, net</t>
  </si>
  <si>
    <t>discountand premiums on short-term marketable securities</t>
  </si>
  <si>
    <t>Loss on abadonment of fixed asses</t>
  </si>
  <si>
    <t>Amortization of discount on conversatible debtt</t>
  </si>
  <si>
    <t xml:space="preserve">Disposal of property and equipment </t>
  </si>
  <si>
    <t>Other non-cash operating activities</t>
  </si>
  <si>
    <t>Digital assets gain, net</t>
  </si>
  <si>
    <t>Operating cash flow related to repayemnt of dicounted convertible notes</t>
  </si>
  <si>
    <t>Excess tax benefits from stock-based compensation</t>
  </si>
  <si>
    <t>Gain on acuisition of SolarCity</t>
  </si>
  <si>
    <t xml:space="preserve">Changes in operating assets and liabilities </t>
  </si>
  <si>
    <t>Accounts receivable</t>
  </si>
  <si>
    <t>Investories and operating lease vehicles</t>
  </si>
  <si>
    <t>Inventories</t>
  </si>
  <si>
    <t>Operating lease vehicles</t>
  </si>
  <si>
    <t>Prepaid expenses and other current assets</t>
  </si>
  <si>
    <t xml:space="preserve">MyPower customer notes receivable and other assets </t>
  </si>
  <si>
    <t>MyPower notes recivables</t>
  </si>
  <si>
    <t>Other assets</t>
  </si>
  <si>
    <t>Resale value guarantee</t>
  </si>
  <si>
    <t>Other long-term liabilities</t>
  </si>
  <si>
    <t>Accounts payable and accrued liabilities</t>
  </si>
  <si>
    <t>Account payable</t>
  </si>
  <si>
    <t>Account liabilities</t>
  </si>
  <si>
    <t xml:space="preserve">Deferred development compensation </t>
  </si>
  <si>
    <t>deferred revenue</t>
  </si>
  <si>
    <t>customer deposits</t>
  </si>
  <si>
    <t>Net cash used in / provided by investment activities</t>
  </si>
  <si>
    <t>Purschases of property and equipment excluding capital lease</t>
  </si>
  <si>
    <t>Withdrawals out of / transfers into our dedicated department of eneryg account, net</t>
  </si>
  <si>
    <t>Change in restricted cash and other</t>
  </si>
  <si>
    <t>Maturities of short-term marketable securities</t>
  </si>
  <si>
    <t>change in restricterd cash and other</t>
  </si>
  <si>
    <t>Payment for the cost of solar energy systtems, leased and to be leased</t>
  </si>
  <si>
    <t>Purchases of digital assets</t>
  </si>
  <si>
    <t>proceeds from sales of digital assets</t>
  </si>
  <si>
    <t>Purchases of short-term marketables securities</t>
  </si>
  <si>
    <t>D&amp;A</t>
  </si>
  <si>
    <t xml:space="preserve">% of CapEx </t>
  </si>
  <si>
    <t>Capital Expenditures</t>
  </si>
  <si>
    <t>Change in NWC</t>
  </si>
  <si>
    <t>% of Change in Sales</t>
  </si>
  <si>
    <t>Cash flow (M)</t>
  </si>
  <si>
    <t>Capital expenditures</t>
  </si>
  <si>
    <t>Free Cash flow</t>
  </si>
  <si>
    <t>Unlevered Free Cash flow</t>
  </si>
  <si>
    <t xml:space="preserve">Cash flow from investing </t>
  </si>
  <si>
    <t>Casg flow from Financing</t>
  </si>
  <si>
    <t>Share repurchase</t>
  </si>
  <si>
    <t>Deprecation</t>
  </si>
  <si>
    <t>Cash flow from operations</t>
  </si>
  <si>
    <t>Conservative Case</t>
  </si>
  <si>
    <t>Base / Street case</t>
  </si>
  <si>
    <t>Optimistic Case</t>
  </si>
  <si>
    <t>Taxes</t>
  </si>
  <si>
    <t>EBIAT</t>
  </si>
  <si>
    <t>CapEx</t>
  </si>
  <si>
    <t>Unlevered FCF</t>
  </si>
  <si>
    <t>Present FCF</t>
  </si>
  <si>
    <t>Terminal Value</t>
  </si>
  <si>
    <t>Present Value of Terminal Value</t>
  </si>
  <si>
    <t>Enterprise Value</t>
  </si>
  <si>
    <t>(-) Debt</t>
  </si>
  <si>
    <t>(+) Cash</t>
  </si>
  <si>
    <t>Equity Valule</t>
  </si>
  <si>
    <t>Diluted Share Count</t>
  </si>
  <si>
    <t>Implied Share Price</t>
  </si>
  <si>
    <t>Switches</t>
  </si>
  <si>
    <t>WACC</t>
  </si>
  <si>
    <t>Tgt</t>
  </si>
  <si>
    <t>Conservative</t>
  </si>
  <si>
    <t>Base / Street</t>
  </si>
  <si>
    <t>Revenue 2027</t>
  </si>
  <si>
    <t>Optimistic</t>
  </si>
  <si>
    <t>EBIT 2032</t>
  </si>
  <si>
    <t>Revenue 2032</t>
  </si>
  <si>
    <t>Revenue `23 - `24</t>
  </si>
  <si>
    <t>EBIT `23 - `24</t>
  </si>
  <si>
    <t xml:space="preserve"> </t>
  </si>
  <si>
    <t>WACC = % of equity x cost of equity + &amp; of debt x cost of debt x (1-tax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</si>
  <si>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</si>
  <si>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</si>
  <si>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</si>
  <si>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</si>
  <si>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</si>
  <si>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</si>
  <si>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</si>
  <si>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</si>
  <si>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</si>
  <si>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</si>
  <si>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</si>
  <si>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</si>
  <si>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Current Price</t>
  </si>
  <si>
    <t xml:space="preserve">Implied upside / Downside </t>
  </si>
  <si>
    <t>Optimic for TSLA</t>
  </si>
  <si>
    <t>Conservative for 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</si>
</sst>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[$$-409]* #,##0.00_);_([$$-409]* \(#,##0.00\);_([$$-409]* &quot;-&quot;??_);_(@_)"/>
    <numFmt numFmtId="167" formatCode="General&quot; E&quot;"/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3254D"/>
        <bgColor indexed="64"/>
      </patternFill>
    </fill>
    <fill>
      <patternFill patternType="solid">
        <fgColor rgb="FF279C9C"/>
        <bgColor indexed="64"/>
      </patternFill>
    </fill>
    <fill>
      <patternFill patternType="solid">
        <fgColor rgb="FFF2F5F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/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43" fontId="0" fillId="0" borderId="0" xfId="1" applyFont="1"/>
    <xf numFmtId="164" fontId="0" fillId="0" borderId="0" xfId="1" applyNumberFormat="1" applyFont="1"/>
    <xf numFmtId="0" fontId="6" fillId="0" borderId="0" xfId="0" applyFont="1"/>
    <xf numFmtId="165" fontId="6" fillId="0" borderId="0" xfId="1" applyNumberFormat="1" applyFont="1"/>
    <xf numFmtId="164" fontId="6" fillId="0" borderId="0" xfId="1" applyNumberFormat="1" applyFont="1"/>
    <xf numFmtId="0" fontId="7" fillId="0" borderId="0" xfId="0" applyFont="1"/>
    <xf numFmtId="0" fontId="8" fillId="0" borderId="0" xfId="0" applyFont="1"/>
    <xf numFmtId="165" fontId="9" fillId="0" borderId="0" xfId="1" applyNumberFormat="1" applyFont="1"/>
    <xf numFmtId="9" fontId="0" fillId="0" borderId="0" xfId="2" applyFont="1"/>
    <xf numFmtId="0" fontId="2" fillId="0" borderId="0" xfId="0" applyFont="1"/>
    <xf numFmtId="165" fontId="9" fillId="0" borderId="0" xfId="1" applyNumberFormat="1" applyFont="1" applyFill="1"/>
    <xf numFmtId="0" fontId="3" fillId="0" borderId="0" xfId="0" applyFont="1"/>
    <xf numFmtId="0" fontId="0" fillId="0" borderId="0" xfId="0" applyAlignment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0" fillId="0" borderId="0" xfId="0" applyAlignment="1">
      <alignment horizontal="left" indent="6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3" fillId="0" borderId="0" xfId="0" applyFont="1" applyAlignment="1">
      <alignment horizontal="left" indent="8"/>
    </xf>
    <xf numFmtId="164" fontId="3" fillId="0" borderId="0" xfId="1" applyNumberFormat="1" applyFont="1"/>
    <xf numFmtId="166" fontId="8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43" fontId="6" fillId="0" borderId="0" xfId="1" applyFont="1"/>
    <xf numFmtId="165" fontId="10" fillId="0" borderId="0" xfId="0" applyNumberFormat="1" applyFont="1"/>
    <xf numFmtId="165" fontId="9" fillId="3" borderId="0" xfId="1" applyNumberFormat="1" applyFont="1" applyFill="1"/>
    <xf numFmtId="9" fontId="0" fillId="3" borderId="0" xfId="2" applyFont="1" applyFill="1"/>
    <xf numFmtId="0" fontId="11" fillId="0" borderId="0" xfId="0" applyFont="1"/>
    <xf numFmtId="165" fontId="9" fillId="0" borderId="0" xfId="1" applyNumberFormat="1" applyFont="1" applyBorder="1"/>
    <xf numFmtId="9" fontId="0" fillId="0" borderId="0" xfId="2" applyFont="1" applyBorder="1"/>
    <xf numFmtId="9" fontId="5" fillId="0" borderId="0" xfId="0" applyNumberFormat="1" applyFont="1"/>
    <xf numFmtId="165" fontId="14" fillId="0" borderId="0" xfId="0" applyNumberFormat="1" applyFont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165" fontId="0" fillId="0" borderId="7" xfId="0" applyNumberFormat="1" applyBorder="1"/>
    <xf numFmtId="43" fontId="17" fillId="0" borderId="0" xfId="0" applyNumberFormat="1" applyFont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4" borderId="0" xfId="0" applyFont="1" applyFill="1"/>
    <xf numFmtId="10" fontId="15" fillId="2" borderId="3" xfId="0" applyNumberFormat="1" applyFont="1" applyFill="1" applyBorder="1"/>
    <xf numFmtId="10" fontId="0" fillId="0" borderId="0" xfId="0" applyNumberFormat="1"/>
    <xf numFmtId="10" fontId="0" fillId="0" borderId="12" xfId="0" applyNumberFormat="1" applyBorder="1"/>
    <xf numFmtId="10" fontId="2" fillId="4" borderId="0" xfId="0" applyNumberFormat="1" applyFont="1" applyFill="1"/>
    <xf numFmtId="10" fontId="0" fillId="0" borderId="0" xfId="2" applyNumberFormat="1" applyFont="1"/>
    <xf numFmtId="10" fontId="15" fillId="2" borderId="3" xfId="2" applyNumberFormat="1" applyFont="1" applyFill="1" applyBorder="1"/>
    <xf numFmtId="0" fontId="0" fillId="0" borderId="14" xfId="0" applyBorder="1"/>
    <xf numFmtId="0" fontId="0" fillId="0" borderId="15" xfId="0" applyBorder="1"/>
    <xf numFmtId="10" fontId="0" fillId="0" borderId="16" xfId="0" applyNumberFormat="1" applyBorder="1"/>
    <xf numFmtId="165" fontId="0" fillId="0" borderId="12" xfId="0" applyNumberFormat="1" applyBorder="1"/>
    <xf numFmtId="165" fontId="15" fillId="2" borderId="3" xfId="1" applyNumberFormat="1" applyFont="1" applyFill="1" applyBorder="1"/>
    <xf numFmtId="165" fontId="0" fillId="0" borderId="0" xfId="0" applyNumberFormat="1"/>
    <xf numFmtId="166" fontId="0" fillId="0" borderId="0" xfId="0" applyNumberFormat="1"/>
    <xf numFmtId="165" fontId="0" fillId="0" borderId="13" xfId="0" applyNumberFormat="1" applyBorder="1"/>
    <xf numFmtId="0" fontId="18" fillId="0" borderId="1" xfId="0" applyFont="1" applyBorder="1"/>
    <xf numFmtId="0" fontId="18" fillId="0" borderId="0" xfId="0" applyFont="1"/>
    <xf numFmtId="0" fontId="19" fillId="0" borderId="0" xfId="0" applyFont="1"/>
    <xf numFmtId="0" fontId="2" fillId="5" borderId="0" xfId="0" applyFont="1" applyFill="1"/>
    <xf numFmtId="167" fontId="2" fillId="5" borderId="0" xfId="0" applyNumberFormat="1" applyFont="1" applyFill="1"/>
    <xf numFmtId="166" fontId="0" fillId="6" borderId="0" xfId="0" applyNumberFormat="1" applyFill="1"/>
    <xf numFmtId="0" fontId="0" fillId="7" borderId="2" xfId="0" applyFill="1" applyBorder="1"/>
    <xf numFmtId="168" fontId="0" fillId="7" borderId="4" xfId="2" applyNumberFormat="1" applyFont="1" applyFill="1" applyBorder="1"/>
    <xf numFmtId="10" fontId="0" fillId="7" borderId="2" xfId="2" applyNumberFormat="1" applyFont="1" applyFill="1" applyBorder="1"/>
    <xf numFmtId="10" fontId="0" fillId="7" borderId="2" xfId="0" applyNumberFormat="1" applyFill="1" applyBorder="1"/>
    <xf numFmtId="10" fontId="0" fillId="7" borderId="4" xfId="2" applyNumberFormat="1" applyFont="1" applyFill="1" applyBorder="1"/>
    <xf numFmtId="0" fontId="0" fillId="7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9" fontId="12" fillId="7" borderId="2" xfId="0" applyNumberFormat="1" applyFont="1" applyFill="1" applyBorder="1"/>
    <xf numFmtId="9" fontId="13" fillId="7" borderId="3" xfId="0" applyNumberFormat="1" applyFont="1" applyFill="1" applyBorder="1"/>
    <xf numFmtId="9" fontId="15" fillId="7" borderId="3" xfId="0" applyNumberFormat="1" applyFont="1" applyFill="1" applyBorder="1"/>
    <xf numFmtId="9" fontId="5" fillId="7" borderId="3" xfId="0" applyNumberFormat="1" applyFont="1" applyFill="1" applyBorder="1"/>
    <xf numFmtId="9" fontId="16" fillId="7" borderId="3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F5F7"/>
      <color rgb="FF279C9C"/>
      <color rgb="FF232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8A5F-A577-42C3-97EF-6781D4C74E68}">
  <dimension ref="A2:X77"/>
  <sheetViews>
    <sheetView showGridLines="0" tabSelected="1" zoomScaleNormal="100" workbookViewId="0">
      <selection activeCell="R14" sqref="R14"/>
    </sheetView>
  </sheetViews>
  <sheetFormatPr defaultRowHeight="14.6" outlineLevelRow="1" x14ac:dyDescent="0.4"/>
  <cols>
    <col min="1" max="1" width="3.61328125" style="71" customWidth="1"/>
    <col min="3" max="3" width="9.3828125" bestFit="1" customWidth="1"/>
    <col min="4" max="4" width="9.61328125" bestFit="1" customWidth="1"/>
    <col min="5" max="7" width="9.3046875" bestFit="1" customWidth="1"/>
    <col min="8" max="8" width="17.61328125" customWidth="1"/>
    <col min="9" max="13" width="10.07421875" bestFit="1" customWidth="1"/>
    <col min="14" max="14" width="11.07421875" customWidth="1"/>
    <col min="15" max="23" width="11.4609375" customWidth="1"/>
  </cols>
  <sheetData>
    <row r="2" spans="1:23" s="2" customFormat="1" ht="16.3" thickBot="1" x14ac:dyDescent="0.5">
      <c r="A2" s="70"/>
      <c r="B2" s="1" t="s">
        <v>0</v>
      </c>
    </row>
    <row r="4" spans="1:23" x14ac:dyDescent="0.4">
      <c r="A4" s="71" t="s">
        <v>1</v>
      </c>
      <c r="B4" t="s">
        <v>2</v>
      </c>
      <c r="C4" s="81" t="s">
        <v>14</v>
      </c>
      <c r="E4" t="s">
        <v>171</v>
      </c>
      <c r="H4" s="68">
        <v>127.17</v>
      </c>
      <c r="J4" t="s">
        <v>172</v>
      </c>
      <c r="M4" s="12">
        <f ca="1">H5/H4-1</f>
        <v>5.2150026169790475E-2</v>
      </c>
      <c r="O4" t="s">
        <v>173</v>
      </c>
    </row>
    <row r="5" spans="1:23" x14ac:dyDescent="0.4">
      <c r="B5" t="s">
        <v>3</v>
      </c>
      <c r="C5" s="82">
        <v>44945</v>
      </c>
      <c r="E5" t="s">
        <v>145</v>
      </c>
      <c r="H5" s="68">
        <f ca="1">W77</f>
        <v>133.80191882801225</v>
      </c>
      <c r="O5" t="s">
        <v>174</v>
      </c>
      <c r="Q5" s="68">
        <f ca="1">H5</f>
        <v>133.80191882801225</v>
      </c>
    </row>
    <row r="7" spans="1:23" x14ac:dyDescent="0.4">
      <c r="A7" s="71" t="s">
        <v>1</v>
      </c>
      <c r="B7" s="73" t="s">
        <v>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 s="15" customFormat="1" x14ac:dyDescent="0.4">
      <c r="A8" s="13"/>
      <c r="B8" s="39" t="s">
        <v>146</v>
      </c>
      <c r="F8" s="39" t="s">
        <v>149</v>
      </c>
      <c r="J8" s="39" t="s">
        <v>150</v>
      </c>
      <c r="N8" s="39" t="s">
        <v>152</v>
      </c>
    </row>
    <row r="9" spans="1:23" x14ac:dyDescent="0.4">
      <c r="B9" t="s">
        <v>6</v>
      </c>
      <c r="D9" s="76">
        <v>2</v>
      </c>
      <c r="F9" t="s">
        <v>155</v>
      </c>
      <c r="H9" s="77">
        <v>-0.02</v>
      </c>
      <c r="N9" t="s">
        <v>155</v>
      </c>
      <c r="P9" s="77">
        <v>0.04</v>
      </c>
    </row>
    <row r="10" spans="1:23" x14ac:dyDescent="0.4">
      <c r="B10" t="s">
        <v>8</v>
      </c>
      <c r="D10" s="76">
        <v>2</v>
      </c>
      <c r="F10" t="s">
        <v>154</v>
      </c>
      <c r="H10" s="77">
        <v>0.02</v>
      </c>
      <c r="J10" t="s">
        <v>154</v>
      </c>
      <c r="L10" s="77">
        <v>7.0000000000000007E-2</v>
      </c>
      <c r="N10" t="s">
        <v>151</v>
      </c>
      <c r="P10" s="77">
        <v>0.11</v>
      </c>
    </row>
    <row r="11" spans="1:23" x14ac:dyDescent="0.4">
      <c r="B11" t="s">
        <v>147</v>
      </c>
      <c r="D11" s="76">
        <v>2</v>
      </c>
      <c r="F11" t="s">
        <v>156</v>
      </c>
      <c r="H11" s="77">
        <v>-5.0000000000000001E-3</v>
      </c>
      <c r="N11" t="s">
        <v>156</v>
      </c>
      <c r="P11" s="77">
        <v>5.0000000000000001E-3</v>
      </c>
    </row>
    <row r="12" spans="1:23" x14ac:dyDescent="0.4">
      <c r="B12" t="s">
        <v>148</v>
      </c>
      <c r="D12" s="76">
        <v>3</v>
      </c>
      <c r="F12" t="s">
        <v>153</v>
      </c>
      <c r="H12" s="77">
        <v>0.21</v>
      </c>
      <c r="J12" t="s">
        <v>153</v>
      </c>
      <c r="L12" s="77">
        <v>0.23</v>
      </c>
      <c r="N12" t="s">
        <v>153</v>
      </c>
      <c r="P12" s="77">
        <v>0.25</v>
      </c>
    </row>
    <row r="13" spans="1:23" x14ac:dyDescent="0.4">
      <c r="F13" t="s">
        <v>147</v>
      </c>
      <c r="H13" s="78">
        <f>L13+0.5%</f>
        <v>0.12527218608753168</v>
      </c>
      <c r="I13" s="60"/>
      <c r="J13" s="60" t="s">
        <v>147</v>
      </c>
      <c r="K13" s="60"/>
      <c r="L13" s="80">
        <f>WACC!G22</f>
        <v>0.12027218608753169</v>
      </c>
      <c r="M13" s="60"/>
      <c r="N13" s="60" t="s">
        <v>147</v>
      </c>
      <c r="O13" s="60"/>
      <c r="P13" s="78">
        <f>L13-1%</f>
        <v>0.1102721860875317</v>
      </c>
    </row>
    <row r="14" spans="1:23" x14ac:dyDescent="0.4">
      <c r="B14" t="s">
        <v>147</v>
      </c>
      <c r="D14" s="79">
        <f>CHOOSE(D11,H13,L13,P13)</f>
        <v>0.12027218608753169</v>
      </c>
      <c r="F14" t="s">
        <v>148</v>
      </c>
      <c r="H14" s="78">
        <v>0.02</v>
      </c>
      <c r="J14" t="s">
        <v>148</v>
      </c>
      <c r="L14" s="78">
        <v>2.5000000000000001E-2</v>
      </c>
      <c r="N14" t="s">
        <v>148</v>
      </c>
      <c r="P14" s="78">
        <v>0.03</v>
      </c>
    </row>
    <row r="15" spans="1:23" x14ac:dyDescent="0.4">
      <c r="B15" t="s">
        <v>148</v>
      </c>
      <c r="D15" s="79">
        <f>CHOOSE(D12,H14,L14,P14)</f>
        <v>0.03</v>
      </c>
    </row>
    <row r="17" spans="1:23" outlineLevel="1" x14ac:dyDescent="0.4">
      <c r="A17" s="71" t="s">
        <v>1</v>
      </c>
      <c r="B17" s="73" t="s">
        <v>5</v>
      </c>
      <c r="C17" s="73"/>
      <c r="D17" s="73">
        <v>2013</v>
      </c>
      <c r="E17" s="73">
        <f>D17+1</f>
        <v>2014</v>
      </c>
      <c r="F17" s="73">
        <f t="shared" ref="F17:R17" si="0">E17+1</f>
        <v>2015</v>
      </c>
      <c r="G17" s="73">
        <f t="shared" si="0"/>
        <v>2016</v>
      </c>
      <c r="H17" s="73">
        <f t="shared" si="0"/>
        <v>2017</v>
      </c>
      <c r="I17" s="73">
        <f t="shared" si="0"/>
        <v>2018</v>
      </c>
      <c r="J17" s="73">
        <f t="shared" si="0"/>
        <v>2019</v>
      </c>
      <c r="K17" s="73">
        <f t="shared" si="0"/>
        <v>2020</v>
      </c>
      <c r="L17" s="73">
        <f t="shared" si="0"/>
        <v>2021</v>
      </c>
      <c r="M17" s="73">
        <f t="shared" si="0"/>
        <v>2022</v>
      </c>
      <c r="N17" s="74">
        <f t="shared" si="0"/>
        <v>2023</v>
      </c>
      <c r="O17" s="74">
        <f t="shared" si="0"/>
        <v>2024</v>
      </c>
      <c r="P17" s="74">
        <f t="shared" si="0"/>
        <v>2025</v>
      </c>
      <c r="Q17" s="74">
        <f t="shared" si="0"/>
        <v>2026</v>
      </c>
      <c r="R17" s="74">
        <f t="shared" si="0"/>
        <v>2027</v>
      </c>
      <c r="S17" s="13"/>
      <c r="T17" s="13"/>
      <c r="U17" s="13"/>
      <c r="V17" s="13"/>
      <c r="W17" s="13"/>
    </row>
    <row r="18" spans="1:23" outlineLevel="1" x14ac:dyDescent="0.4">
      <c r="B18" t="s">
        <v>6</v>
      </c>
      <c r="D18" s="11">
        <f>IS!B4</f>
        <v>2478</v>
      </c>
      <c r="E18" s="11">
        <f>IS!C4</f>
        <v>3599</v>
      </c>
      <c r="F18" s="11">
        <f>IS!D4</f>
        <v>5292</v>
      </c>
      <c r="G18" s="11">
        <f>IS!E4</f>
        <v>7000</v>
      </c>
      <c r="H18" s="11">
        <f>IS!F4</f>
        <v>11759</v>
      </c>
      <c r="I18" s="11">
        <f>IS!G4</f>
        <v>21461</v>
      </c>
      <c r="J18" s="11">
        <f>IS!H4</f>
        <v>24578</v>
      </c>
      <c r="K18" s="11">
        <f>IS!I4</f>
        <v>31536</v>
      </c>
      <c r="L18" s="11">
        <f>IS!J4</f>
        <v>53823</v>
      </c>
      <c r="M18" s="40">
        <f>IS!K4</f>
        <v>82232</v>
      </c>
      <c r="N18" s="11">
        <f>IS!L4</f>
        <v>110185</v>
      </c>
      <c r="O18" s="11">
        <f>IS!M4</f>
        <v>143698</v>
      </c>
      <c r="P18" s="37">
        <f>IS!N4</f>
        <v>180566</v>
      </c>
      <c r="Q18" s="37">
        <f>IS!O4</f>
        <v>156708</v>
      </c>
      <c r="R18" s="37">
        <f>IS!P4</f>
        <v>220938</v>
      </c>
      <c r="S18" s="14"/>
      <c r="T18" s="14"/>
      <c r="U18" s="14"/>
      <c r="V18" s="14"/>
      <c r="W18" s="14"/>
    </row>
    <row r="19" spans="1:23" outlineLevel="1" x14ac:dyDescent="0.4">
      <c r="B19" s="3" t="s">
        <v>7</v>
      </c>
      <c r="E19" s="12">
        <f>E18/D18-1</f>
        <v>0.45238095238095233</v>
      </c>
      <c r="F19" s="12">
        <f t="shared" ref="F19:R19" si="1">F18/E18-1</f>
        <v>0.4704084467907752</v>
      </c>
      <c r="G19" s="12">
        <f t="shared" si="1"/>
        <v>0.32275132275132279</v>
      </c>
      <c r="H19" s="12">
        <f t="shared" si="1"/>
        <v>0.67985714285714294</v>
      </c>
      <c r="I19" s="12">
        <f t="shared" si="1"/>
        <v>0.8250701590271281</v>
      </c>
      <c r="J19" s="12">
        <f t="shared" si="1"/>
        <v>0.14524020315921904</v>
      </c>
      <c r="K19" s="12">
        <f t="shared" si="1"/>
        <v>0.28309870615998056</v>
      </c>
      <c r="L19" s="12">
        <f t="shared" si="1"/>
        <v>0.70671613394216126</v>
      </c>
      <c r="M19" s="41">
        <f t="shared" si="1"/>
        <v>0.52782267803727034</v>
      </c>
      <c r="N19" s="12">
        <f t="shared" si="1"/>
        <v>0.33992849498978495</v>
      </c>
      <c r="O19" s="12">
        <f t="shared" si="1"/>
        <v>0.30415210781866864</v>
      </c>
      <c r="P19" s="38">
        <f t="shared" si="1"/>
        <v>0.25656585338696436</v>
      </c>
      <c r="Q19" s="38">
        <f t="shared" si="1"/>
        <v>-0.13212897223176012</v>
      </c>
      <c r="R19" s="38">
        <f t="shared" si="1"/>
        <v>0.40987058733440529</v>
      </c>
    </row>
    <row r="20" spans="1:23" outlineLevel="1" x14ac:dyDescent="0.4"/>
    <row r="21" spans="1:23" outlineLevel="1" x14ac:dyDescent="0.4">
      <c r="B21" t="s">
        <v>8</v>
      </c>
      <c r="D21" s="11">
        <f>IS!B18</f>
        <v>100</v>
      </c>
      <c r="E21" s="11">
        <f>IS!C18</f>
        <v>52</v>
      </c>
      <c r="F21" s="11">
        <f>IS!D18</f>
        <v>-209</v>
      </c>
      <c r="G21" s="11">
        <f>IS!E18</f>
        <v>-317</v>
      </c>
      <c r="H21" s="11">
        <f>IS!F18</f>
        <v>-1165</v>
      </c>
      <c r="I21" s="11">
        <f>IS!G18</f>
        <v>-388</v>
      </c>
      <c r="J21" s="11">
        <f>IS!H18</f>
        <v>-69</v>
      </c>
      <c r="K21" s="11">
        <f>IS!I18</f>
        <v>1994</v>
      </c>
      <c r="L21" s="11">
        <f>IS!J18</f>
        <v>6523</v>
      </c>
      <c r="M21" s="40">
        <f>IS!K18</f>
        <v>14138</v>
      </c>
      <c r="N21" s="11">
        <f>IS!L18</f>
        <v>18462</v>
      </c>
      <c r="O21" s="11">
        <f>IS!M18</f>
        <v>26558</v>
      </c>
      <c r="P21" s="37">
        <f>IS!N18</f>
        <v>31993</v>
      </c>
      <c r="Q21" s="37">
        <f>IS!O18</f>
        <v>26616</v>
      </c>
      <c r="R21" s="37">
        <f>IS!P18</f>
        <v>29270</v>
      </c>
      <c r="S21" s="14"/>
      <c r="T21" s="14"/>
      <c r="U21" s="14"/>
      <c r="V21" s="14"/>
      <c r="W21" s="14"/>
    </row>
    <row r="22" spans="1:23" outlineLevel="1" x14ac:dyDescent="0.4">
      <c r="B22" s="3" t="s">
        <v>9</v>
      </c>
      <c r="D22" s="12">
        <f>D21/D18</f>
        <v>4.0355125100887811E-2</v>
      </c>
      <c r="E22" s="12">
        <f t="shared" ref="E22:R22" si="2">E21/E18</f>
        <v>1.4448457904973604E-2</v>
      </c>
      <c r="F22" s="12">
        <f t="shared" si="2"/>
        <v>-3.9493575207860919E-2</v>
      </c>
      <c r="G22" s="12">
        <f t="shared" si="2"/>
        <v>-4.5285714285714283E-2</v>
      </c>
      <c r="H22" s="12">
        <f t="shared" si="2"/>
        <v>-9.9073050429458284E-2</v>
      </c>
      <c r="I22" s="12">
        <f t="shared" si="2"/>
        <v>-1.8079306649270769E-2</v>
      </c>
      <c r="J22" s="12">
        <f t="shared" si="2"/>
        <v>-2.8073887216209618E-3</v>
      </c>
      <c r="K22" s="12">
        <f t="shared" si="2"/>
        <v>6.3229325215626589E-2</v>
      </c>
      <c r="L22" s="12">
        <f t="shared" si="2"/>
        <v>0.12119354179440016</v>
      </c>
      <c r="M22" s="41">
        <f t="shared" si="2"/>
        <v>0.17192820313260046</v>
      </c>
      <c r="N22" s="12">
        <f t="shared" si="2"/>
        <v>0.16755456731860052</v>
      </c>
      <c r="O22" s="12">
        <f t="shared" si="2"/>
        <v>0.1848181603084246</v>
      </c>
      <c r="P22" s="38">
        <f t="shared" si="2"/>
        <v>0.17718175071718928</v>
      </c>
      <c r="Q22" s="38">
        <f t="shared" si="2"/>
        <v>0.16984455165020293</v>
      </c>
      <c r="R22" s="38">
        <f t="shared" si="2"/>
        <v>0.13248060541871476</v>
      </c>
    </row>
    <row r="23" spans="1:23" outlineLevel="1" x14ac:dyDescent="0.4"/>
    <row r="24" spans="1:23" outlineLevel="1" x14ac:dyDescent="0.4">
      <c r="B24" t="s">
        <v>10</v>
      </c>
      <c r="D24" s="11">
        <f>IS!B26</f>
        <v>3</v>
      </c>
      <c r="E24" s="11">
        <f>IS!C26</f>
        <v>9</v>
      </c>
      <c r="F24" s="11">
        <f>IS!D26</f>
        <v>13</v>
      </c>
      <c r="G24" s="11">
        <f>IS!E26</f>
        <v>27</v>
      </c>
      <c r="H24" s="11">
        <f>IS!F26</f>
        <v>32</v>
      </c>
      <c r="I24" s="11">
        <f>IS!G26</f>
        <v>58</v>
      </c>
      <c r="J24" s="11">
        <f>IS!H26</f>
        <v>110</v>
      </c>
      <c r="K24" s="11">
        <f>IS!I26</f>
        <v>292</v>
      </c>
      <c r="L24" s="11">
        <f>IS!J26</f>
        <v>699</v>
      </c>
      <c r="M24" s="40">
        <f>IS!K26</f>
        <v>1476</v>
      </c>
      <c r="N24" s="11">
        <f>IS!L26</f>
        <v>2807</v>
      </c>
      <c r="O24" s="11">
        <f>IS!M26</f>
        <v>4410</v>
      </c>
      <c r="P24" s="37">
        <f>IS!N26</f>
        <v>6073</v>
      </c>
      <c r="Q24" s="37">
        <f>IS!O26</f>
        <v>5577</v>
      </c>
      <c r="R24" s="37">
        <f>IS!P26</f>
        <v>5860</v>
      </c>
    </row>
    <row r="25" spans="1:23" outlineLevel="1" x14ac:dyDescent="0.4">
      <c r="B25" s="3" t="s">
        <v>11</v>
      </c>
      <c r="D25" s="12">
        <f>D24/D21</f>
        <v>0.03</v>
      </c>
      <c r="E25" s="12">
        <f t="shared" ref="E25:R25" si="3">E24/E21</f>
        <v>0.17307692307692307</v>
      </c>
      <c r="F25" s="12">
        <f t="shared" si="3"/>
        <v>-6.2200956937799042E-2</v>
      </c>
      <c r="G25" s="12">
        <f t="shared" si="3"/>
        <v>-8.5173501577287064E-2</v>
      </c>
      <c r="H25" s="12">
        <f t="shared" si="3"/>
        <v>-2.7467811158798282E-2</v>
      </c>
      <c r="I25" s="12">
        <f t="shared" si="3"/>
        <v>-0.14948453608247422</v>
      </c>
      <c r="J25" s="12">
        <f t="shared" si="3"/>
        <v>-1.5942028985507246</v>
      </c>
      <c r="K25" s="12">
        <f t="shared" si="3"/>
        <v>0.14643931795386159</v>
      </c>
      <c r="L25" s="12">
        <f t="shared" si="3"/>
        <v>0.10715928253870918</v>
      </c>
      <c r="M25" s="41">
        <f t="shared" si="3"/>
        <v>0.10439949073419154</v>
      </c>
      <c r="N25" s="12">
        <f t="shared" si="3"/>
        <v>0.15204203228252627</v>
      </c>
      <c r="O25" s="12">
        <f t="shared" si="3"/>
        <v>0.16605166051660517</v>
      </c>
      <c r="P25" s="38">
        <f t="shared" si="3"/>
        <v>0.18982277373175382</v>
      </c>
      <c r="Q25" s="38">
        <f t="shared" si="3"/>
        <v>0.20953561767357981</v>
      </c>
      <c r="R25" s="38">
        <f t="shared" si="3"/>
        <v>0.2002049880423642</v>
      </c>
    </row>
    <row r="26" spans="1:23" outlineLevel="1" x14ac:dyDescent="0.4"/>
    <row r="27" spans="1:23" outlineLevel="1" x14ac:dyDescent="0.4">
      <c r="A27" s="71" t="s">
        <v>1</v>
      </c>
      <c r="B27" s="73" t="s">
        <v>12</v>
      </c>
      <c r="C27" s="73"/>
      <c r="D27" s="73">
        <v>2013</v>
      </c>
      <c r="E27" s="73">
        <f>D27+1</f>
        <v>2014</v>
      </c>
      <c r="F27" s="73">
        <f t="shared" ref="F27:R27" si="4">E27+1</f>
        <v>2015</v>
      </c>
      <c r="G27" s="73">
        <f t="shared" si="4"/>
        <v>2016</v>
      </c>
      <c r="H27" s="73">
        <f t="shared" si="4"/>
        <v>2017</v>
      </c>
      <c r="I27" s="73">
        <f t="shared" si="4"/>
        <v>2018</v>
      </c>
      <c r="J27" s="73">
        <f t="shared" si="4"/>
        <v>2019</v>
      </c>
      <c r="K27" s="73">
        <f t="shared" si="4"/>
        <v>2020</v>
      </c>
      <c r="L27" s="73">
        <f t="shared" si="4"/>
        <v>2021</v>
      </c>
      <c r="M27" s="73">
        <f t="shared" si="4"/>
        <v>2022</v>
      </c>
      <c r="N27" s="74">
        <f t="shared" si="4"/>
        <v>2023</v>
      </c>
      <c r="O27" s="74">
        <f t="shared" si="4"/>
        <v>2024</v>
      </c>
      <c r="P27" s="74">
        <f t="shared" si="4"/>
        <v>2025</v>
      </c>
      <c r="Q27" s="74">
        <f t="shared" si="4"/>
        <v>2026</v>
      </c>
      <c r="R27" s="74">
        <f t="shared" si="4"/>
        <v>2027</v>
      </c>
      <c r="S27" s="13"/>
      <c r="T27" s="13"/>
      <c r="U27" s="13"/>
      <c r="V27" s="13"/>
      <c r="W27" s="13"/>
    </row>
    <row r="28" spans="1:23" outlineLevel="1" x14ac:dyDescent="0.4">
      <c r="B28" t="s">
        <v>116</v>
      </c>
      <c r="D28" s="11">
        <f>'CFS Est.'!B12</f>
        <v>106</v>
      </c>
      <c r="E28" s="11">
        <f>'CFS Est.'!C12</f>
        <v>232</v>
      </c>
      <c r="F28" s="11">
        <f>'CFS Est.'!D12</f>
        <v>423</v>
      </c>
      <c r="G28" s="11">
        <f>'CFS Est.'!E12</f>
        <v>947</v>
      </c>
      <c r="H28" s="11">
        <f>'CFS Est.'!F12</f>
        <v>1636</v>
      </c>
      <c r="I28" s="11">
        <f>'CFS Est.'!G12</f>
        <v>1901</v>
      </c>
      <c r="J28" s="11">
        <f>'CFS Est.'!H12</f>
        <v>2154</v>
      </c>
      <c r="K28" s="11">
        <f>'CFS Est.'!I12</f>
        <v>2322</v>
      </c>
      <c r="L28" s="11">
        <f>'CFS Est.'!J12</f>
        <v>2911</v>
      </c>
      <c r="M28" s="40">
        <f>'CFS Est.'!K12</f>
        <v>3724</v>
      </c>
      <c r="N28" s="11">
        <f>'CFS Est.'!L12</f>
        <v>4413</v>
      </c>
      <c r="O28" s="11">
        <f>'CFS Est.'!M12</f>
        <v>5114</v>
      </c>
      <c r="P28" s="37">
        <f>'CFS Est.'!N12</f>
        <v>5577</v>
      </c>
      <c r="Q28" s="37">
        <f>'CFS Est.'!O12</f>
        <v>62118</v>
      </c>
      <c r="R28" s="37">
        <f>'CFS Est.'!P12</f>
        <v>7108</v>
      </c>
    </row>
    <row r="29" spans="1:23" outlineLevel="1" x14ac:dyDescent="0.4">
      <c r="B29" s="3" t="s">
        <v>9</v>
      </c>
      <c r="D29" s="12">
        <f>D28/D18</f>
        <v>4.2776432606941084E-2</v>
      </c>
      <c r="E29" s="12">
        <f t="shared" ref="E29:R29" si="5">E28/E18</f>
        <v>6.4462350652959161E-2</v>
      </c>
      <c r="F29" s="12">
        <f t="shared" si="5"/>
        <v>7.9931972789115652E-2</v>
      </c>
      <c r="G29" s="12">
        <f t="shared" si="5"/>
        <v>0.13528571428571429</v>
      </c>
      <c r="H29" s="12">
        <f t="shared" si="5"/>
        <v>0.13912747682626073</v>
      </c>
      <c r="I29" s="12">
        <f t="shared" si="5"/>
        <v>8.8579283351195193E-2</v>
      </c>
      <c r="J29" s="12">
        <f t="shared" si="5"/>
        <v>8.7639352266254369E-2</v>
      </c>
      <c r="K29" s="12">
        <f t="shared" si="5"/>
        <v>7.3630136986301373E-2</v>
      </c>
      <c r="L29" s="12">
        <f t="shared" si="5"/>
        <v>5.4084684985972541E-2</v>
      </c>
      <c r="M29" s="41">
        <f t="shared" si="5"/>
        <v>4.5286506469500921E-2</v>
      </c>
      <c r="N29" s="12">
        <f t="shared" si="5"/>
        <v>4.0050823614829603E-2</v>
      </c>
      <c r="O29" s="12">
        <f t="shared" si="5"/>
        <v>3.5588525936338711E-2</v>
      </c>
      <c r="P29" s="38">
        <f t="shared" si="5"/>
        <v>3.0886213351350753E-2</v>
      </c>
      <c r="Q29" s="38">
        <f t="shared" si="5"/>
        <v>0.39639329198254075</v>
      </c>
      <c r="R29" s="38">
        <f t="shared" si="5"/>
        <v>3.2171921534548155E-2</v>
      </c>
    </row>
    <row r="30" spans="1:23" outlineLevel="1" x14ac:dyDescent="0.4">
      <c r="B30" s="3" t="s">
        <v>117</v>
      </c>
      <c r="D30" s="12">
        <f>D28/D32</f>
        <v>0.40151515151515149</v>
      </c>
      <c r="E30" s="12">
        <f t="shared" ref="E30:R30" si="6">E28/E32</f>
        <v>0.23917525773195877</v>
      </c>
      <c r="F30" s="12">
        <f t="shared" si="6"/>
        <v>0.25871559633027524</v>
      </c>
      <c r="G30" s="12">
        <f t="shared" si="6"/>
        <v>0.73926619828259177</v>
      </c>
      <c r="H30" s="12">
        <f t="shared" si="6"/>
        <v>0.47906295754026357</v>
      </c>
      <c r="I30" s="12">
        <f t="shared" si="6"/>
        <v>0.90480723465016655</v>
      </c>
      <c r="J30" s="12">
        <f t="shared" si="6"/>
        <v>1.6232102486812359</v>
      </c>
      <c r="K30" s="12">
        <f t="shared" si="6"/>
        <v>0.73550839404497936</v>
      </c>
      <c r="L30" s="12">
        <f t="shared" si="6"/>
        <v>0.44908978710274605</v>
      </c>
      <c r="M30" s="41">
        <f t="shared" si="6"/>
        <v>0.5139387248136903</v>
      </c>
      <c r="N30" s="12">
        <f t="shared" si="6"/>
        <v>0.55896136795440154</v>
      </c>
      <c r="O30" s="12">
        <f t="shared" si="6"/>
        <v>0.5823274880437258</v>
      </c>
      <c r="P30" s="38">
        <f t="shared" si="6"/>
        <v>0.62410474485228296</v>
      </c>
      <c r="Q30" s="38">
        <f t="shared" si="6"/>
        <v>6.2223780426725437</v>
      </c>
      <c r="R30" s="38">
        <f t="shared" si="6"/>
        <v>0.63154153709462457</v>
      </c>
    </row>
    <row r="31" spans="1:23" outlineLevel="1" x14ac:dyDescent="0.4">
      <c r="B31" s="3"/>
    </row>
    <row r="32" spans="1:23" outlineLevel="1" x14ac:dyDescent="0.4">
      <c r="B32" t="s">
        <v>118</v>
      </c>
      <c r="D32" s="11">
        <f>'CFS Est.'!B4</f>
        <v>264</v>
      </c>
      <c r="E32" s="11">
        <f>'CFS Est.'!C4</f>
        <v>970</v>
      </c>
      <c r="F32" s="11">
        <f>'CFS Est.'!D4</f>
        <v>1635</v>
      </c>
      <c r="G32" s="11">
        <f>'CFS Est.'!E4</f>
        <v>1281</v>
      </c>
      <c r="H32" s="11">
        <f>'CFS Est.'!F4</f>
        <v>3415</v>
      </c>
      <c r="I32" s="11">
        <f>'CFS Est.'!G4</f>
        <v>2101</v>
      </c>
      <c r="J32" s="11">
        <f>'CFS Est.'!H4</f>
        <v>1327</v>
      </c>
      <c r="K32" s="11">
        <f>'CFS Est.'!I4</f>
        <v>3157</v>
      </c>
      <c r="L32" s="11">
        <f>'CFS Est.'!J4</f>
        <v>6482</v>
      </c>
      <c r="M32" s="40">
        <f>'CFS Est.'!K4</f>
        <v>7246</v>
      </c>
      <c r="N32" s="11">
        <f>'CFS Est.'!L4</f>
        <v>7895</v>
      </c>
      <c r="O32" s="11">
        <f>'CFS Est.'!M4</f>
        <v>8782</v>
      </c>
      <c r="P32" s="37">
        <f>'CFS Est.'!N4</f>
        <v>8936</v>
      </c>
      <c r="Q32" s="37">
        <f>'CFS Est.'!O4</f>
        <v>9983</v>
      </c>
      <c r="R32" s="37">
        <f>'CFS Est.'!P4</f>
        <v>11255</v>
      </c>
    </row>
    <row r="33" spans="1:23" outlineLevel="1" x14ac:dyDescent="0.4">
      <c r="B33" s="3" t="s">
        <v>9</v>
      </c>
      <c r="D33" s="12">
        <f>D32/D18</f>
        <v>0.10653753026634383</v>
      </c>
      <c r="E33" s="12">
        <f t="shared" ref="E33:R33" si="7">E32/E18</f>
        <v>0.26951931091969994</v>
      </c>
      <c r="F33" s="12">
        <f t="shared" si="7"/>
        <v>0.30895691609977322</v>
      </c>
      <c r="G33" s="12">
        <f t="shared" si="7"/>
        <v>0.183</v>
      </c>
      <c r="H33" s="12">
        <f t="shared" si="7"/>
        <v>0.29041585168806872</v>
      </c>
      <c r="I33" s="12">
        <f t="shared" si="7"/>
        <v>9.7898513582778068E-2</v>
      </c>
      <c r="J33" s="12">
        <f t="shared" si="7"/>
        <v>5.3991374399869806E-2</v>
      </c>
      <c r="K33" s="12">
        <f t="shared" si="7"/>
        <v>0.1001078132927448</v>
      </c>
      <c r="L33" s="12">
        <f t="shared" si="7"/>
        <v>0.12043178566783717</v>
      </c>
      <c r="M33" s="41">
        <f t="shared" si="7"/>
        <v>8.8116548302364039E-2</v>
      </c>
      <c r="N33" s="12">
        <f t="shared" si="7"/>
        <v>7.1652221264237426E-2</v>
      </c>
      <c r="O33" s="12">
        <f t="shared" si="7"/>
        <v>6.1114281340032571E-2</v>
      </c>
      <c r="P33" s="38">
        <f t="shared" si="7"/>
        <v>4.948882956924338E-2</v>
      </c>
      <c r="Q33" s="38">
        <f t="shared" si="7"/>
        <v>6.3704469459121421E-2</v>
      </c>
      <c r="R33" s="38">
        <f t="shared" si="7"/>
        <v>5.0941893200807463E-2</v>
      </c>
    </row>
    <row r="34" spans="1:23" outlineLevel="1" x14ac:dyDescent="0.4">
      <c r="B34" s="3"/>
    </row>
    <row r="35" spans="1:23" outlineLevel="1" x14ac:dyDescent="0.4">
      <c r="B35" t="s">
        <v>119</v>
      </c>
      <c r="D35" s="11">
        <f>'CFS Historicals'!C29</f>
        <v>125</v>
      </c>
      <c r="E35" s="11">
        <f>'CFS Historicals'!D29</f>
        <v>-257</v>
      </c>
      <c r="F35" s="11">
        <f>'CFS Historicals'!E29</f>
        <v>-493.3</v>
      </c>
      <c r="G35" s="11">
        <f>'CFS Historicals'!F29</f>
        <v>-693.9</v>
      </c>
      <c r="H35" s="11">
        <f>'CFS Historicals'!G29</f>
        <v>-496.6</v>
      </c>
      <c r="I35" s="11">
        <f>'CFS Historicals'!H29</f>
        <v>58</v>
      </c>
      <c r="J35" s="11">
        <f>'CFS Historicals'!I29</f>
        <v>-349</v>
      </c>
      <c r="K35" s="11">
        <f>'CFS Historicals'!J29</f>
        <v>184</v>
      </c>
      <c r="L35" s="11">
        <f>'CFS Historicals'!K29</f>
        <v>518</v>
      </c>
      <c r="M35" s="40">
        <f>'CFS Historicals'!L29</f>
        <v>0</v>
      </c>
      <c r="N35" s="11">
        <f>'CFS Historicals'!M29</f>
        <v>0</v>
      </c>
      <c r="O35" s="11">
        <f>'CFS Historicals'!N29</f>
        <v>0</v>
      </c>
      <c r="P35" s="11">
        <f>'CFS Historicals'!O29</f>
        <v>0</v>
      </c>
      <c r="Q35" s="11">
        <f>'CFS Historicals'!P29</f>
        <v>0</v>
      </c>
      <c r="R35" s="11">
        <f>'CFS Historicals'!Q29</f>
        <v>0</v>
      </c>
    </row>
    <row r="36" spans="1:23" outlineLevel="1" x14ac:dyDescent="0.4">
      <c r="B36" s="3" t="s">
        <v>9</v>
      </c>
      <c r="D36" s="12">
        <f>D35/D18</f>
        <v>5.0443906376109765E-2</v>
      </c>
      <c r="E36" s="12">
        <f t="shared" ref="E36:L36" si="8">E35/E18</f>
        <v>-7.1408724645734931E-2</v>
      </c>
      <c r="F36" s="12">
        <f t="shared" si="8"/>
        <v>-9.321617535903251E-2</v>
      </c>
      <c r="G36" s="12">
        <f t="shared" si="8"/>
        <v>-9.9128571428571427E-2</v>
      </c>
      <c r="H36" s="12">
        <f t="shared" si="8"/>
        <v>-4.2231482268900417E-2</v>
      </c>
      <c r="I36" s="12">
        <f t="shared" si="8"/>
        <v>2.7025767671590329E-3</v>
      </c>
      <c r="J36" s="12">
        <f t="shared" si="8"/>
        <v>-1.4199690780372691E-2</v>
      </c>
      <c r="K36" s="12">
        <f t="shared" si="8"/>
        <v>5.8346017250126836E-3</v>
      </c>
      <c r="L36" s="12">
        <f t="shared" si="8"/>
        <v>9.6241383795031867E-3</v>
      </c>
      <c r="M36" s="41"/>
      <c r="N36" s="12"/>
      <c r="O36" s="12"/>
      <c r="P36" s="12"/>
      <c r="Q36" s="12"/>
      <c r="R36" s="12"/>
    </row>
    <row r="37" spans="1:23" outlineLevel="1" x14ac:dyDescent="0.4">
      <c r="B37" s="3" t="s">
        <v>120</v>
      </c>
      <c r="D37" s="12"/>
      <c r="E37" s="12">
        <f>E35/(E18-D18)</f>
        <v>-0.22925958965209633</v>
      </c>
      <c r="F37" s="12">
        <f t="shared" ref="F37:L37" si="9">F35/(F18-E18)</f>
        <v>-0.2913762551683402</v>
      </c>
      <c r="G37" s="12">
        <f t="shared" si="9"/>
        <v>-0.40626463700234189</v>
      </c>
      <c r="H37" s="12">
        <f t="shared" si="9"/>
        <v>-0.104349653288506</v>
      </c>
      <c r="I37" s="12">
        <f t="shared" si="9"/>
        <v>5.9781488352916926E-3</v>
      </c>
      <c r="J37" s="12">
        <f t="shared" si="9"/>
        <v>-0.11196663458453641</v>
      </c>
      <c r="K37" s="12">
        <f t="shared" si="9"/>
        <v>2.644438056912906E-2</v>
      </c>
      <c r="L37" s="12">
        <f t="shared" si="9"/>
        <v>2.3242248844617938E-2</v>
      </c>
      <c r="M37" s="41"/>
      <c r="N37" s="12"/>
      <c r="O37" s="12"/>
      <c r="P37" s="12"/>
      <c r="Q37" s="12"/>
      <c r="R37" s="12"/>
    </row>
    <row r="38" spans="1:23" x14ac:dyDescent="0.4">
      <c r="N38">
        <f>M38+1</f>
        <v>1</v>
      </c>
      <c r="O38">
        <f t="shared" ref="O38:V38" si="10">N38+1</f>
        <v>2</v>
      </c>
      <c r="P38">
        <f t="shared" si="10"/>
        <v>3</v>
      </c>
      <c r="Q38">
        <f t="shared" si="10"/>
        <v>4</v>
      </c>
      <c r="R38">
        <f t="shared" si="10"/>
        <v>5</v>
      </c>
      <c r="S38">
        <f t="shared" si="10"/>
        <v>6</v>
      </c>
      <c r="T38">
        <f t="shared" si="10"/>
        <v>7</v>
      </c>
      <c r="U38">
        <f t="shared" si="10"/>
        <v>8</v>
      </c>
      <c r="V38">
        <f t="shared" si="10"/>
        <v>9</v>
      </c>
      <c r="W38">
        <f t="shared" ref="W38" si="11">V38+1</f>
        <v>10</v>
      </c>
    </row>
    <row r="39" spans="1:23" x14ac:dyDescent="0.4">
      <c r="A39" s="71" t="s">
        <v>1</v>
      </c>
      <c r="B39" s="73" t="s">
        <v>13</v>
      </c>
      <c r="C39" s="73"/>
      <c r="D39" s="73">
        <v>2013</v>
      </c>
      <c r="E39" s="73">
        <f>D39+1</f>
        <v>2014</v>
      </c>
      <c r="F39" s="73">
        <f t="shared" ref="F39:V39" si="12">E39+1</f>
        <v>2015</v>
      </c>
      <c r="G39" s="73">
        <f t="shared" si="12"/>
        <v>2016</v>
      </c>
      <c r="H39" s="73">
        <f t="shared" si="12"/>
        <v>2017</v>
      </c>
      <c r="I39" s="73">
        <f t="shared" si="12"/>
        <v>2018</v>
      </c>
      <c r="J39" s="73">
        <f t="shared" si="12"/>
        <v>2019</v>
      </c>
      <c r="K39" s="73">
        <f t="shared" si="12"/>
        <v>2020</v>
      </c>
      <c r="L39" s="73">
        <f t="shared" si="12"/>
        <v>2021</v>
      </c>
      <c r="M39" s="73">
        <f t="shared" si="12"/>
        <v>2022</v>
      </c>
      <c r="N39" s="73">
        <f t="shared" si="12"/>
        <v>2023</v>
      </c>
      <c r="O39" s="73">
        <f t="shared" si="12"/>
        <v>2024</v>
      </c>
      <c r="P39" s="73">
        <f t="shared" si="12"/>
        <v>2025</v>
      </c>
      <c r="Q39" s="73">
        <f t="shared" si="12"/>
        <v>2026</v>
      </c>
      <c r="R39" s="73">
        <f t="shared" si="12"/>
        <v>2027</v>
      </c>
      <c r="S39" s="73">
        <f t="shared" si="12"/>
        <v>2028</v>
      </c>
      <c r="T39" s="73">
        <f t="shared" si="12"/>
        <v>2029</v>
      </c>
      <c r="U39" s="73">
        <f t="shared" si="12"/>
        <v>2030</v>
      </c>
      <c r="V39" s="73">
        <f t="shared" si="12"/>
        <v>2031</v>
      </c>
      <c r="W39" s="73">
        <f t="shared" ref="W39" si="13">V39+1</f>
        <v>2032</v>
      </c>
    </row>
    <row r="40" spans="1:23" x14ac:dyDescent="0.4">
      <c r="B40" t="s">
        <v>6</v>
      </c>
      <c r="D40" s="36">
        <f>D18</f>
        <v>2478</v>
      </c>
      <c r="E40" s="36">
        <f t="shared" ref="E40:L40" si="14">E18</f>
        <v>3599</v>
      </c>
      <c r="F40" s="36">
        <f t="shared" si="14"/>
        <v>5292</v>
      </c>
      <c r="G40" s="36">
        <f t="shared" si="14"/>
        <v>7000</v>
      </c>
      <c r="H40" s="36">
        <f t="shared" si="14"/>
        <v>11759</v>
      </c>
      <c r="I40" s="36">
        <f t="shared" si="14"/>
        <v>21461</v>
      </c>
      <c r="J40" s="36">
        <f t="shared" si="14"/>
        <v>24578</v>
      </c>
      <c r="K40" s="36">
        <f t="shared" si="14"/>
        <v>31536</v>
      </c>
      <c r="L40" s="36">
        <f t="shared" si="14"/>
        <v>53823</v>
      </c>
      <c r="M40" s="43">
        <f t="shared" ref="M40:R40" ca="1" si="15">L40*(1+M41)</f>
        <v>82232</v>
      </c>
      <c r="N40" s="43">
        <f t="shared" ca="1" si="15"/>
        <v>109362.68</v>
      </c>
      <c r="O40" s="43">
        <f t="shared" ca="1" si="15"/>
        <v>141531.94283869854</v>
      </c>
      <c r="P40" s="43">
        <f t="shared" ca="1" si="15"/>
        <v>179198.27673450235</v>
      </c>
      <c r="Q40" s="43">
        <f t="shared" ca="1" si="15"/>
        <v>221867.90969155135</v>
      </c>
      <c r="R40" s="43">
        <f t="shared" ca="1" si="15"/>
        <v>268481.26312913699</v>
      </c>
      <c r="S40" s="43">
        <f t="shared" ref="S40:W40" ca="1" si="16">R40*(1+S41)</f>
        <v>317365.27206828387</v>
      </c>
      <c r="T40" s="43">
        <f ca="1">S40*(1+T41)</f>
        <v>366257.62661902042</v>
      </c>
      <c r="U40" s="43">
        <f t="shared" ca="1" si="16"/>
        <v>412420.01523518097</v>
      </c>
      <c r="V40" s="43">
        <f t="shared" ca="1" si="16"/>
        <v>452845.01826684026</v>
      </c>
      <c r="W40" s="43">
        <f t="shared" ca="1" si="16"/>
        <v>484544.16954551911</v>
      </c>
    </row>
    <row r="41" spans="1:23" s="3" customFormat="1" x14ac:dyDescent="0.4">
      <c r="A41" s="72"/>
      <c r="B41" s="3" t="s">
        <v>7</v>
      </c>
      <c r="E41" s="42">
        <f>E19</f>
        <v>0.45238095238095233</v>
      </c>
      <c r="F41" s="42">
        <f t="shared" ref="F41:L41" si="17">F19</f>
        <v>0.4704084467907752</v>
      </c>
      <c r="G41" s="42">
        <f t="shared" si="17"/>
        <v>0.32275132275132279</v>
      </c>
      <c r="H41" s="42">
        <f t="shared" si="17"/>
        <v>0.67985714285714294</v>
      </c>
      <c r="I41" s="42">
        <f t="shared" si="17"/>
        <v>0.8250701590271281</v>
      </c>
      <c r="J41" s="42">
        <f t="shared" si="17"/>
        <v>0.14524020315921904</v>
      </c>
      <c r="K41" s="42">
        <f t="shared" si="17"/>
        <v>0.28309870615998056</v>
      </c>
      <c r="L41" s="42">
        <f t="shared" si="17"/>
        <v>0.70671613394216126</v>
      </c>
      <c r="M41" s="42">
        <f ca="1">OFFSET(M41,$D$9,0)</f>
        <v>0.52782267803727034</v>
      </c>
      <c r="N41" s="42">
        <f t="shared" ref="N41:W41" ca="1" si="18">OFFSET(N41,$D$9,0)</f>
        <v>0.32992849498978494</v>
      </c>
      <c r="O41" s="42">
        <f t="shared" ca="1" si="18"/>
        <v>0.29415210781866863</v>
      </c>
      <c r="P41" s="42">
        <f t="shared" ca="1" si="18"/>
        <v>0.26613309434133503</v>
      </c>
      <c r="Q41" s="42">
        <f t="shared" ca="1" si="18"/>
        <v>0.23811408086400146</v>
      </c>
      <c r="R41" s="42">
        <f t="shared" ca="1" si="18"/>
        <v>0.21009506738666789</v>
      </c>
      <c r="S41" s="42">
        <f t="shared" ca="1" si="18"/>
        <v>0.18207605390933432</v>
      </c>
      <c r="T41" s="42">
        <f t="shared" ca="1" si="18"/>
        <v>0.15405704043200075</v>
      </c>
      <c r="U41" s="42">
        <f t="shared" ca="1" si="18"/>
        <v>0.12603802695466718</v>
      </c>
      <c r="V41" s="42">
        <f t="shared" ca="1" si="18"/>
        <v>9.8019013477333605E-2</v>
      </c>
      <c r="W41" s="42">
        <f t="shared" ca="1" si="18"/>
        <v>7.0000000000000007E-2</v>
      </c>
    </row>
    <row r="42" spans="1:23" x14ac:dyDescent="0.4">
      <c r="B42" t="s">
        <v>130</v>
      </c>
      <c r="M42" s="83">
        <f>M43</f>
        <v>0.52782267803727034</v>
      </c>
      <c r="N42" s="84">
        <f>N43+$H$9</f>
        <v>0.30992849498978492</v>
      </c>
      <c r="O42" s="84">
        <f>O43+$H$9</f>
        <v>0.27415210781866861</v>
      </c>
      <c r="P42" s="85">
        <f>O42-($O$42-$W$42)/($W$39-$O$39)</f>
        <v>0.24238309434133504</v>
      </c>
      <c r="Q42" s="85">
        <f t="shared" ref="Q42:V42" si="19">P42-($O$43-$W$43)/($W$39-$O$39)</f>
        <v>0.21436408086400147</v>
      </c>
      <c r="R42" s="85">
        <f t="shared" si="19"/>
        <v>0.1863450673866679</v>
      </c>
      <c r="S42" s="85">
        <f t="shared" si="19"/>
        <v>0.15832605390933432</v>
      </c>
      <c r="T42" s="85">
        <f t="shared" si="19"/>
        <v>0.13030704043200075</v>
      </c>
      <c r="U42" s="85">
        <f t="shared" si="19"/>
        <v>0.10228802695466718</v>
      </c>
      <c r="V42" s="85">
        <f t="shared" si="19"/>
        <v>7.4269013477333612E-2</v>
      </c>
      <c r="W42" s="84">
        <f>H10</f>
        <v>0.02</v>
      </c>
    </row>
    <row r="43" spans="1:23" x14ac:dyDescent="0.4">
      <c r="B43" t="s">
        <v>131</v>
      </c>
      <c r="M43" s="83">
        <f>M19</f>
        <v>0.52782267803727034</v>
      </c>
      <c r="N43" s="84">
        <f>N19-1%</f>
        <v>0.32992849498978494</v>
      </c>
      <c r="O43" s="86">
        <f>O19-1%</f>
        <v>0.29415210781866863</v>
      </c>
      <c r="P43" s="85">
        <f>O43-($O$43-$W$43)/($W$39-$O$39)</f>
        <v>0.26613309434133503</v>
      </c>
      <c r="Q43" s="85">
        <f>P43-($O$43-$W$43)/($W$39-$O$39)</f>
        <v>0.23811408086400146</v>
      </c>
      <c r="R43" s="85">
        <f t="shared" ref="R43:V43" si="20">Q43-($O$43-$W$43)/($W$39-$O$39)</f>
        <v>0.21009506738666789</v>
      </c>
      <c r="S43" s="85">
        <f t="shared" si="20"/>
        <v>0.18207605390933432</v>
      </c>
      <c r="T43" s="85">
        <f t="shared" si="20"/>
        <v>0.15405704043200075</v>
      </c>
      <c r="U43" s="85">
        <f t="shared" si="20"/>
        <v>0.12603802695466718</v>
      </c>
      <c r="V43" s="85">
        <f t="shared" si="20"/>
        <v>9.8019013477333605E-2</v>
      </c>
      <c r="W43" s="87">
        <f>L10</f>
        <v>7.0000000000000007E-2</v>
      </c>
    </row>
    <row r="44" spans="1:23" x14ac:dyDescent="0.4">
      <c r="B44" t="s">
        <v>132</v>
      </c>
      <c r="M44" s="83">
        <f>M43</f>
        <v>0.52782267803727034</v>
      </c>
      <c r="N44" s="84">
        <f>N43+$P$9</f>
        <v>0.36992849498978492</v>
      </c>
      <c r="O44" s="84">
        <f>O43+P9</f>
        <v>0.33415210781866861</v>
      </c>
      <c r="P44" s="85">
        <f>O44-($O$44-$W$44)/($W$39-$O$39)</f>
        <v>0.30613309434133501</v>
      </c>
      <c r="Q44" s="85">
        <f t="shared" ref="Q44:V44" si="21">P44-($O$44-$W$44)/($W$39-$O$39)</f>
        <v>0.27811408086400141</v>
      </c>
      <c r="R44" s="85">
        <f t="shared" si="21"/>
        <v>0.25009506738666781</v>
      </c>
      <c r="S44" s="85">
        <f t="shared" si="21"/>
        <v>0.22207605390933424</v>
      </c>
      <c r="T44" s="85">
        <f t="shared" si="21"/>
        <v>0.19405704043200067</v>
      </c>
      <c r="U44" s="85">
        <f t="shared" si="21"/>
        <v>0.1660380269546671</v>
      </c>
      <c r="V44" s="85">
        <f t="shared" si="21"/>
        <v>0.13801901347733353</v>
      </c>
      <c r="W44" s="86">
        <f>P10</f>
        <v>0.11</v>
      </c>
    </row>
    <row r="46" spans="1:23" x14ac:dyDescent="0.4">
      <c r="B46" t="s">
        <v>8</v>
      </c>
      <c r="D46" s="36">
        <f>D21</f>
        <v>100</v>
      </c>
      <c r="E46" s="36">
        <f t="shared" ref="E46:L46" si="22">E21</f>
        <v>52</v>
      </c>
      <c r="F46" s="36">
        <f t="shared" si="22"/>
        <v>-209</v>
      </c>
      <c r="G46" s="36">
        <f t="shared" si="22"/>
        <v>-317</v>
      </c>
      <c r="H46" s="36">
        <f t="shared" si="22"/>
        <v>-1165</v>
      </c>
      <c r="I46" s="36">
        <f t="shared" si="22"/>
        <v>-388</v>
      </c>
      <c r="J46" s="36">
        <f t="shared" si="22"/>
        <v>-69</v>
      </c>
      <c r="K46" s="36">
        <f t="shared" si="22"/>
        <v>1994</v>
      </c>
      <c r="L46" s="36">
        <f t="shared" si="22"/>
        <v>6523</v>
      </c>
      <c r="M46" s="43">
        <f ca="1">M47*M40</f>
        <v>14138.000000000002</v>
      </c>
      <c r="N46" s="43">
        <f t="shared" ref="N46:W46" ca="1" si="23">N47*N40</f>
        <v>17777.403128202564</v>
      </c>
      <c r="O46" s="43">
        <f t="shared" ca="1" si="23"/>
        <v>25450.013586131881</v>
      </c>
      <c r="P46" s="43">
        <f t="shared" ca="1" si="23"/>
        <v>33347.166852350347</v>
      </c>
      <c r="Q46" s="43">
        <f t="shared" ca="1" si="23"/>
        <v>42679.31432142204</v>
      </c>
      <c r="R46" s="43">
        <f t="shared" ca="1" si="23"/>
        <v>53330.138203115239</v>
      </c>
      <c r="S46" s="43">
        <f t="shared" ca="1" si="23"/>
        <v>65031.025972403375</v>
      </c>
      <c r="T46" s="43">
        <f t="shared" ca="1" si="23"/>
        <v>77346.948558069984</v>
      </c>
      <c r="U46" s="43">
        <f t="shared" ca="1" si="23"/>
        <v>89682.60473155939</v>
      </c>
      <c r="V46" s="43">
        <f t="shared" ca="1" si="23"/>
        <v>101313.77968739887</v>
      </c>
      <c r="W46" s="43">
        <f t="shared" ca="1" si="23"/>
        <v>111445.15899546941</v>
      </c>
    </row>
    <row r="47" spans="1:23" x14ac:dyDescent="0.4">
      <c r="B47" s="3" t="s">
        <v>9</v>
      </c>
      <c r="D47" s="42">
        <f>D46/D40</f>
        <v>4.0355125100887811E-2</v>
      </c>
      <c r="E47" s="42">
        <f t="shared" ref="E47:L47" si="24">E46/E40</f>
        <v>1.4448457904973604E-2</v>
      </c>
      <c r="F47" s="42">
        <f t="shared" si="24"/>
        <v>-3.9493575207860919E-2</v>
      </c>
      <c r="G47" s="42">
        <f t="shared" si="24"/>
        <v>-4.5285714285714283E-2</v>
      </c>
      <c r="H47" s="42">
        <f t="shared" si="24"/>
        <v>-9.9073050429458284E-2</v>
      </c>
      <c r="I47" s="42">
        <f t="shared" si="24"/>
        <v>-1.8079306649270769E-2</v>
      </c>
      <c r="J47" s="42">
        <f t="shared" si="24"/>
        <v>-2.8073887216209618E-3</v>
      </c>
      <c r="K47" s="42">
        <f t="shared" si="24"/>
        <v>6.3229325215626589E-2</v>
      </c>
      <c r="L47" s="42">
        <f t="shared" si="24"/>
        <v>0.12119354179440016</v>
      </c>
      <c r="M47" s="42">
        <f ca="1">OFFSET(M47,$D$10,0)</f>
        <v>0.17192820313260046</v>
      </c>
      <c r="N47" s="42">
        <f t="shared" ref="N47:W47" ca="1" si="25">OFFSET(N47,$D$10,0)</f>
        <v>0.16255456731860052</v>
      </c>
      <c r="O47" s="42">
        <f t="shared" ca="1" si="25"/>
        <v>0.1798181603084246</v>
      </c>
      <c r="P47" s="42">
        <f t="shared" ca="1" si="25"/>
        <v>0.18609089026987152</v>
      </c>
      <c r="Q47" s="42">
        <f t="shared" ca="1" si="25"/>
        <v>0.19236362023131845</v>
      </c>
      <c r="R47" s="42">
        <f t="shared" ca="1" si="25"/>
        <v>0.19863635019276538</v>
      </c>
      <c r="S47" s="42">
        <f t="shared" ca="1" si="25"/>
        <v>0.2049090801542123</v>
      </c>
      <c r="T47" s="42">
        <f t="shared" ca="1" si="25"/>
        <v>0.21118181011565923</v>
      </c>
      <c r="U47" s="42">
        <f t="shared" ca="1" si="25"/>
        <v>0.21745454007710616</v>
      </c>
      <c r="V47" s="42">
        <f t="shared" ca="1" si="25"/>
        <v>0.22372727003855308</v>
      </c>
      <c r="W47" s="42">
        <f t="shared" ca="1" si="25"/>
        <v>0.23</v>
      </c>
    </row>
    <row r="48" spans="1:23" x14ac:dyDescent="0.4">
      <c r="B48" t="s">
        <v>130</v>
      </c>
      <c r="M48" s="83">
        <f>M49</f>
        <v>0.17192820313260046</v>
      </c>
      <c r="N48" s="84">
        <f>N49+$H$11</f>
        <v>0.15755456731860051</v>
      </c>
      <c r="O48" s="84">
        <f>O49+$H$11</f>
        <v>0.17481816030842459</v>
      </c>
      <c r="P48" s="85">
        <f>O48+($W$48-$O$48)/($W$39-$O$39)</f>
        <v>0.1792158902698715</v>
      </c>
      <c r="Q48" s="85">
        <f t="shared" ref="Q48:V48" si="26">P48+($W$48-$O$48)/($W$39-$O$39)</f>
        <v>0.18361362023131844</v>
      </c>
      <c r="R48" s="85">
        <f t="shared" si="26"/>
        <v>0.18801135019276538</v>
      </c>
      <c r="S48" s="85">
        <f t="shared" si="26"/>
        <v>0.19240908015421232</v>
      </c>
      <c r="T48" s="85">
        <f t="shared" si="26"/>
        <v>0.19680681011565926</v>
      </c>
      <c r="U48" s="85">
        <f t="shared" si="26"/>
        <v>0.2012045400771062</v>
      </c>
      <c r="V48" s="85">
        <f t="shared" si="26"/>
        <v>0.20560227003855314</v>
      </c>
      <c r="W48" s="84">
        <f>H12</f>
        <v>0.21</v>
      </c>
    </row>
    <row r="49" spans="1:23" x14ac:dyDescent="0.4">
      <c r="B49" t="s">
        <v>131</v>
      </c>
      <c r="M49" s="83">
        <f>M22</f>
        <v>0.17192820313260046</v>
      </c>
      <c r="N49" s="84">
        <f>N22-0.5%</f>
        <v>0.16255456731860052</v>
      </c>
      <c r="O49" s="84">
        <f>O22-0.5%</f>
        <v>0.1798181603084246</v>
      </c>
      <c r="P49" s="85">
        <f>O49+($W$49-$O$49)/($W$39-$O$39)</f>
        <v>0.18609089026987152</v>
      </c>
      <c r="Q49" s="85">
        <f t="shared" ref="Q49:V49" si="27">P49+($W$49-$O$49)/($W$39-$O$39)</f>
        <v>0.19236362023131845</v>
      </c>
      <c r="R49" s="85">
        <f t="shared" si="27"/>
        <v>0.19863635019276538</v>
      </c>
      <c r="S49" s="85">
        <f t="shared" si="27"/>
        <v>0.2049090801542123</v>
      </c>
      <c r="T49" s="85">
        <f t="shared" si="27"/>
        <v>0.21118181011565923</v>
      </c>
      <c r="U49" s="85">
        <f t="shared" si="27"/>
        <v>0.21745454007710616</v>
      </c>
      <c r="V49" s="85">
        <f t="shared" si="27"/>
        <v>0.22372727003855308</v>
      </c>
      <c r="W49" s="87">
        <f>L12</f>
        <v>0.23</v>
      </c>
    </row>
    <row r="50" spans="1:23" x14ac:dyDescent="0.4">
      <c r="B50" t="s">
        <v>132</v>
      </c>
      <c r="M50" s="83">
        <f>M49</f>
        <v>0.17192820313260046</v>
      </c>
      <c r="N50" s="84">
        <f>N49+P11</f>
        <v>0.16755456731860052</v>
      </c>
      <c r="O50" s="84">
        <f>O49+Q11</f>
        <v>0.1798181603084246</v>
      </c>
      <c r="P50" s="85">
        <f>O50+($W$50-$O$50)/($W$39-$O$39)</f>
        <v>0.18859089026987153</v>
      </c>
      <c r="Q50" s="85">
        <f t="shared" ref="Q50:V50" si="28">P50+($W$50-$O$50)/($W$39-$O$39)</f>
        <v>0.19736362023131845</v>
      </c>
      <c r="R50" s="85">
        <f t="shared" si="28"/>
        <v>0.20613635019276538</v>
      </c>
      <c r="S50" s="85">
        <f t="shared" si="28"/>
        <v>0.21490908015421231</v>
      </c>
      <c r="T50" s="85">
        <f t="shared" si="28"/>
        <v>0.22368181011565924</v>
      </c>
      <c r="U50" s="85">
        <f t="shared" si="28"/>
        <v>0.23245454007710617</v>
      </c>
      <c r="V50" s="85">
        <f t="shared" si="28"/>
        <v>0.2412272700385531</v>
      </c>
      <c r="W50" s="86">
        <f>P12</f>
        <v>0.25</v>
      </c>
    </row>
    <row r="52" spans="1:23" x14ac:dyDescent="0.4">
      <c r="B52" t="s">
        <v>133</v>
      </c>
      <c r="D52" s="36">
        <f>D24</f>
        <v>3</v>
      </c>
      <c r="E52" s="36">
        <f t="shared" ref="E52:L52" si="29">E24</f>
        <v>9</v>
      </c>
      <c r="F52" s="36">
        <f t="shared" si="29"/>
        <v>13</v>
      </c>
      <c r="G52" s="36">
        <f t="shared" si="29"/>
        <v>27</v>
      </c>
      <c r="H52" s="36">
        <f t="shared" si="29"/>
        <v>32</v>
      </c>
      <c r="I52" s="36">
        <f t="shared" si="29"/>
        <v>58</v>
      </c>
      <c r="J52" s="36">
        <f t="shared" si="29"/>
        <v>110</v>
      </c>
      <c r="K52" s="36">
        <f t="shared" si="29"/>
        <v>292</v>
      </c>
      <c r="L52" s="36">
        <f t="shared" si="29"/>
        <v>699</v>
      </c>
      <c r="M52" s="36">
        <f t="shared" ref="M52:O52" si="30">M24</f>
        <v>1476</v>
      </c>
      <c r="N52" s="36">
        <f t="shared" si="30"/>
        <v>2807</v>
      </c>
      <c r="O52" s="36">
        <f t="shared" si="30"/>
        <v>4410</v>
      </c>
      <c r="P52" s="36">
        <f ca="1">P53*P46</f>
        <v>5931.4853852126298</v>
      </c>
      <c r="Q52" s="36">
        <f t="shared" ref="Q52:W52" ca="1" si="31">Q53*Q46</f>
        <v>7787.2949158567517</v>
      </c>
      <c r="R52" s="36">
        <f t="shared" ca="1" si="31"/>
        <v>9975.430699925766</v>
      </c>
      <c r="S52" s="36">
        <f t="shared" ca="1" si="31"/>
        <v>12462.573472508746</v>
      </c>
      <c r="T52" s="36">
        <f t="shared" ca="1" si="31"/>
        <v>15177.816385029011</v>
      </c>
      <c r="U52" s="36">
        <f t="shared" ca="1" si="31"/>
        <v>18010.079751447622</v>
      </c>
      <c r="V52" s="36">
        <f t="shared" ca="1" si="31"/>
        <v>20810.874256787731</v>
      </c>
      <c r="W52" s="36">
        <f t="shared" ca="1" si="31"/>
        <v>23403.483389048575</v>
      </c>
    </row>
    <row r="53" spans="1:23" x14ac:dyDescent="0.4">
      <c r="B53" s="3" t="s">
        <v>11</v>
      </c>
      <c r="D53" s="42">
        <f>D52/D46</f>
        <v>0.03</v>
      </c>
      <c r="E53" s="42">
        <f t="shared" ref="E53:L53" si="32">E52/E46</f>
        <v>0.17307692307692307</v>
      </c>
      <c r="F53" s="42">
        <f t="shared" si="32"/>
        <v>-6.2200956937799042E-2</v>
      </c>
      <c r="G53" s="42">
        <f t="shared" si="32"/>
        <v>-8.5173501577287064E-2</v>
      </c>
      <c r="H53" s="42">
        <f t="shared" si="32"/>
        <v>-2.7467811158798282E-2</v>
      </c>
      <c r="I53" s="42">
        <f t="shared" si="32"/>
        <v>-0.14948453608247422</v>
      </c>
      <c r="J53" s="42">
        <f t="shared" si="32"/>
        <v>-1.5942028985507246</v>
      </c>
      <c r="K53" s="42">
        <f t="shared" si="32"/>
        <v>0.14643931795386159</v>
      </c>
      <c r="L53" s="42">
        <f t="shared" si="32"/>
        <v>0.10715928253870918</v>
      </c>
      <c r="M53" s="42">
        <f t="shared" ref="M53" ca="1" si="33">M52/M46</f>
        <v>0.10439949073419152</v>
      </c>
      <c r="N53" s="42">
        <f t="shared" ref="N53" ca="1" si="34">N52/N46</f>
        <v>0.15789707752910759</v>
      </c>
      <c r="O53" s="42">
        <f t="shared" ref="O53" ca="1" si="35">O52/O46</f>
        <v>0.17328085052194547</v>
      </c>
      <c r="P53" s="85">
        <f ca="1">O53+($W$53-$O$53)/($W$39-$O$39)</f>
        <v>0.17787074420670229</v>
      </c>
      <c r="Q53" s="85">
        <f t="shared" ref="Q53:V53" ca="1" si="36">P53+($W$53-$O$53)/($W$39-$O$39)</f>
        <v>0.18246063789145911</v>
      </c>
      <c r="R53" s="85">
        <f t="shared" ca="1" si="36"/>
        <v>0.18705053157621593</v>
      </c>
      <c r="S53" s="85">
        <f t="shared" ca="1" si="36"/>
        <v>0.19164042526097275</v>
      </c>
      <c r="T53" s="85">
        <f t="shared" ca="1" si="36"/>
        <v>0.19623031894572956</v>
      </c>
      <c r="U53" s="85">
        <f t="shared" ca="1" si="36"/>
        <v>0.20082021263048638</v>
      </c>
      <c r="V53" s="85">
        <f t="shared" ca="1" si="36"/>
        <v>0.2054101063152432</v>
      </c>
      <c r="W53" s="87">
        <v>0.21</v>
      </c>
    </row>
    <row r="55" spans="1:23" x14ac:dyDescent="0.4">
      <c r="A55" s="71" t="s">
        <v>1</v>
      </c>
      <c r="B55" s="44" t="s">
        <v>134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6">
        <f ca="1">M46-M52</f>
        <v>12662.000000000002</v>
      </c>
      <c r="N55" s="46">
        <f t="shared" ref="N55:W55" ca="1" si="37">N46-N52</f>
        <v>14970.403128202564</v>
      </c>
      <c r="O55" s="46">
        <f t="shared" ca="1" si="37"/>
        <v>21040.013586131881</v>
      </c>
      <c r="P55" s="46">
        <f t="shared" ca="1" si="37"/>
        <v>27415.681467137718</v>
      </c>
      <c r="Q55" s="46">
        <f t="shared" ca="1" si="37"/>
        <v>34892.01940556529</v>
      </c>
      <c r="R55" s="46">
        <f t="shared" ca="1" si="37"/>
        <v>43354.707503189471</v>
      </c>
      <c r="S55" s="46">
        <f t="shared" ca="1" si="37"/>
        <v>52568.452499894629</v>
      </c>
      <c r="T55" s="46">
        <f t="shared" ca="1" si="37"/>
        <v>62169.132173040969</v>
      </c>
      <c r="U55" s="46">
        <f t="shared" ca="1" si="37"/>
        <v>71672.524980111775</v>
      </c>
      <c r="V55" s="46">
        <f t="shared" ca="1" si="37"/>
        <v>80502.905430611136</v>
      </c>
      <c r="W55" s="47">
        <f t="shared" ca="1" si="37"/>
        <v>88041.675606420831</v>
      </c>
    </row>
    <row r="57" spans="1:23" x14ac:dyDescent="0.4">
      <c r="B57" t="s">
        <v>116</v>
      </c>
      <c r="D57" s="36">
        <f>D28</f>
        <v>106</v>
      </c>
      <c r="E57" s="36">
        <f t="shared" ref="E57:L57" si="38">E28</f>
        <v>232</v>
      </c>
      <c r="F57" s="36">
        <f t="shared" si="38"/>
        <v>423</v>
      </c>
      <c r="G57" s="36">
        <f t="shared" si="38"/>
        <v>947</v>
      </c>
      <c r="H57" s="36">
        <f t="shared" si="38"/>
        <v>1636</v>
      </c>
      <c r="I57" s="36">
        <f t="shared" si="38"/>
        <v>1901</v>
      </c>
      <c r="J57" s="36">
        <f t="shared" si="38"/>
        <v>2154</v>
      </c>
      <c r="K57" s="36">
        <f t="shared" si="38"/>
        <v>2322</v>
      </c>
      <c r="L57" s="36">
        <f t="shared" si="38"/>
        <v>2911</v>
      </c>
      <c r="M57" s="36">
        <f t="shared" ref="M57:O57" si="39">M28</f>
        <v>3724</v>
      </c>
      <c r="N57" s="36">
        <f t="shared" si="39"/>
        <v>4413</v>
      </c>
      <c r="O57" s="36">
        <f t="shared" si="39"/>
        <v>5114</v>
      </c>
      <c r="P57" s="48">
        <f ca="1">P58*P40</f>
        <v>6337.6226016582723</v>
      </c>
      <c r="Q57" s="48">
        <f t="shared" ref="Q57:W57" ca="1" si="40">Q58*Q40</f>
        <v>7676.6051406624074</v>
      </c>
      <c r="R57" s="48">
        <f t="shared" ca="1" si="40"/>
        <v>9083.5913281379489</v>
      </c>
      <c r="S57" s="48">
        <f t="shared" ca="1" si="40"/>
        <v>10494.188266401985</v>
      </c>
      <c r="T57" s="48">
        <f t="shared" ca="1" si="40"/>
        <v>11830.101088987729</v>
      </c>
      <c r="U57" s="48">
        <f t="shared" ca="1" si="40"/>
        <v>13004.962611630473</v>
      </c>
      <c r="V57" s="48">
        <f t="shared" ca="1" si="40"/>
        <v>13932.523382568648</v>
      </c>
      <c r="W57" s="48">
        <f t="shared" ca="1" si="40"/>
        <v>14536.325086365572</v>
      </c>
    </row>
    <row r="58" spans="1:23" x14ac:dyDescent="0.4">
      <c r="B58" s="3" t="s">
        <v>9</v>
      </c>
      <c r="D58" s="42">
        <f>D57/D$40</f>
        <v>4.2776432606941084E-2</v>
      </c>
      <c r="E58" s="42">
        <f>E57/E$40</f>
        <v>6.4462350652959161E-2</v>
      </c>
      <c r="F58" s="42">
        <f>F57/F$40</f>
        <v>7.9931972789115652E-2</v>
      </c>
      <c r="G58" s="42">
        <f t="shared" ref="G58:J58" si="41">G57/G$40</f>
        <v>0.13528571428571429</v>
      </c>
      <c r="H58" s="42">
        <f>H57/H$40</f>
        <v>0.13912747682626073</v>
      </c>
      <c r="I58" s="42">
        <f>I57/I$40</f>
        <v>8.8579283351195193E-2</v>
      </c>
      <c r="J58" s="42">
        <f t="shared" si="41"/>
        <v>8.7639352266254369E-2</v>
      </c>
      <c r="K58" s="42">
        <f>K57/K$40</f>
        <v>7.3630136986301373E-2</v>
      </c>
      <c r="L58" s="42">
        <f>L57/L$40</f>
        <v>5.4084684985972541E-2</v>
      </c>
      <c r="M58" s="42">
        <f t="shared" ref="M58:O58" ca="1" si="42">M57/M$40</f>
        <v>4.5286506469500921E-2</v>
      </c>
      <c r="N58" s="42">
        <f t="shared" ca="1" si="42"/>
        <v>4.0351973817759408E-2</v>
      </c>
      <c r="O58" s="42">
        <f t="shared" ca="1" si="42"/>
        <v>3.6133185890257546E-2</v>
      </c>
      <c r="P58" s="85">
        <f ca="1">O58+($W$58-$O$58)/($W$39-$O$39)</f>
        <v>3.536653765397535E-2</v>
      </c>
      <c r="Q58" s="85">
        <f t="shared" ref="Q58:V58" ca="1" si="43">P58+($W$58-$O$58)/($W$39-$O$39)</f>
        <v>3.4599889417693153E-2</v>
      </c>
      <c r="R58" s="85">
        <f t="shared" ca="1" si="43"/>
        <v>3.3833241181410956E-2</v>
      </c>
      <c r="S58" s="85">
        <f t="shared" ca="1" si="43"/>
        <v>3.3066592945128759E-2</v>
      </c>
      <c r="T58" s="85">
        <f t="shared" ca="1" si="43"/>
        <v>3.2299944708846562E-2</v>
      </c>
      <c r="U58" s="85">
        <f t="shared" ca="1" si="43"/>
        <v>3.1533296472564365E-2</v>
      </c>
      <c r="V58" s="85">
        <f t="shared" ca="1" si="43"/>
        <v>3.0766648236282172E-2</v>
      </c>
      <c r="W58" s="87">
        <v>0.03</v>
      </c>
    </row>
    <row r="60" spans="1:23" x14ac:dyDescent="0.4">
      <c r="B60" t="s">
        <v>135</v>
      </c>
      <c r="D60" s="36">
        <f>D32</f>
        <v>264</v>
      </c>
      <c r="E60" s="36">
        <f t="shared" ref="E60:L60" si="44">E32</f>
        <v>970</v>
      </c>
      <c r="F60" s="36">
        <f t="shared" si="44"/>
        <v>1635</v>
      </c>
      <c r="G60" s="36">
        <f t="shared" si="44"/>
        <v>1281</v>
      </c>
      <c r="H60" s="36">
        <f t="shared" si="44"/>
        <v>3415</v>
      </c>
      <c r="I60" s="36">
        <f t="shared" si="44"/>
        <v>2101</v>
      </c>
      <c r="J60" s="36">
        <f t="shared" si="44"/>
        <v>1327</v>
      </c>
      <c r="K60" s="36">
        <f t="shared" si="44"/>
        <v>3157</v>
      </c>
      <c r="L60" s="36">
        <f t="shared" si="44"/>
        <v>6482</v>
      </c>
      <c r="M60" s="36">
        <f t="shared" ref="M60:O60" si="45">M32</f>
        <v>7246</v>
      </c>
      <c r="N60" s="36">
        <f t="shared" si="45"/>
        <v>7895</v>
      </c>
      <c r="O60" s="36">
        <f t="shared" si="45"/>
        <v>8782</v>
      </c>
      <c r="P60" s="48">
        <f ca="1">P61*P40</f>
        <v>10737.273536823981</v>
      </c>
      <c r="Q60" s="48">
        <f t="shared" ref="Q60:W60" ca="1" si="46">Q61*Q40</f>
        <v>14312.319673573635</v>
      </c>
      <c r="R60" s="48">
        <f t="shared" ca="1" si="46"/>
        <v>18551.56789396458</v>
      </c>
      <c r="S60" s="48">
        <f t="shared" ca="1" si="46"/>
        <v>23386.037027956096</v>
      </c>
      <c r="T60" s="48">
        <f t="shared" ca="1" si="46"/>
        <v>28669.904247328857</v>
      </c>
      <c r="U60" s="48">
        <f t="shared" ca="1" si="46"/>
        <v>34176.366435036689</v>
      </c>
      <c r="V60" s="48">
        <f t="shared" ca="1" si="46"/>
        <v>39604.810646755395</v>
      </c>
      <c r="W60" s="48">
        <f t="shared" ca="1" si="46"/>
        <v>21804.487629548359</v>
      </c>
    </row>
    <row r="61" spans="1:23" x14ac:dyDescent="0.4">
      <c r="B61" s="3" t="s">
        <v>9</v>
      </c>
      <c r="D61" s="42">
        <f>D60/D$40</f>
        <v>0.10653753026634383</v>
      </c>
      <c r="E61" s="42">
        <f t="shared" ref="E61:L61" si="47">E60/E$40</f>
        <v>0.26951931091969994</v>
      </c>
      <c r="F61" s="42">
        <f t="shared" si="47"/>
        <v>0.30895691609977322</v>
      </c>
      <c r="G61" s="42">
        <f t="shared" si="47"/>
        <v>0.183</v>
      </c>
      <c r="H61" s="42">
        <f t="shared" si="47"/>
        <v>0.29041585168806872</v>
      </c>
      <c r="I61" s="42">
        <f t="shared" si="47"/>
        <v>9.7898513582778068E-2</v>
      </c>
      <c r="J61" s="42">
        <f t="shared" si="47"/>
        <v>5.3991374399869806E-2</v>
      </c>
      <c r="K61" s="42">
        <f t="shared" si="47"/>
        <v>0.1001078132927448</v>
      </c>
      <c r="L61" s="42">
        <f t="shared" si="47"/>
        <v>0.12043178566783717</v>
      </c>
      <c r="M61" s="42">
        <f t="shared" ref="M61:O61" ca="1" si="48">M60/M$40</f>
        <v>8.8116548302364039E-2</v>
      </c>
      <c r="N61" s="42">
        <f t="shared" ca="1" si="48"/>
        <v>7.2190988735828354E-2</v>
      </c>
      <c r="O61" s="42">
        <f t="shared" ca="1" si="48"/>
        <v>6.2049596888588542E-2</v>
      </c>
      <c r="P61" s="85">
        <f ca="1">O61+($W$61-$O$61)/($W$39-$O$39)</f>
        <v>5.9918397277514975E-2</v>
      </c>
      <c r="Q61" s="85">
        <f t="shared" ref="Q61" ca="1" si="49">P61+($W$53-$O$53)/($W$39-$O$39)</f>
        <v>6.4508290962271786E-2</v>
      </c>
      <c r="R61" s="85">
        <f t="shared" ref="R61" ca="1" si="50">Q61+($W$53-$O$53)/($W$39-$O$39)</f>
        <v>6.9098184647028604E-2</v>
      </c>
      <c r="S61" s="85">
        <f t="shared" ref="S61" ca="1" si="51">R61+($W$53-$O$53)/($W$39-$O$39)</f>
        <v>7.3688078331785423E-2</v>
      </c>
      <c r="T61" s="85">
        <f t="shared" ref="T61" ca="1" si="52">S61+($W$53-$O$53)/($W$39-$O$39)</f>
        <v>7.8277972016542241E-2</v>
      </c>
      <c r="U61" s="85">
        <f t="shared" ref="U61" ca="1" si="53">T61+($W$53-$O$53)/($W$39-$O$39)</f>
        <v>8.2867865701299059E-2</v>
      </c>
      <c r="V61" s="85">
        <f ca="1">U61+($W$53-$O$53)/($W$39-$O$39)</f>
        <v>8.7457759386055878E-2</v>
      </c>
      <c r="W61" s="87">
        <v>4.4999999999999998E-2</v>
      </c>
    </row>
    <row r="63" spans="1:23" x14ac:dyDescent="0.4">
      <c r="B63" t="s">
        <v>119</v>
      </c>
      <c r="D63" s="36">
        <f>D35</f>
        <v>125</v>
      </c>
      <c r="E63" s="36">
        <f t="shared" ref="E63:L63" si="54">E35</f>
        <v>-257</v>
      </c>
      <c r="F63" s="36">
        <f t="shared" si="54"/>
        <v>-493.3</v>
      </c>
      <c r="G63" s="36">
        <f t="shared" si="54"/>
        <v>-693.9</v>
      </c>
      <c r="H63" s="36">
        <f t="shared" si="54"/>
        <v>-496.6</v>
      </c>
      <c r="I63" s="36">
        <f t="shared" si="54"/>
        <v>58</v>
      </c>
      <c r="J63" s="36">
        <f t="shared" si="54"/>
        <v>-349</v>
      </c>
      <c r="K63" s="36">
        <f t="shared" si="54"/>
        <v>184</v>
      </c>
      <c r="L63" s="36">
        <f t="shared" si="54"/>
        <v>518</v>
      </c>
      <c r="M63" s="36">
        <f ca="1">M64*M40</f>
        <v>34.511381340980641</v>
      </c>
      <c r="N63" s="36">
        <f t="shared" ref="N63:W63" ca="1" si="55">N64*N40</f>
        <v>45.897669446828928</v>
      </c>
      <c r="O63" s="36">
        <f t="shared" ca="1" si="55"/>
        <v>59.398565658578157</v>
      </c>
      <c r="P63" s="36">
        <f t="shared" ca="1" si="55"/>
        <v>75.206489736732536</v>
      </c>
      <c r="Q63" s="36">
        <f t="shared" ca="1" si="55"/>
        <v>93.114213915402559</v>
      </c>
      <c r="R63" s="36">
        <f t="shared" ca="1" si="55"/>
        <v>112.67705096261567</v>
      </c>
      <c r="S63" s="36">
        <f t="shared" ca="1" si="55"/>
        <v>133.19284376802966</v>
      </c>
      <c r="T63" s="36">
        <f t="shared" ca="1" si="55"/>
        <v>153.7121390856542</v>
      </c>
      <c r="U63" s="36">
        <f t="shared" ca="1" si="55"/>
        <v>173.08571381499144</v>
      </c>
      <c r="V63" s="36">
        <f t="shared" ca="1" si="55"/>
        <v>190.05140473015697</v>
      </c>
      <c r="W63" s="36">
        <f t="shared" ca="1" si="55"/>
        <v>203.35500306126798</v>
      </c>
    </row>
    <row r="64" spans="1:23" x14ac:dyDescent="0.4">
      <c r="B64" s="3" t="s">
        <v>9</v>
      </c>
      <c r="D64" s="42">
        <f>D63/D$40</f>
        <v>5.0443906376109765E-2</v>
      </c>
      <c r="E64" s="42">
        <f t="shared" ref="E64:L64" si="56">E63/E$40</f>
        <v>-7.1408724645734931E-2</v>
      </c>
      <c r="F64" s="42">
        <f t="shared" si="56"/>
        <v>-9.321617535903251E-2</v>
      </c>
      <c r="G64" s="42">
        <f t="shared" si="56"/>
        <v>-9.9128571428571427E-2</v>
      </c>
      <c r="H64" s="42">
        <f t="shared" si="56"/>
        <v>-4.2231482268900417E-2</v>
      </c>
      <c r="I64" s="42">
        <f t="shared" si="56"/>
        <v>2.7025767671590329E-3</v>
      </c>
      <c r="J64" s="42">
        <f t="shared" si="56"/>
        <v>-1.4199690780372691E-2</v>
      </c>
      <c r="K64" s="42">
        <f t="shared" si="56"/>
        <v>5.8346017250126836E-3</v>
      </c>
      <c r="L64" s="42">
        <f t="shared" si="56"/>
        <v>9.6241383795031867E-3</v>
      </c>
      <c r="M64" s="42">
        <f>AVERAGE(J64:L64)</f>
        <v>4.1968310804772643E-4</v>
      </c>
      <c r="N64" s="42">
        <f>M64</f>
        <v>4.1968310804772643E-4</v>
      </c>
      <c r="O64" s="42">
        <f t="shared" ref="O64:W64" si="57">N64</f>
        <v>4.1968310804772643E-4</v>
      </c>
      <c r="P64" s="42">
        <f t="shared" si="57"/>
        <v>4.1968310804772643E-4</v>
      </c>
      <c r="Q64" s="42">
        <f t="shared" si="57"/>
        <v>4.1968310804772643E-4</v>
      </c>
      <c r="R64" s="42">
        <f t="shared" si="57"/>
        <v>4.1968310804772643E-4</v>
      </c>
      <c r="S64" s="42">
        <f t="shared" si="57"/>
        <v>4.1968310804772643E-4</v>
      </c>
      <c r="T64" s="42">
        <f t="shared" si="57"/>
        <v>4.1968310804772643E-4</v>
      </c>
      <c r="U64" s="42">
        <f t="shared" si="57"/>
        <v>4.1968310804772643E-4</v>
      </c>
      <c r="V64" s="42">
        <f t="shared" si="57"/>
        <v>4.1968310804772643E-4</v>
      </c>
      <c r="W64" s="42">
        <f t="shared" si="57"/>
        <v>4.1968310804772643E-4</v>
      </c>
    </row>
    <row r="66" spans="1:24" x14ac:dyDescent="0.4">
      <c r="A66" s="71" t="s">
        <v>1</v>
      </c>
      <c r="B66" s="49" t="s">
        <v>136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  <c r="N66" s="51">
        <f t="shared" ref="N66:W66" ca="1" si="58">N55+N57-N60-N63</f>
        <v>11442.505458755735</v>
      </c>
      <c r="O66" s="51">
        <f t="shared" ca="1" si="58"/>
        <v>17312.615020473302</v>
      </c>
      <c r="P66" s="51">
        <f t="shared" ca="1" si="58"/>
        <v>22940.824042235276</v>
      </c>
      <c r="Q66" s="51">
        <f t="shared" ca="1" si="58"/>
        <v>28163.190658738662</v>
      </c>
      <c r="R66" s="51">
        <f t="shared" ca="1" si="58"/>
        <v>33774.053886400223</v>
      </c>
      <c r="S66" s="51">
        <f t="shared" ca="1" si="58"/>
        <v>39543.410894572487</v>
      </c>
      <c r="T66" s="51">
        <f t="shared" ca="1" si="58"/>
        <v>45175.616875614178</v>
      </c>
      <c r="U66" s="51">
        <f t="shared" ca="1" si="58"/>
        <v>50328.035442890563</v>
      </c>
      <c r="V66" s="51">
        <f t="shared" ca="1" si="58"/>
        <v>54640.56676169423</v>
      </c>
      <c r="W66" s="52">
        <f t="shared" ca="1" si="58"/>
        <v>80570.158060176778</v>
      </c>
    </row>
    <row r="67" spans="1:24" x14ac:dyDescent="0.4">
      <c r="B67" s="53" t="s">
        <v>137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65"/>
      <c r="N67" s="65">
        <f t="shared" ref="N67:W67" ca="1" si="59">N66/(1+wacc)^N38</f>
        <v>10214.040481285039</v>
      </c>
      <c r="O67" s="65">
        <f t="shared" ca="1" si="59"/>
        <v>13794.804966150687</v>
      </c>
      <c r="P67" s="65">
        <f t="shared" ca="1" si="59"/>
        <v>16316.926351050224</v>
      </c>
      <c r="Q67" s="65">
        <f t="shared" ca="1" si="59"/>
        <v>17880.828640488009</v>
      </c>
      <c r="R67" s="65">
        <f t="shared" ca="1" si="59"/>
        <v>19141.035307021109</v>
      </c>
      <c r="S67" s="65">
        <f t="shared" ca="1" si="59"/>
        <v>20004.735169027121</v>
      </c>
      <c r="T67" s="65">
        <f t="shared" ca="1" si="59"/>
        <v>20400.425084526454</v>
      </c>
      <c r="U67" s="65">
        <f t="shared" ca="1" si="59"/>
        <v>20287.173801375895</v>
      </c>
      <c r="V67" s="65">
        <f t="shared" ca="1" si="59"/>
        <v>19660.891826824212</v>
      </c>
      <c r="W67" s="69">
        <f t="shared" ca="1" si="59"/>
        <v>25878.475019047164</v>
      </c>
    </row>
    <row r="68" spans="1:24" x14ac:dyDescent="0.4">
      <c r="O68" t="s">
        <v>157</v>
      </c>
    </row>
    <row r="69" spans="1:24" x14ac:dyDescent="0.4">
      <c r="B69" t="s">
        <v>138</v>
      </c>
      <c r="W69" s="67">
        <f ca="1">(W66*(1+tgr))/(wacc-tgr)</f>
        <v>919300.46671866521</v>
      </c>
    </row>
    <row r="70" spans="1:24" x14ac:dyDescent="0.4">
      <c r="B70" t="s">
        <v>139</v>
      </c>
      <c r="W70" s="67">
        <f ca="1">W69/(1+wacc)^W38</f>
        <v>295271.78220512951</v>
      </c>
    </row>
    <row r="72" spans="1:24" x14ac:dyDescent="0.4">
      <c r="B72" t="s">
        <v>140</v>
      </c>
      <c r="W72" s="67">
        <f ca="1">SUM(N67:W67,W70)</f>
        <v>478851.11885192542</v>
      </c>
    </row>
    <row r="73" spans="1:24" x14ac:dyDescent="0.4">
      <c r="B73" t="s">
        <v>141</v>
      </c>
      <c r="W73" s="67">
        <f>WACC!G15</f>
        <v>3553</v>
      </c>
    </row>
    <row r="74" spans="1:24" x14ac:dyDescent="0.4">
      <c r="B74" t="s">
        <v>142</v>
      </c>
      <c r="W74" s="67">
        <f>19532+1575</f>
        <v>21107</v>
      </c>
    </row>
    <row r="75" spans="1:24" x14ac:dyDescent="0.4">
      <c r="B75" t="s">
        <v>143</v>
      </c>
      <c r="W75" s="67">
        <f ca="1">W72-W73+W74</f>
        <v>496405.11885192542</v>
      </c>
    </row>
    <row r="76" spans="1:24" x14ac:dyDescent="0.4">
      <c r="B76" t="s">
        <v>144</v>
      </c>
      <c r="W76" s="67">
        <v>3710</v>
      </c>
    </row>
    <row r="77" spans="1:24" x14ac:dyDescent="0.4">
      <c r="A77" s="71" t="s">
        <v>1</v>
      </c>
      <c r="B77" t="s">
        <v>145</v>
      </c>
      <c r="W77" s="75">
        <f ca="1">W75/W76</f>
        <v>133.80191882801225</v>
      </c>
      <c r="X77" t="s">
        <v>157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620-CA7A-4721-B230-B63E42271BB1}">
  <dimension ref="A2:G22"/>
  <sheetViews>
    <sheetView showGridLines="0" workbookViewId="0">
      <selection activeCell="G15" sqref="G15"/>
    </sheetView>
  </sheetViews>
  <sheetFormatPr defaultRowHeight="14.6" x14ac:dyDescent="0.4"/>
  <cols>
    <col min="1" max="1" width="7.69140625" bestFit="1" customWidth="1"/>
    <col min="2" max="2" width="8" bestFit="1" customWidth="1"/>
    <col min="3" max="3" width="6.69140625" bestFit="1" customWidth="1"/>
    <col min="7" max="7" width="21.3046875" style="57" customWidth="1"/>
  </cols>
  <sheetData>
    <row r="2" spans="1:7" s="54" customFormat="1" x14ac:dyDescent="0.4">
      <c r="B2" s="54" t="s">
        <v>147</v>
      </c>
      <c r="G2" s="58"/>
    </row>
    <row r="4" spans="1:7" x14ac:dyDescent="0.4">
      <c r="B4" t="s">
        <v>158</v>
      </c>
    </row>
    <row r="5" spans="1:7" x14ac:dyDescent="0.4">
      <c r="B5" t="s">
        <v>159</v>
      </c>
    </row>
    <row r="7" spans="1:7" x14ac:dyDescent="0.4">
      <c r="A7" t="s">
        <v>1</v>
      </c>
      <c r="B7" s="55" t="s">
        <v>147</v>
      </c>
      <c r="C7" s="55"/>
      <c r="D7" s="55"/>
      <c r="E7" s="55"/>
      <c r="F7" s="55"/>
      <c r="G7" s="59"/>
    </row>
    <row r="8" spans="1:7" x14ac:dyDescent="0.4">
      <c r="B8" t="s">
        <v>160</v>
      </c>
      <c r="G8" s="4">
        <v>386500</v>
      </c>
    </row>
    <row r="9" spans="1:7" x14ac:dyDescent="0.4">
      <c r="B9" t="s">
        <v>161</v>
      </c>
      <c r="G9" s="60">
        <f>G8/G20</f>
        <v>0.99089098148200372</v>
      </c>
    </row>
    <row r="10" spans="1:7" x14ac:dyDescent="0.4">
      <c r="B10" t="s">
        <v>162</v>
      </c>
      <c r="G10" s="57">
        <f>G11+G12*G13</f>
        <v>0.12114799999999999</v>
      </c>
    </row>
    <row r="11" spans="1:7" x14ac:dyDescent="0.4">
      <c r="B11" t="s">
        <v>163</v>
      </c>
      <c r="G11" s="56">
        <v>3.5299999999999998E-2</v>
      </c>
    </row>
    <row r="12" spans="1:7" x14ac:dyDescent="0.4">
      <c r="B12" t="s">
        <v>164</v>
      </c>
      <c r="G12" s="61">
        <v>1.68</v>
      </c>
    </row>
    <row r="13" spans="1:7" x14ac:dyDescent="0.4">
      <c r="B13" t="s">
        <v>165</v>
      </c>
      <c r="G13" s="56">
        <v>5.11E-2</v>
      </c>
    </row>
    <row r="15" spans="1:7" x14ac:dyDescent="0.4">
      <c r="B15" t="s">
        <v>166</v>
      </c>
      <c r="G15" s="66">
        <f>1457+2096</f>
        <v>3553</v>
      </c>
    </row>
    <row r="16" spans="1:7" x14ac:dyDescent="0.4">
      <c r="B16" t="s">
        <v>167</v>
      </c>
      <c r="G16" s="57">
        <f>G15/G20</f>
        <v>9.1090185179962726E-3</v>
      </c>
    </row>
    <row r="17" spans="1:7" x14ac:dyDescent="0.4">
      <c r="B17" t="s">
        <v>168</v>
      </c>
      <c r="G17" s="56">
        <v>2.5000000000000001E-2</v>
      </c>
    </row>
    <row r="18" spans="1:7" x14ac:dyDescent="0.4">
      <c r="B18" t="s">
        <v>169</v>
      </c>
      <c r="G18" s="56">
        <f>IS!K26/IS!K23</f>
        <v>0.10421520864223681</v>
      </c>
    </row>
    <row r="19" spans="1:7" x14ac:dyDescent="0.4">
      <c r="G19" s="57" t="s">
        <v>157</v>
      </c>
    </row>
    <row r="20" spans="1:7" x14ac:dyDescent="0.4">
      <c r="B20" t="s">
        <v>170</v>
      </c>
      <c r="G20" s="4">
        <f>G8+G15</f>
        <v>390053</v>
      </c>
    </row>
    <row r="22" spans="1:7" x14ac:dyDescent="0.4">
      <c r="A22" t="s">
        <v>1</v>
      </c>
      <c r="B22" s="62" t="s">
        <v>147</v>
      </c>
      <c r="C22" s="63"/>
      <c r="D22" s="63"/>
      <c r="E22" s="63"/>
      <c r="F22" s="63"/>
      <c r="G22" s="64">
        <f>(G9*G10)+(G16*G17)</f>
        <v>0.12027218608753169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D049-D643-4E05-B425-EFD7435B192A}">
  <dimension ref="A1:P29"/>
  <sheetViews>
    <sheetView workbookViewId="0">
      <selection activeCell="B4" sqref="B4"/>
    </sheetView>
  </sheetViews>
  <sheetFormatPr defaultRowHeight="12.9" x14ac:dyDescent="0.35"/>
  <cols>
    <col min="1" max="1" width="27.61328125" style="6" bestFit="1" customWidth="1"/>
    <col min="2" max="16384" width="9.23046875" style="6"/>
  </cols>
  <sheetData>
    <row r="1" spans="1:16" x14ac:dyDescent="0.35">
      <c r="A1" s="9" t="s">
        <v>15</v>
      </c>
    </row>
    <row r="2" spans="1:16" x14ac:dyDescent="0.35">
      <c r="A2" s="10" t="s">
        <v>16</v>
      </c>
    </row>
    <row r="3" spans="1:16" x14ac:dyDescent="0.35"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</row>
    <row r="4" spans="1:16" x14ac:dyDescent="0.35">
      <c r="A4" s="6" t="s">
        <v>32</v>
      </c>
      <c r="B4" s="7">
        <v>2478</v>
      </c>
      <c r="C4" s="7">
        <v>3599</v>
      </c>
      <c r="D4" s="7">
        <v>5292</v>
      </c>
      <c r="E4" s="7">
        <v>7000</v>
      </c>
      <c r="F4" s="7">
        <v>11759</v>
      </c>
      <c r="G4" s="7">
        <v>21461</v>
      </c>
      <c r="H4" s="7">
        <v>24578</v>
      </c>
      <c r="I4" s="7">
        <v>31536</v>
      </c>
      <c r="J4" s="7">
        <v>53823</v>
      </c>
      <c r="K4" s="7">
        <v>82232</v>
      </c>
      <c r="L4" s="7">
        <v>110185</v>
      </c>
      <c r="M4" s="7">
        <v>143698</v>
      </c>
      <c r="N4" s="7">
        <v>180566</v>
      </c>
      <c r="O4" s="7">
        <v>156708</v>
      </c>
      <c r="P4" s="7">
        <v>220938</v>
      </c>
    </row>
    <row r="5" spans="1:16" x14ac:dyDescent="0.35">
      <c r="A5" s="6" t="s">
        <v>33</v>
      </c>
      <c r="B5" s="7"/>
      <c r="C5" s="7"/>
      <c r="D5" s="7"/>
      <c r="E5" s="7">
        <v>7724</v>
      </c>
      <c r="F5" s="7">
        <v>11759</v>
      </c>
      <c r="G5" s="7">
        <v>21461</v>
      </c>
      <c r="H5" s="7">
        <v>24578</v>
      </c>
      <c r="I5" s="7">
        <v>31536</v>
      </c>
      <c r="J5" s="7">
        <v>53823</v>
      </c>
      <c r="K5" s="7">
        <v>83102</v>
      </c>
      <c r="L5" s="7">
        <v>113682</v>
      </c>
      <c r="M5" s="7">
        <v>159346</v>
      </c>
      <c r="N5" s="7">
        <v>202309</v>
      </c>
      <c r="O5" s="7">
        <v>107937</v>
      </c>
      <c r="P5" s="7"/>
    </row>
    <row r="6" spans="1:16" x14ac:dyDescent="0.35">
      <c r="A6" s="6" t="s">
        <v>34</v>
      </c>
      <c r="B6" s="7"/>
      <c r="C6" s="7"/>
      <c r="D6" s="7"/>
      <c r="E6" s="7">
        <v>7000</v>
      </c>
      <c r="F6" s="7">
        <v>11759</v>
      </c>
      <c r="G6" s="7">
        <v>21461</v>
      </c>
      <c r="H6" s="7">
        <v>24578</v>
      </c>
      <c r="I6" s="7">
        <v>31536</v>
      </c>
      <c r="J6" s="7">
        <v>53823</v>
      </c>
      <c r="K6" s="7">
        <v>81254</v>
      </c>
      <c r="L6" s="7">
        <v>105297</v>
      </c>
      <c r="M6" s="7">
        <v>135617</v>
      </c>
      <c r="N6" s="7">
        <v>155933</v>
      </c>
      <c r="O6" s="7">
        <v>157506</v>
      </c>
      <c r="P6" s="7">
        <v>170192</v>
      </c>
    </row>
    <row r="7" spans="1:16" x14ac:dyDescent="0.35">
      <c r="A7" s="6" t="s">
        <v>35</v>
      </c>
      <c r="B7" s="7"/>
      <c r="C7" s="7"/>
      <c r="D7" s="7">
        <v>3581</v>
      </c>
      <c r="E7" s="7">
        <v>5393</v>
      </c>
      <c r="F7" s="7">
        <v>9536</v>
      </c>
      <c r="G7" s="7">
        <v>17383</v>
      </c>
      <c r="H7" s="7">
        <v>20509</v>
      </c>
      <c r="I7" s="7">
        <v>24906</v>
      </c>
      <c r="J7" s="7">
        <v>40217</v>
      </c>
      <c r="K7" s="7">
        <v>60533</v>
      </c>
      <c r="L7" s="7">
        <v>81847</v>
      </c>
      <c r="M7" s="7">
        <v>105113</v>
      </c>
      <c r="N7" s="7">
        <v>113875</v>
      </c>
      <c r="O7" s="7">
        <v>119448</v>
      </c>
      <c r="P7" s="7">
        <v>147077</v>
      </c>
    </row>
    <row r="8" spans="1:16" x14ac:dyDescent="0.35">
      <c r="A8" s="6" t="s">
        <v>36</v>
      </c>
      <c r="B8" s="7"/>
      <c r="C8" s="7"/>
      <c r="D8" s="7"/>
      <c r="E8" s="7"/>
      <c r="F8" s="7"/>
      <c r="G8" s="7"/>
      <c r="H8" s="7"/>
      <c r="I8" s="7"/>
      <c r="J8" s="7"/>
      <c r="K8" s="8">
        <v>134.9</v>
      </c>
      <c r="L8" s="8">
        <v>32.700000000000003</v>
      </c>
      <c r="M8" s="8">
        <v>4.8</v>
      </c>
      <c r="N8" s="8">
        <v>-8.6</v>
      </c>
      <c r="O8" s="8">
        <v>21</v>
      </c>
      <c r="P8" s="8">
        <v>13.2</v>
      </c>
    </row>
    <row r="9" spans="1:16" x14ac:dyDescent="0.35">
      <c r="A9" s="6" t="s">
        <v>37</v>
      </c>
      <c r="B9" s="7">
        <v>543</v>
      </c>
      <c r="C9" s="7">
        <v>982</v>
      </c>
      <c r="D9" s="7">
        <v>1252</v>
      </c>
      <c r="E9" s="7">
        <v>1624</v>
      </c>
      <c r="F9" s="7">
        <v>2266</v>
      </c>
      <c r="G9" s="7">
        <v>4114</v>
      </c>
      <c r="H9" s="7">
        <v>4069</v>
      </c>
      <c r="I9" s="7">
        <v>6630</v>
      </c>
      <c r="J9" s="7">
        <v>13606</v>
      </c>
      <c r="K9" s="7">
        <v>21445</v>
      </c>
      <c r="L9" s="7">
        <v>27095</v>
      </c>
      <c r="M9" s="7">
        <v>37630</v>
      </c>
      <c r="N9" s="7">
        <v>44665</v>
      </c>
      <c r="O9" s="7">
        <v>36920</v>
      </c>
      <c r="P9" s="7">
        <v>40030</v>
      </c>
    </row>
    <row r="10" spans="1:16" x14ac:dyDescent="0.35">
      <c r="A10" s="6" t="s">
        <v>38</v>
      </c>
      <c r="B10" s="7">
        <v>286</v>
      </c>
      <c r="C10" s="7">
        <v>527</v>
      </c>
      <c r="D10" s="7">
        <v>833</v>
      </c>
      <c r="E10" s="7">
        <v>1267</v>
      </c>
      <c r="F10" s="7">
        <v>2477</v>
      </c>
      <c r="G10" s="7">
        <v>2902</v>
      </c>
      <c r="H10" s="7">
        <v>2646</v>
      </c>
      <c r="I10" s="7">
        <v>3145</v>
      </c>
      <c r="J10" s="7">
        <v>4517</v>
      </c>
      <c r="K10" s="7">
        <v>4294</v>
      </c>
      <c r="L10" s="7">
        <v>4872</v>
      </c>
      <c r="M10" s="7">
        <v>5785</v>
      </c>
      <c r="N10" s="7">
        <v>6615</v>
      </c>
      <c r="O10" s="7">
        <v>6354</v>
      </c>
      <c r="P10" s="7">
        <v>5636</v>
      </c>
    </row>
    <row r="11" spans="1:16" x14ac:dyDescent="0.35">
      <c r="A11" s="6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35">
      <c r="A12" s="6" t="s">
        <v>40</v>
      </c>
      <c r="B12" s="7"/>
      <c r="C12" s="7"/>
      <c r="D12" s="7"/>
      <c r="E12" s="7"/>
      <c r="F12" s="7"/>
      <c r="G12" s="7"/>
      <c r="H12" s="7">
        <v>2646</v>
      </c>
      <c r="I12" s="7">
        <v>3145</v>
      </c>
      <c r="J12" s="7">
        <v>4517</v>
      </c>
      <c r="K12" s="7">
        <v>4248</v>
      </c>
      <c r="L12" s="7">
        <v>5278</v>
      </c>
      <c r="M12" s="7">
        <v>6433</v>
      </c>
      <c r="N12" s="7"/>
      <c r="O12" s="7"/>
      <c r="P12" s="7"/>
    </row>
    <row r="13" spans="1:16" x14ac:dyDescent="0.35">
      <c r="A13" s="6" t="s">
        <v>41</v>
      </c>
      <c r="B13" s="7">
        <v>232</v>
      </c>
      <c r="C13" s="7">
        <v>402</v>
      </c>
      <c r="D13" s="7">
        <v>629</v>
      </c>
      <c r="E13" s="7">
        <v>680</v>
      </c>
      <c r="F13" s="7">
        <v>1160</v>
      </c>
      <c r="G13" s="7">
        <v>1460</v>
      </c>
      <c r="H13" s="7">
        <v>1343</v>
      </c>
      <c r="I13" s="7">
        <v>1491</v>
      </c>
      <c r="J13" s="7">
        <v>2593</v>
      </c>
      <c r="K13" s="7">
        <v>3052</v>
      </c>
      <c r="L13" s="7">
        <v>3724</v>
      </c>
      <c r="M13" s="7">
        <v>4322</v>
      </c>
      <c r="N13" s="7">
        <v>4669</v>
      </c>
      <c r="O13" s="7">
        <v>4950</v>
      </c>
      <c r="P13" s="7">
        <v>5141</v>
      </c>
    </row>
    <row r="14" spans="1:16" x14ac:dyDescent="0.35">
      <c r="A14" s="6" t="s">
        <v>42</v>
      </c>
      <c r="B14" s="7">
        <v>206</v>
      </c>
      <c r="C14" s="7">
        <v>284</v>
      </c>
      <c r="D14" s="7">
        <v>213</v>
      </c>
      <c r="E14" s="7">
        <v>614</v>
      </c>
      <c r="F14" s="7">
        <v>471</v>
      </c>
      <c r="G14" s="7">
        <v>2263</v>
      </c>
      <c r="H14" s="7">
        <v>2983</v>
      </c>
      <c r="I14" s="7">
        <v>5922</v>
      </c>
      <c r="J14" s="7">
        <v>11573</v>
      </c>
      <c r="K14" s="7">
        <v>18762</v>
      </c>
      <c r="L14" s="7">
        <v>22687</v>
      </c>
      <c r="M14" s="7">
        <v>32148</v>
      </c>
      <c r="N14" s="7">
        <v>39779</v>
      </c>
      <c r="O14" s="7">
        <v>37183</v>
      </c>
      <c r="P14" s="7">
        <v>36850</v>
      </c>
    </row>
    <row r="15" spans="1:16" x14ac:dyDescent="0.35">
      <c r="A15" s="6" t="s">
        <v>43</v>
      </c>
      <c r="B15" s="7">
        <v>208</v>
      </c>
      <c r="C15" s="7">
        <v>284</v>
      </c>
      <c r="D15" s="7">
        <v>213</v>
      </c>
      <c r="E15" s="7">
        <v>614</v>
      </c>
      <c r="F15" s="7">
        <v>471</v>
      </c>
      <c r="G15" s="7">
        <v>2263</v>
      </c>
      <c r="H15" s="7">
        <v>2983</v>
      </c>
      <c r="I15" s="7">
        <v>5922</v>
      </c>
      <c r="J15" s="7">
        <v>11597</v>
      </c>
      <c r="K15" s="7">
        <v>18841</v>
      </c>
      <c r="L15" s="7">
        <v>22775</v>
      </c>
      <c r="M15" s="7">
        <v>32859</v>
      </c>
      <c r="N15" s="7">
        <v>39779</v>
      </c>
      <c r="O15" s="7">
        <v>37183</v>
      </c>
      <c r="P15" s="7">
        <v>36850</v>
      </c>
    </row>
    <row r="16" spans="1:16" x14ac:dyDescent="0.35">
      <c r="A16" s="6" t="s">
        <v>44</v>
      </c>
      <c r="B16" s="7">
        <v>122</v>
      </c>
      <c r="C16" s="7">
        <v>125</v>
      </c>
      <c r="D16" s="7">
        <v>-17</v>
      </c>
      <c r="E16" s="7">
        <v>426</v>
      </c>
      <c r="F16" s="7">
        <v>4</v>
      </c>
      <c r="G16" s="7">
        <v>1513</v>
      </c>
      <c r="H16" s="7">
        <v>2085</v>
      </c>
      <c r="I16" s="7">
        <v>4316</v>
      </c>
      <c r="J16" s="7">
        <v>9434</v>
      </c>
      <c r="K16" s="7">
        <v>17551</v>
      </c>
      <c r="L16" s="7">
        <v>18786</v>
      </c>
      <c r="M16" s="7">
        <v>24547</v>
      </c>
      <c r="N16" s="7">
        <v>27414</v>
      </c>
      <c r="O16" s="7">
        <v>32988</v>
      </c>
      <c r="P16" s="7">
        <v>36602</v>
      </c>
    </row>
    <row r="17" spans="1:16" x14ac:dyDescent="0.35">
      <c r="A17" s="6" t="s">
        <v>45</v>
      </c>
      <c r="B17" s="7">
        <v>95</v>
      </c>
      <c r="C17" s="7">
        <v>232</v>
      </c>
      <c r="D17" s="7">
        <v>423</v>
      </c>
      <c r="E17" s="7">
        <v>947</v>
      </c>
      <c r="F17" s="7">
        <v>1636</v>
      </c>
      <c r="G17" s="7">
        <v>1901</v>
      </c>
      <c r="H17" s="7">
        <v>2154</v>
      </c>
      <c r="I17" s="7">
        <v>232</v>
      </c>
      <c r="J17" s="7">
        <v>2911</v>
      </c>
      <c r="K17" s="7">
        <v>3725</v>
      </c>
      <c r="L17" s="7">
        <v>4413</v>
      </c>
      <c r="M17" s="7">
        <v>5114</v>
      </c>
      <c r="N17" s="7">
        <v>5577</v>
      </c>
      <c r="O17" s="7">
        <v>6218</v>
      </c>
      <c r="P17" s="7">
        <v>7108</v>
      </c>
    </row>
    <row r="18" spans="1:16" x14ac:dyDescent="0.35">
      <c r="A18" s="6" t="s">
        <v>46</v>
      </c>
      <c r="B18" s="7">
        <v>100</v>
      </c>
      <c r="C18" s="7">
        <v>52</v>
      </c>
      <c r="D18" s="7">
        <v>-209</v>
      </c>
      <c r="E18" s="7">
        <v>-317</v>
      </c>
      <c r="F18" s="7">
        <v>-1165</v>
      </c>
      <c r="G18" s="7">
        <v>-388</v>
      </c>
      <c r="H18" s="7">
        <v>-69</v>
      </c>
      <c r="I18" s="7">
        <v>1994</v>
      </c>
      <c r="J18" s="7">
        <v>6523</v>
      </c>
      <c r="K18" s="7">
        <v>14138</v>
      </c>
      <c r="L18" s="7">
        <v>18462</v>
      </c>
      <c r="M18" s="7">
        <v>26558</v>
      </c>
      <c r="N18" s="7">
        <v>31993</v>
      </c>
      <c r="O18" s="7">
        <v>26616</v>
      </c>
      <c r="P18" s="7">
        <v>29270</v>
      </c>
    </row>
    <row r="19" spans="1:16" x14ac:dyDescent="0.35">
      <c r="A19" s="6" t="s">
        <v>47</v>
      </c>
      <c r="B19" s="7"/>
      <c r="C19" s="7"/>
      <c r="D19" s="7">
        <v>-209</v>
      </c>
      <c r="E19" s="7"/>
      <c r="F19" s="7">
        <v>-511</v>
      </c>
      <c r="G19" s="7">
        <v>403</v>
      </c>
      <c r="H19" s="7">
        <v>80</v>
      </c>
      <c r="I19" s="7">
        <v>1994</v>
      </c>
      <c r="J19" s="7">
        <v>6496</v>
      </c>
      <c r="K19" s="7">
        <v>14921</v>
      </c>
      <c r="L19" s="7">
        <v>18654</v>
      </c>
      <c r="M19" s="7">
        <v>23733</v>
      </c>
      <c r="N19" s="7">
        <v>19471</v>
      </c>
      <c r="O19" s="7">
        <v>24046</v>
      </c>
      <c r="P19" s="7">
        <v>26659</v>
      </c>
    </row>
    <row r="20" spans="1:16" x14ac:dyDescent="0.35">
      <c r="A20" s="6" t="s">
        <v>48</v>
      </c>
      <c r="B20" s="7">
        <v>100</v>
      </c>
      <c r="C20" s="7">
        <v>52</v>
      </c>
      <c r="D20" s="7">
        <v>-209</v>
      </c>
      <c r="E20" s="7">
        <v>-317</v>
      </c>
      <c r="F20" s="7">
        <v>-1165</v>
      </c>
      <c r="G20" s="7">
        <v>361</v>
      </c>
      <c r="H20" s="7">
        <v>-69</v>
      </c>
      <c r="I20" s="7">
        <v>1994</v>
      </c>
      <c r="J20" s="7">
        <v>6523</v>
      </c>
      <c r="K20" s="7">
        <v>14178</v>
      </c>
      <c r="L20" s="7">
        <v>18572</v>
      </c>
      <c r="M20" s="7">
        <v>26604</v>
      </c>
      <c r="N20" s="7">
        <v>32900</v>
      </c>
      <c r="O20" s="7">
        <v>25558</v>
      </c>
      <c r="P20" s="7">
        <v>27620</v>
      </c>
    </row>
    <row r="21" spans="1:16" x14ac:dyDescent="0.35">
      <c r="A21" s="6" t="s">
        <v>49</v>
      </c>
      <c r="B21" s="7">
        <v>-61</v>
      </c>
      <c r="C21" s="7">
        <v>-187</v>
      </c>
      <c r="D21" s="7">
        <v>-717</v>
      </c>
      <c r="E21" s="7">
        <v>-667</v>
      </c>
      <c r="F21" s="7">
        <v>-1632</v>
      </c>
      <c r="G21" s="7">
        <v>-388</v>
      </c>
      <c r="H21" s="7">
        <v>-69</v>
      </c>
      <c r="I21" s="7">
        <v>1994</v>
      </c>
      <c r="J21" s="7">
        <v>6523</v>
      </c>
      <c r="K21" s="7">
        <v>13802</v>
      </c>
      <c r="L21" s="7">
        <v>15518</v>
      </c>
      <c r="M21" s="7">
        <v>24086</v>
      </c>
      <c r="N21" s="7">
        <v>26582</v>
      </c>
      <c r="O21" s="7">
        <v>27422</v>
      </c>
      <c r="P21" s="7">
        <v>29589</v>
      </c>
    </row>
    <row r="22" spans="1:16" x14ac:dyDescent="0.35">
      <c r="A22" s="6" t="s">
        <v>50</v>
      </c>
      <c r="B22" s="7">
        <v>33</v>
      </c>
      <c r="C22" s="7">
        <v>63</v>
      </c>
      <c r="D22" s="7">
        <v>119</v>
      </c>
      <c r="E22" s="7">
        <v>195</v>
      </c>
      <c r="F22" s="7">
        <v>452</v>
      </c>
      <c r="G22" s="7">
        <v>663</v>
      </c>
      <c r="H22" s="7">
        <v>684</v>
      </c>
      <c r="I22" s="7">
        <v>748</v>
      </c>
      <c r="J22" s="7">
        <v>371</v>
      </c>
      <c r="K22" s="7">
        <v>210</v>
      </c>
      <c r="L22" s="7">
        <v>227</v>
      </c>
      <c r="M22" s="7">
        <v>266</v>
      </c>
      <c r="N22" s="7">
        <v>170</v>
      </c>
      <c r="O22" s="7">
        <v>210</v>
      </c>
      <c r="P22" s="7">
        <v>199</v>
      </c>
    </row>
    <row r="23" spans="1:16" x14ac:dyDescent="0.35">
      <c r="A23" s="6" t="s">
        <v>51</v>
      </c>
      <c r="B23" s="7">
        <v>93</v>
      </c>
      <c r="C23" s="7">
        <v>30</v>
      </c>
      <c r="D23" s="7">
        <v>-282</v>
      </c>
      <c r="E23" s="7">
        <v>-485</v>
      </c>
      <c r="F23" s="7">
        <v>-1685</v>
      </c>
      <c r="G23" s="7">
        <v>-256</v>
      </c>
      <c r="H23" s="7">
        <v>-665</v>
      </c>
      <c r="I23" s="7">
        <v>1154</v>
      </c>
      <c r="J23" s="7">
        <v>6343</v>
      </c>
      <c r="K23" s="7">
        <v>14163</v>
      </c>
      <c r="L23" s="7">
        <v>18918</v>
      </c>
      <c r="M23" s="7">
        <v>26882</v>
      </c>
      <c r="N23" s="7">
        <v>32246</v>
      </c>
      <c r="O23" s="7">
        <v>26712</v>
      </c>
      <c r="P23" s="7">
        <v>29544</v>
      </c>
    </row>
    <row r="24" spans="1:16" x14ac:dyDescent="0.35">
      <c r="A24" s="6" t="s">
        <v>52</v>
      </c>
      <c r="B24" s="7">
        <v>93</v>
      </c>
      <c r="C24" s="7">
        <v>30</v>
      </c>
      <c r="D24" s="7">
        <v>-282</v>
      </c>
      <c r="E24" s="7">
        <v>-485</v>
      </c>
      <c r="F24" s="7">
        <v>-1685</v>
      </c>
      <c r="G24" s="7">
        <v>-256</v>
      </c>
      <c r="H24" s="7">
        <v>-665</v>
      </c>
      <c r="I24" s="7">
        <v>1154</v>
      </c>
      <c r="J24" s="7">
        <v>6343</v>
      </c>
      <c r="K24" s="7">
        <v>15393</v>
      </c>
      <c r="L24" s="7">
        <v>20824</v>
      </c>
      <c r="M24" s="7">
        <v>28234</v>
      </c>
      <c r="N24" s="7">
        <v>36291</v>
      </c>
      <c r="O24" s="7">
        <v>22646</v>
      </c>
      <c r="P24" s="7">
        <v>28582</v>
      </c>
    </row>
    <row r="25" spans="1:16" x14ac:dyDescent="0.35">
      <c r="A25" s="6" t="s">
        <v>53</v>
      </c>
      <c r="B25" s="7">
        <v>-71</v>
      </c>
      <c r="C25" s="7">
        <v>-285</v>
      </c>
      <c r="D25" s="7">
        <v>-579</v>
      </c>
      <c r="E25" s="7">
        <v>-546</v>
      </c>
      <c r="F25" s="7">
        <v>-2209</v>
      </c>
      <c r="G25" s="7">
        <v>-1005</v>
      </c>
      <c r="H25" s="7">
        <v>-6665</v>
      </c>
      <c r="I25" s="7">
        <v>1154</v>
      </c>
      <c r="J25" s="7">
        <v>6343</v>
      </c>
      <c r="K25" s="7">
        <v>14083</v>
      </c>
      <c r="L25" s="7">
        <v>17907</v>
      </c>
      <c r="M25" s="7">
        <v>26035</v>
      </c>
      <c r="N25" s="7">
        <v>31042</v>
      </c>
      <c r="O25" s="7">
        <v>26712</v>
      </c>
      <c r="P25" s="7">
        <v>29544</v>
      </c>
    </row>
    <row r="26" spans="1:16" x14ac:dyDescent="0.35">
      <c r="A26" s="6" t="s">
        <v>54</v>
      </c>
      <c r="B26" s="7">
        <v>3</v>
      </c>
      <c r="C26" s="7">
        <v>9</v>
      </c>
      <c r="D26" s="7">
        <v>13</v>
      </c>
      <c r="E26" s="7">
        <v>27</v>
      </c>
      <c r="F26" s="7">
        <v>32</v>
      </c>
      <c r="G26" s="7">
        <v>58</v>
      </c>
      <c r="H26" s="7">
        <v>110</v>
      </c>
      <c r="I26" s="7">
        <v>292</v>
      </c>
      <c r="J26" s="7">
        <v>699</v>
      </c>
      <c r="K26" s="7">
        <v>1476</v>
      </c>
      <c r="L26" s="7">
        <v>2807</v>
      </c>
      <c r="M26" s="7">
        <v>4410</v>
      </c>
      <c r="N26" s="7">
        <v>6073</v>
      </c>
      <c r="O26" s="7">
        <v>5577</v>
      </c>
      <c r="P26" s="7">
        <v>5860</v>
      </c>
    </row>
    <row r="27" spans="1:16" x14ac:dyDescent="0.35">
      <c r="A27" s="6" t="s">
        <v>55</v>
      </c>
      <c r="B27" s="7">
        <v>104</v>
      </c>
      <c r="C27" s="7">
        <v>20</v>
      </c>
      <c r="D27" s="7">
        <v>-295</v>
      </c>
      <c r="E27" s="7">
        <v>-414</v>
      </c>
      <c r="F27" s="7">
        <v>-1437</v>
      </c>
      <c r="G27" s="7">
        <v>-227</v>
      </c>
      <c r="H27" s="7">
        <v>36</v>
      </c>
      <c r="I27" s="7">
        <v>2455</v>
      </c>
      <c r="J27" s="7">
        <v>7640</v>
      </c>
      <c r="K27" s="7">
        <v>13517</v>
      </c>
      <c r="L27" s="7">
        <v>16546</v>
      </c>
      <c r="M27" s="7">
        <v>22819</v>
      </c>
      <c r="N27" s="7">
        <v>27181</v>
      </c>
      <c r="O27" s="7">
        <v>22091</v>
      </c>
      <c r="P27" s="7">
        <v>24327</v>
      </c>
    </row>
    <row r="28" spans="1:16" x14ac:dyDescent="0.35">
      <c r="A28" s="6" t="s">
        <v>56</v>
      </c>
      <c r="B28" s="7">
        <v>104</v>
      </c>
      <c r="C28" s="7">
        <v>20</v>
      </c>
      <c r="D28" s="7">
        <v>-295</v>
      </c>
      <c r="E28" s="7">
        <v>-414</v>
      </c>
      <c r="F28" s="7">
        <v>-1437</v>
      </c>
      <c r="G28" s="7">
        <v>-227</v>
      </c>
      <c r="H28" s="7">
        <v>36</v>
      </c>
      <c r="I28" s="7">
        <v>2455</v>
      </c>
      <c r="J28" s="7">
        <v>7640</v>
      </c>
      <c r="K28" s="7">
        <v>13537</v>
      </c>
      <c r="L28" s="7">
        <v>16502</v>
      </c>
      <c r="M28" s="7">
        <v>22802</v>
      </c>
      <c r="N28" s="7">
        <v>27181</v>
      </c>
      <c r="O28" s="7">
        <v>22091</v>
      </c>
      <c r="P28" s="7">
        <v>24327</v>
      </c>
    </row>
    <row r="29" spans="1:16" x14ac:dyDescent="0.35">
      <c r="A29" s="6" t="s">
        <v>57</v>
      </c>
      <c r="B29" s="7">
        <v>-74</v>
      </c>
      <c r="C29" s="7">
        <v>-294</v>
      </c>
      <c r="D29" s="7">
        <v>-889</v>
      </c>
      <c r="E29" s="7">
        <v>-675</v>
      </c>
      <c r="F29" s="7">
        <v>-1961</v>
      </c>
      <c r="G29" s="7">
        <v>-976</v>
      </c>
      <c r="H29" s="7">
        <v>-862</v>
      </c>
      <c r="I29" s="7">
        <v>721</v>
      </c>
      <c r="J29" s="7">
        <v>5519</v>
      </c>
      <c r="K29" s="7">
        <v>12646</v>
      </c>
      <c r="L29" s="7">
        <v>15230</v>
      </c>
      <c r="M29" s="7">
        <v>21690</v>
      </c>
      <c r="N29" s="7">
        <v>29077</v>
      </c>
      <c r="O29" s="7">
        <v>20866</v>
      </c>
      <c r="P29" s="7">
        <v>23185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F5FE-DD3D-49B8-B943-6F3BB0E012AF}">
  <dimension ref="A1:P12"/>
  <sheetViews>
    <sheetView workbookViewId="0">
      <selection activeCell="D4" sqref="D4"/>
    </sheetView>
  </sheetViews>
  <sheetFormatPr defaultRowHeight="14.6" x14ac:dyDescent="0.4"/>
  <cols>
    <col min="1" max="1" width="22.07421875" bestFit="1" customWidth="1"/>
    <col min="2" max="2" width="9.3046875" bestFit="1" customWidth="1"/>
    <col min="3" max="9" width="9.69140625" bestFit="1" customWidth="1"/>
    <col min="10" max="13" width="10.07421875" bestFit="1" customWidth="1"/>
    <col min="14" max="16" width="10.69140625" bestFit="1" customWidth="1"/>
  </cols>
  <sheetData>
    <row r="1" spans="1:16" x14ac:dyDescent="0.4">
      <c r="A1" s="9" t="s">
        <v>15</v>
      </c>
    </row>
    <row r="2" spans="1:16" x14ac:dyDescent="0.4">
      <c r="A2" s="10" t="s">
        <v>121</v>
      </c>
    </row>
    <row r="3" spans="1:16" s="15" customFormat="1" x14ac:dyDescent="0.4">
      <c r="B3" s="9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9" t="s">
        <v>31</v>
      </c>
    </row>
    <row r="4" spans="1:16" x14ac:dyDescent="0.4">
      <c r="A4" t="s">
        <v>122</v>
      </c>
      <c r="B4" s="35">
        <v>264</v>
      </c>
      <c r="C4" s="35">
        <v>970</v>
      </c>
      <c r="D4" s="35">
        <v>1635</v>
      </c>
      <c r="E4" s="35">
        <v>1281</v>
      </c>
      <c r="F4" s="35">
        <v>3415</v>
      </c>
      <c r="G4" s="35">
        <v>2101</v>
      </c>
      <c r="H4" s="35">
        <v>1327</v>
      </c>
      <c r="I4" s="35">
        <v>3157</v>
      </c>
      <c r="J4" s="35">
        <v>6482</v>
      </c>
      <c r="K4" s="35">
        <v>7246</v>
      </c>
      <c r="L4" s="35">
        <v>7895</v>
      </c>
      <c r="M4" s="35">
        <v>8782</v>
      </c>
      <c r="N4" s="35">
        <v>8936</v>
      </c>
      <c r="O4" s="35">
        <v>9983</v>
      </c>
      <c r="P4" s="35">
        <v>11255</v>
      </c>
    </row>
    <row r="5" spans="1:16" x14ac:dyDescent="0.4">
      <c r="A5" t="s">
        <v>123</v>
      </c>
      <c r="B5" s="4">
        <v>-19</v>
      </c>
      <c r="C5" s="4">
        <v>-1027</v>
      </c>
      <c r="D5" s="4">
        <v>-2082</v>
      </c>
      <c r="E5" s="4">
        <v>-1405</v>
      </c>
      <c r="F5" s="4">
        <v>-3475</v>
      </c>
      <c r="G5" s="4">
        <v>-3</v>
      </c>
      <c r="H5" s="4">
        <v>1078</v>
      </c>
      <c r="I5" s="4">
        <v>2786</v>
      </c>
      <c r="J5" s="4">
        <v>5015</v>
      </c>
      <c r="K5" s="4">
        <v>8796</v>
      </c>
      <c r="L5" s="4">
        <v>11366</v>
      </c>
      <c r="M5" s="4">
        <v>15194</v>
      </c>
      <c r="N5" s="4">
        <v>14341</v>
      </c>
      <c r="O5" s="4">
        <v>17460</v>
      </c>
      <c r="P5" s="4">
        <v>20441</v>
      </c>
    </row>
    <row r="6" spans="1:16" x14ac:dyDescent="0.4">
      <c r="A6" t="s">
        <v>124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4">
      <c r="A7" t="s">
        <v>129</v>
      </c>
      <c r="B7" s="4">
        <v>258</v>
      </c>
      <c r="C7" s="4">
        <v>-57</v>
      </c>
      <c r="D7" s="4">
        <v>-524</v>
      </c>
      <c r="E7" s="4">
        <v>-124</v>
      </c>
      <c r="F7" s="4">
        <v>-61</v>
      </c>
      <c r="G7" s="4">
        <v>2098</v>
      </c>
      <c r="H7" s="4">
        <v>2405</v>
      </c>
      <c r="I7" s="4">
        <v>5943</v>
      </c>
      <c r="J7" s="4">
        <v>11497</v>
      </c>
      <c r="K7" s="4">
        <v>16978</v>
      </c>
      <c r="L7" s="4">
        <v>21331</v>
      </c>
      <c r="M7" s="4">
        <v>27867</v>
      </c>
      <c r="N7" s="4">
        <v>26756</v>
      </c>
      <c r="O7" s="4">
        <v>28087</v>
      </c>
      <c r="P7" s="4">
        <v>32786</v>
      </c>
    </row>
    <row r="8" spans="1:16" x14ac:dyDescent="0.4">
      <c r="A8" t="s">
        <v>125</v>
      </c>
      <c r="B8" s="4">
        <v>-249</v>
      </c>
      <c r="C8" s="4">
        <v>-990</v>
      </c>
      <c r="D8" s="4">
        <v>-1674</v>
      </c>
      <c r="E8" s="4">
        <v>-1416</v>
      </c>
      <c r="F8" s="4">
        <v>-4419</v>
      </c>
      <c r="G8" s="4">
        <v>-2337</v>
      </c>
      <c r="H8" s="4">
        <v>-1436</v>
      </c>
      <c r="I8" s="4">
        <v>-3132</v>
      </c>
      <c r="J8" s="4">
        <v>-7868</v>
      </c>
      <c r="K8" s="4">
        <v>-7313</v>
      </c>
      <c r="L8" s="4">
        <v>-8392</v>
      </c>
      <c r="M8" s="4">
        <v>-9961</v>
      </c>
      <c r="N8" s="4">
        <v>-12343</v>
      </c>
      <c r="O8" s="4">
        <v>-12466</v>
      </c>
      <c r="P8" s="4">
        <v>-15509</v>
      </c>
    </row>
    <row r="9" spans="1:16" x14ac:dyDescent="0.4">
      <c r="A9" t="s">
        <v>126</v>
      </c>
      <c r="B9" s="4">
        <v>635</v>
      </c>
      <c r="C9" s="4">
        <v>2132</v>
      </c>
      <c r="D9" s="4">
        <v>1506</v>
      </c>
      <c r="E9" s="4">
        <v>3744</v>
      </c>
      <c r="F9" s="4">
        <v>4415</v>
      </c>
      <c r="G9" s="4">
        <v>574</v>
      </c>
      <c r="H9" s="4">
        <v>1529</v>
      </c>
      <c r="I9" s="4">
        <v>9973</v>
      </c>
      <c r="J9" s="4">
        <v>-5203</v>
      </c>
      <c r="K9" s="4">
        <v>-2120</v>
      </c>
      <c r="L9" s="4">
        <v>-1079</v>
      </c>
      <c r="M9" s="4">
        <v>-1046</v>
      </c>
      <c r="N9" s="4">
        <v>-133</v>
      </c>
      <c r="O9" s="4">
        <v>0</v>
      </c>
      <c r="P9" s="4">
        <v>0</v>
      </c>
    </row>
    <row r="10" spans="1:16" x14ac:dyDescent="0.4">
      <c r="A10" t="s">
        <v>127</v>
      </c>
      <c r="B10" s="4"/>
      <c r="C10" s="4"/>
      <c r="D10" s="4"/>
      <c r="E10" s="4"/>
      <c r="F10" s="4">
        <v>400</v>
      </c>
      <c r="G10" s="4"/>
      <c r="H10" s="4"/>
      <c r="I10" s="4"/>
      <c r="J10" s="4"/>
      <c r="K10" s="4"/>
      <c r="L10" s="4">
        <v>3000</v>
      </c>
      <c r="M10" s="4">
        <v>5000</v>
      </c>
      <c r="N10" s="4">
        <v>0</v>
      </c>
      <c r="O10" s="4">
        <v>0</v>
      </c>
      <c r="P10" s="4"/>
    </row>
    <row r="11" spans="1:16" x14ac:dyDescent="0.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4">
      <c r="A12" t="s">
        <v>128</v>
      </c>
      <c r="B12" s="4">
        <v>106</v>
      </c>
      <c r="C12" s="4">
        <v>232</v>
      </c>
      <c r="D12" s="4">
        <v>423</v>
      </c>
      <c r="E12" s="4">
        <v>947</v>
      </c>
      <c r="F12" s="4">
        <v>1636</v>
      </c>
      <c r="G12" s="4">
        <v>1901</v>
      </c>
      <c r="H12" s="4">
        <v>2154</v>
      </c>
      <c r="I12" s="4">
        <v>2322</v>
      </c>
      <c r="J12" s="4">
        <v>2911</v>
      </c>
      <c r="K12" s="4">
        <v>3724</v>
      </c>
      <c r="L12" s="4">
        <v>4413</v>
      </c>
      <c r="M12" s="4">
        <v>5114</v>
      </c>
      <c r="N12" s="4">
        <v>5577</v>
      </c>
      <c r="O12" s="4">
        <v>62118</v>
      </c>
      <c r="P12" s="4">
        <v>7108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D06-3823-4EAE-87BD-784CCE72EA00}">
  <dimension ref="A1:L58"/>
  <sheetViews>
    <sheetView workbookViewId="0">
      <selection activeCell="G17" sqref="G17"/>
    </sheetView>
  </sheetViews>
  <sheetFormatPr defaultRowHeight="14.6" x14ac:dyDescent="0.4"/>
  <cols>
    <col min="1" max="1" width="85" bestFit="1" customWidth="1"/>
    <col min="2" max="6" width="9.3828125" style="29" bestFit="1" customWidth="1"/>
    <col min="7" max="8" width="10.69140625" style="29" bestFit="1" customWidth="1"/>
    <col min="9" max="10" width="10.07421875" style="29" bestFit="1" customWidth="1"/>
    <col min="11" max="11" width="11.07421875" style="29" bestFit="1" customWidth="1"/>
  </cols>
  <sheetData>
    <row r="1" spans="1:12" x14ac:dyDescent="0.4">
      <c r="A1" s="9" t="s">
        <v>15</v>
      </c>
    </row>
    <row r="2" spans="1:12" x14ac:dyDescent="0.4">
      <c r="A2" s="28">
        <v>135.16</v>
      </c>
    </row>
    <row r="5" spans="1:12" x14ac:dyDescent="0.4">
      <c r="A5" t="s">
        <v>58</v>
      </c>
    </row>
    <row r="8" spans="1:12" s="15" customFormat="1" x14ac:dyDescent="0.4">
      <c r="B8" s="30" t="s">
        <v>60</v>
      </c>
      <c r="C8" s="30" t="s">
        <v>61</v>
      </c>
      <c r="D8" s="30" t="s">
        <v>62</v>
      </c>
      <c r="E8" s="30" t="s">
        <v>63</v>
      </c>
      <c r="F8" s="30" t="s">
        <v>64</v>
      </c>
      <c r="G8" s="30" t="s">
        <v>65</v>
      </c>
      <c r="H8" s="30" t="s">
        <v>66</v>
      </c>
      <c r="I8" s="30" t="s">
        <v>67</v>
      </c>
      <c r="J8" s="30" t="s">
        <v>68</v>
      </c>
      <c r="K8" s="30" t="s">
        <v>69</v>
      </c>
    </row>
    <row r="9" spans="1:12" s="15" customFormat="1" x14ac:dyDescent="0.4">
      <c r="A9" s="15" t="s">
        <v>59</v>
      </c>
      <c r="B9" s="31">
        <v>-266.10000000000002</v>
      </c>
      <c r="C9" s="31">
        <v>258</v>
      </c>
      <c r="D9" s="31">
        <v>-57.3</v>
      </c>
      <c r="E9" s="31">
        <v>-524.5</v>
      </c>
      <c r="F9" s="31">
        <v>-123.8</v>
      </c>
      <c r="G9" s="31">
        <v>-60.7</v>
      </c>
      <c r="H9" s="31">
        <v>2097.8000000000002</v>
      </c>
      <c r="I9" s="31">
        <v>2405</v>
      </c>
      <c r="J9" s="31">
        <v>5943</v>
      </c>
      <c r="K9" s="31">
        <v>11497</v>
      </c>
      <c r="L9" s="27"/>
    </row>
    <row r="10" spans="1:12" x14ac:dyDescent="0.4">
      <c r="A10" s="17" t="s">
        <v>70</v>
      </c>
      <c r="B10" s="32">
        <v>-396.2</v>
      </c>
      <c r="C10" s="32">
        <v>-74</v>
      </c>
      <c r="D10" s="32">
        <v>-294</v>
      </c>
      <c r="E10" s="32">
        <v>-888.7</v>
      </c>
      <c r="F10" s="32">
        <v>-773</v>
      </c>
      <c r="G10" s="32">
        <v>-2240.6</v>
      </c>
      <c r="H10" s="32">
        <v>-1062.5999999999999</v>
      </c>
      <c r="I10" s="32">
        <v>-775</v>
      </c>
      <c r="J10" s="32">
        <v>862</v>
      </c>
      <c r="K10" s="32">
        <v>5644</v>
      </c>
      <c r="L10" s="5"/>
    </row>
    <row r="11" spans="1:12" x14ac:dyDescent="0.4">
      <c r="A11" s="18" t="s">
        <v>71</v>
      </c>
      <c r="B11" s="32">
        <f>-B10+B9</f>
        <v>130.09999999999997</v>
      </c>
      <c r="C11" s="32">
        <f t="shared" ref="C11:K11" si="0">-C10+C9</f>
        <v>332</v>
      </c>
      <c r="D11" s="32">
        <f t="shared" si="0"/>
        <v>236.7</v>
      </c>
      <c r="E11" s="32">
        <f t="shared" si="0"/>
        <v>364.20000000000005</v>
      </c>
      <c r="F11" s="32">
        <f t="shared" si="0"/>
        <v>649.20000000000005</v>
      </c>
      <c r="G11" s="32">
        <f t="shared" si="0"/>
        <v>2179.9</v>
      </c>
      <c r="H11" s="32">
        <f t="shared" si="0"/>
        <v>3160.4</v>
      </c>
      <c r="I11" s="32">
        <f t="shared" si="0"/>
        <v>3180</v>
      </c>
      <c r="J11" s="32">
        <f t="shared" si="0"/>
        <v>5081</v>
      </c>
      <c r="K11" s="32">
        <f t="shared" si="0"/>
        <v>5853</v>
      </c>
      <c r="L11" s="5"/>
    </row>
    <row r="12" spans="1:12" x14ac:dyDescent="0.4">
      <c r="A12" s="16" t="s">
        <v>72</v>
      </c>
      <c r="B12" s="32">
        <v>28.8</v>
      </c>
      <c r="C12" s="32">
        <v>106.1</v>
      </c>
      <c r="D12" s="32">
        <v>231.9</v>
      </c>
      <c r="E12" s="32">
        <v>422.6</v>
      </c>
      <c r="F12" s="32">
        <v>947.1</v>
      </c>
      <c r="G12" s="32">
        <v>1636</v>
      </c>
      <c r="H12" s="32">
        <v>1901.1</v>
      </c>
      <c r="I12" s="32">
        <v>2154</v>
      </c>
      <c r="J12" s="32">
        <v>2322</v>
      </c>
      <c r="K12" s="32">
        <v>2911</v>
      </c>
      <c r="L12" s="5"/>
    </row>
    <row r="13" spans="1:12" x14ac:dyDescent="0.4">
      <c r="A13" s="16" t="s">
        <v>73</v>
      </c>
      <c r="B13" s="32">
        <v>50.1</v>
      </c>
      <c r="C13" s="32">
        <v>80.7</v>
      </c>
      <c r="D13" s="32">
        <v>156.5</v>
      </c>
      <c r="E13" s="32">
        <v>198</v>
      </c>
      <c r="F13" s="32">
        <v>334.2</v>
      </c>
      <c r="G13" s="32">
        <v>466.8</v>
      </c>
      <c r="H13" s="32">
        <v>749</v>
      </c>
      <c r="I13" s="32">
        <v>898</v>
      </c>
      <c r="J13" s="32">
        <v>1734</v>
      </c>
      <c r="K13" s="32">
        <v>2121</v>
      </c>
      <c r="L13" s="5"/>
    </row>
    <row r="14" spans="1:12" s="15" customFormat="1" x14ac:dyDescent="0.4">
      <c r="A14" s="20" t="s">
        <v>74</v>
      </c>
      <c r="B14" s="31">
        <v>8.3000000000000007</v>
      </c>
      <c r="C14" s="31">
        <v>20.2</v>
      </c>
      <c r="D14" s="31">
        <v>105.1</v>
      </c>
      <c r="E14" s="31">
        <v>236.9</v>
      </c>
      <c r="F14" s="31">
        <v>150.5</v>
      </c>
      <c r="G14" s="31">
        <v>516</v>
      </c>
      <c r="H14" s="31">
        <v>542.4</v>
      </c>
      <c r="I14" s="31">
        <v>665</v>
      </c>
      <c r="J14" s="31">
        <v>841</v>
      </c>
      <c r="K14" s="31">
        <v>303</v>
      </c>
      <c r="L14" s="27"/>
    </row>
    <row r="15" spans="1:12" x14ac:dyDescent="0.4">
      <c r="A15" s="21" t="s">
        <v>75</v>
      </c>
      <c r="B15" s="32">
        <v>4.9000000000000004</v>
      </c>
      <c r="C15" s="32">
        <v>8.9</v>
      </c>
      <c r="D15" s="32">
        <v>15.6</v>
      </c>
      <c r="E15" s="32">
        <v>44.9</v>
      </c>
      <c r="F15" s="32">
        <v>65.5</v>
      </c>
      <c r="G15" s="32">
        <v>131.69999999999999</v>
      </c>
      <c r="H15" s="32">
        <v>85.3</v>
      </c>
      <c r="I15" s="32">
        <v>191</v>
      </c>
      <c r="J15" s="32">
        <v>202</v>
      </c>
      <c r="K15" s="32">
        <v>140</v>
      </c>
      <c r="L15" s="5"/>
    </row>
    <row r="16" spans="1:12" x14ac:dyDescent="0.4">
      <c r="A16" s="21" t="s">
        <v>76</v>
      </c>
      <c r="B16" s="32"/>
      <c r="C16" s="32">
        <v>5.6</v>
      </c>
      <c r="D16" s="32">
        <v>0</v>
      </c>
      <c r="E16" s="32">
        <v>0</v>
      </c>
      <c r="F16" s="32"/>
      <c r="G16" s="32"/>
      <c r="H16" s="32"/>
      <c r="I16" s="32"/>
      <c r="J16" s="32"/>
      <c r="K16" s="32"/>
      <c r="L16" s="5"/>
    </row>
    <row r="17" spans="1:12" x14ac:dyDescent="0.4">
      <c r="A17" s="21" t="s">
        <v>77</v>
      </c>
      <c r="B17" s="32">
        <v>1.9</v>
      </c>
      <c r="C17" s="32">
        <v>-10.7</v>
      </c>
      <c r="D17" s="32">
        <v>0</v>
      </c>
      <c r="E17" s="32">
        <v>0</v>
      </c>
      <c r="F17" s="32"/>
      <c r="G17" s="32"/>
      <c r="H17" s="32"/>
      <c r="I17" s="32"/>
      <c r="J17" s="32"/>
      <c r="K17" s="32"/>
      <c r="L17" s="5"/>
    </row>
    <row r="18" spans="1:12" x14ac:dyDescent="0.4">
      <c r="A18" s="21" t="s">
        <v>78</v>
      </c>
      <c r="B18" s="32"/>
      <c r="C18" s="32">
        <v>3.7</v>
      </c>
      <c r="D18" s="32">
        <v>-1.9</v>
      </c>
      <c r="E18" s="32">
        <v>55.8</v>
      </c>
      <c r="F18" s="32">
        <v>-29.2</v>
      </c>
      <c r="G18" s="32">
        <v>52.3</v>
      </c>
      <c r="H18" s="32">
        <v>-1.5</v>
      </c>
      <c r="I18" s="32">
        <v>-48</v>
      </c>
      <c r="J18" s="32">
        <v>114</v>
      </c>
      <c r="K18" s="32">
        <v>-55</v>
      </c>
      <c r="L18" s="5"/>
    </row>
    <row r="19" spans="1:12" s="15" customFormat="1" x14ac:dyDescent="0.4">
      <c r="A19" s="23" t="s">
        <v>79</v>
      </c>
      <c r="B19" s="31">
        <v>1.6</v>
      </c>
      <c r="C19" s="31">
        <v>12.8</v>
      </c>
      <c r="D19" s="31">
        <v>91.4</v>
      </c>
      <c r="E19" s="31">
        <v>163.19999999999999</v>
      </c>
      <c r="F19" s="31">
        <v>114.1</v>
      </c>
      <c r="G19" s="31">
        <v>332</v>
      </c>
      <c r="H19" s="31">
        <v>368.6</v>
      </c>
      <c r="I19" s="31">
        <v>520</v>
      </c>
      <c r="J19" s="31">
        <v>525</v>
      </c>
      <c r="K19" s="31">
        <v>245</v>
      </c>
      <c r="L19" s="27"/>
    </row>
    <row r="20" spans="1:12" x14ac:dyDescent="0.4">
      <c r="A20" s="25" t="s">
        <v>80</v>
      </c>
      <c r="B20" s="32">
        <v>0.1</v>
      </c>
      <c r="C20" s="32"/>
      <c r="D20" s="32"/>
      <c r="E20" s="32"/>
      <c r="F20" s="32"/>
      <c r="G20" s="32"/>
      <c r="H20" s="32"/>
      <c r="I20" s="32"/>
      <c r="J20" s="32"/>
      <c r="K20" s="32"/>
      <c r="L20" s="5"/>
    </row>
    <row r="21" spans="1:12" x14ac:dyDescent="0.4">
      <c r="A21" s="25" t="s">
        <v>81</v>
      </c>
      <c r="B21" s="32">
        <v>1.5</v>
      </c>
      <c r="C21" s="32"/>
      <c r="D21" s="32"/>
      <c r="E21" s="32"/>
      <c r="F21" s="32"/>
      <c r="G21" s="32"/>
      <c r="H21" s="32"/>
      <c r="I21" s="32"/>
      <c r="J21" s="32"/>
      <c r="K21" s="32"/>
      <c r="L21" s="5"/>
    </row>
    <row r="22" spans="1:12" x14ac:dyDescent="0.4">
      <c r="A22" s="25" t="s">
        <v>82</v>
      </c>
      <c r="B22" s="32"/>
      <c r="C22" s="32">
        <v>9.1</v>
      </c>
      <c r="D22" s="32">
        <v>69.7</v>
      </c>
      <c r="E22" s="32">
        <v>72.099999999999994</v>
      </c>
      <c r="F22" s="32">
        <v>87.3</v>
      </c>
      <c r="G22" s="32">
        <v>91</v>
      </c>
      <c r="H22" s="32">
        <v>158.69999999999999</v>
      </c>
      <c r="I22" s="32">
        <v>188</v>
      </c>
      <c r="J22" s="32">
        <v>180</v>
      </c>
      <c r="K22" s="33"/>
      <c r="L22" s="5"/>
    </row>
    <row r="23" spans="1:12" x14ac:dyDescent="0.4">
      <c r="A23" s="25" t="s">
        <v>83</v>
      </c>
      <c r="B23" s="32"/>
      <c r="C23" s="32"/>
      <c r="D23" s="32">
        <v>14.2</v>
      </c>
      <c r="E23" s="32">
        <v>37.700000000000003</v>
      </c>
      <c r="F23" s="32">
        <v>34.6</v>
      </c>
      <c r="G23" s="32">
        <v>105.8</v>
      </c>
      <c r="H23" s="32">
        <v>161.4</v>
      </c>
      <c r="I23" s="32">
        <v>146</v>
      </c>
      <c r="J23" s="32">
        <v>117</v>
      </c>
      <c r="K23" s="32"/>
      <c r="L23" s="5"/>
    </row>
    <row r="24" spans="1:12" x14ac:dyDescent="0.4">
      <c r="A24" s="25" t="s">
        <v>84</v>
      </c>
      <c r="B24" s="32"/>
      <c r="C24" s="32">
        <v>3.6</v>
      </c>
      <c r="D24" s="32">
        <v>7.5</v>
      </c>
      <c r="E24" s="32">
        <v>26.4</v>
      </c>
      <c r="F24" s="32">
        <v>-7.8</v>
      </c>
      <c r="G24" s="32">
        <v>135.19999999999999</v>
      </c>
      <c r="H24" s="32">
        <v>48.5</v>
      </c>
      <c r="I24" s="32">
        <v>186</v>
      </c>
      <c r="J24" s="32">
        <v>228</v>
      </c>
      <c r="K24" s="32"/>
      <c r="L24" s="5"/>
    </row>
    <row r="25" spans="1:12" x14ac:dyDescent="0.4">
      <c r="A25" s="21" t="s">
        <v>85</v>
      </c>
      <c r="B25" s="32"/>
      <c r="C25" s="32"/>
      <c r="D25" s="32"/>
      <c r="E25" s="32"/>
      <c r="F25" s="32"/>
      <c r="G25" s="32"/>
      <c r="H25" s="32"/>
      <c r="I25" s="32"/>
      <c r="J25" s="32"/>
      <c r="K25" s="32">
        <v>-27</v>
      </c>
      <c r="L25" s="5"/>
    </row>
    <row r="26" spans="1:12" x14ac:dyDescent="0.4">
      <c r="A26" s="16" t="s">
        <v>88</v>
      </c>
      <c r="B26" s="32"/>
      <c r="C26" s="32"/>
      <c r="D26" s="32"/>
      <c r="E26" s="32"/>
      <c r="F26" s="32">
        <v>-88.7</v>
      </c>
      <c r="G26" s="32">
        <v>57.7</v>
      </c>
      <c r="H26" s="32">
        <v>0</v>
      </c>
      <c r="I26" s="32">
        <v>0</v>
      </c>
      <c r="J26" s="32"/>
      <c r="K26" s="32"/>
      <c r="L26" s="5"/>
    </row>
    <row r="27" spans="1:12" x14ac:dyDescent="0.4">
      <c r="A27" s="16" t="s">
        <v>86</v>
      </c>
      <c r="B27" s="32"/>
      <c r="C27" s="32"/>
      <c r="D27" s="32"/>
      <c r="E27" s="32"/>
      <c r="F27" s="32"/>
      <c r="G27" s="32"/>
      <c r="H27" s="32"/>
      <c r="I27" s="32">
        <v>-188</v>
      </c>
      <c r="J27" s="32">
        <v>0</v>
      </c>
      <c r="K27" s="32">
        <v>0</v>
      </c>
      <c r="L27" s="5"/>
    </row>
    <row r="28" spans="1:12" x14ac:dyDescent="0.4">
      <c r="A28" s="16" t="s">
        <v>87</v>
      </c>
      <c r="B28" s="32"/>
      <c r="C28" s="32">
        <v>0</v>
      </c>
      <c r="D28" s="32"/>
      <c r="E28" s="32"/>
      <c r="F28" s="32"/>
      <c r="G28" s="32"/>
      <c r="H28" s="32"/>
      <c r="I28" s="32"/>
      <c r="J28" s="32"/>
      <c r="K28" s="32"/>
      <c r="L28" s="5"/>
    </row>
    <row r="29" spans="1:12" s="15" customFormat="1" x14ac:dyDescent="0.4">
      <c r="A29" s="20" t="s">
        <v>89</v>
      </c>
      <c r="B29" s="31">
        <v>42.8</v>
      </c>
      <c r="C29" s="31">
        <v>125</v>
      </c>
      <c r="D29" s="31">
        <v>-257</v>
      </c>
      <c r="E29" s="31">
        <v>-493.3</v>
      </c>
      <c r="F29" s="31">
        <v>-693.9</v>
      </c>
      <c r="G29" s="31">
        <v>-496.6</v>
      </c>
      <c r="H29" s="31">
        <v>58</v>
      </c>
      <c r="I29" s="31">
        <v>-349</v>
      </c>
      <c r="J29" s="31">
        <v>184</v>
      </c>
      <c r="K29" s="31">
        <v>518</v>
      </c>
    </row>
    <row r="30" spans="1:12" x14ac:dyDescent="0.4">
      <c r="A30" s="21" t="s">
        <v>90</v>
      </c>
      <c r="B30" s="32">
        <v>-17.3</v>
      </c>
      <c r="C30" s="32">
        <v>-21.9</v>
      </c>
      <c r="D30" s="32">
        <v>-183.7</v>
      </c>
      <c r="E30" s="32">
        <v>46.3</v>
      </c>
      <c r="F30" s="32">
        <v>-216.6</v>
      </c>
      <c r="G30" s="32">
        <v>-24.6</v>
      </c>
      <c r="H30" s="32">
        <v>-496.7</v>
      </c>
      <c r="I30" s="32">
        <v>-367</v>
      </c>
      <c r="J30" s="32">
        <v>-652</v>
      </c>
      <c r="K30" s="32">
        <v>-130</v>
      </c>
      <c r="L30" s="5"/>
    </row>
    <row r="31" spans="1:12" s="15" customFormat="1" x14ac:dyDescent="0.4">
      <c r="A31" s="22" t="s">
        <v>91</v>
      </c>
      <c r="B31" s="31">
        <v>-194.7</v>
      </c>
      <c r="C31" s="31">
        <v>-463.3</v>
      </c>
      <c r="D31" s="31">
        <v>-1050.3</v>
      </c>
      <c r="E31" s="31">
        <v>-1573.9</v>
      </c>
      <c r="F31" s="31">
        <v>-2465.6999999999998</v>
      </c>
      <c r="G31" s="31">
        <v>-1701.4</v>
      </c>
      <c r="H31" s="31">
        <v>-1238</v>
      </c>
      <c r="I31" s="31">
        <v>-1193</v>
      </c>
      <c r="J31" s="31">
        <v>-1494</v>
      </c>
      <c r="K31" s="31">
        <v>-3823</v>
      </c>
      <c r="L31" s="27"/>
    </row>
    <row r="32" spans="1:12" x14ac:dyDescent="0.4">
      <c r="A32" s="24" t="s">
        <v>92</v>
      </c>
      <c r="B32" s="32"/>
      <c r="C32" s="32"/>
      <c r="D32" s="32"/>
      <c r="E32" s="32"/>
      <c r="F32" s="32"/>
      <c r="G32" s="32">
        <v>-178.9</v>
      </c>
      <c r="H32" s="32">
        <v>-1023.3</v>
      </c>
      <c r="I32" s="32">
        <v>-429</v>
      </c>
      <c r="J32" s="32">
        <v>-422</v>
      </c>
      <c r="K32" s="32">
        <v>-1709</v>
      </c>
      <c r="L32" s="5"/>
    </row>
    <row r="33" spans="1:12" x14ac:dyDescent="0.4">
      <c r="A33" s="24" t="s">
        <v>93</v>
      </c>
      <c r="B33" s="32"/>
      <c r="C33" s="32"/>
      <c r="D33" s="32"/>
      <c r="E33" s="32"/>
      <c r="F33" s="32"/>
      <c r="G33" s="32">
        <v>-1522.6</v>
      </c>
      <c r="H33" s="32">
        <v>-214.7</v>
      </c>
      <c r="I33" s="32">
        <v>-764</v>
      </c>
      <c r="J33" s="32">
        <v>-1072</v>
      </c>
      <c r="K33" s="32">
        <v>-2114</v>
      </c>
      <c r="L33" s="5"/>
    </row>
    <row r="34" spans="1:12" s="15" customFormat="1" x14ac:dyDescent="0.4">
      <c r="A34" s="22" t="s">
        <v>74</v>
      </c>
      <c r="B34" s="31">
        <v>10.9</v>
      </c>
      <c r="C34" s="31">
        <v>251.5</v>
      </c>
      <c r="D34" s="31">
        <v>246.3</v>
      </c>
      <c r="E34" s="31">
        <v>412</v>
      </c>
      <c r="F34" s="31">
        <v>466.4</v>
      </c>
      <c r="G34" s="31">
        <v>202.3</v>
      </c>
      <c r="H34" s="31">
        <v>-240.1</v>
      </c>
      <c r="I34" s="31">
        <v>-214</v>
      </c>
      <c r="J34" s="31">
        <v>-100</v>
      </c>
      <c r="K34" s="31">
        <v>-1086</v>
      </c>
      <c r="L34" s="27"/>
    </row>
    <row r="35" spans="1:12" x14ac:dyDescent="0.4">
      <c r="A35" s="24" t="s">
        <v>94</v>
      </c>
      <c r="B35" s="32">
        <v>1.1000000000000001</v>
      </c>
      <c r="C35" s="32">
        <v>-17.5</v>
      </c>
      <c r="D35" s="32">
        <v>-60.6</v>
      </c>
      <c r="E35" s="32">
        <v>-29.6</v>
      </c>
      <c r="F35" s="32">
        <v>56.8</v>
      </c>
      <c r="G35" s="32">
        <v>-72.099999999999994</v>
      </c>
      <c r="H35" s="32">
        <v>-82.1</v>
      </c>
      <c r="I35" s="32">
        <v>-288</v>
      </c>
      <c r="J35" s="32">
        <v>-251</v>
      </c>
      <c r="K35" s="32">
        <v>-271</v>
      </c>
      <c r="L35" s="5"/>
    </row>
    <row r="36" spans="1:12" s="15" customFormat="1" x14ac:dyDescent="0.4">
      <c r="A36" s="26" t="s">
        <v>95</v>
      </c>
      <c r="B36" s="31">
        <v>-0.5</v>
      </c>
      <c r="C36" s="31">
        <v>-0.3</v>
      </c>
      <c r="D36" s="31">
        <v>-4.5</v>
      </c>
      <c r="E36" s="31">
        <v>-24.4</v>
      </c>
      <c r="F36" s="31">
        <v>-49.4</v>
      </c>
      <c r="G36" s="31">
        <v>-15.5</v>
      </c>
      <c r="H36" s="31">
        <v>-207.4</v>
      </c>
      <c r="I36" s="31">
        <v>115</v>
      </c>
      <c r="J36" s="31">
        <v>-344</v>
      </c>
      <c r="K36" s="31">
        <v>-1291</v>
      </c>
      <c r="L36" s="27"/>
    </row>
    <row r="37" spans="1:12" x14ac:dyDescent="0.4">
      <c r="A37" s="25" t="s">
        <v>96</v>
      </c>
      <c r="B37" s="32"/>
      <c r="C37" s="32"/>
      <c r="D37" s="32"/>
      <c r="E37" s="32"/>
      <c r="F37" s="32">
        <v>3.5</v>
      </c>
      <c r="G37" s="32"/>
      <c r="H37" s="32"/>
      <c r="I37" s="32"/>
      <c r="J37" s="32"/>
      <c r="K37" s="32"/>
      <c r="L37" s="5"/>
    </row>
    <row r="38" spans="1:12" x14ac:dyDescent="0.4">
      <c r="A38" s="25" t="s">
        <v>97</v>
      </c>
      <c r="B38" s="32">
        <v>-0.5</v>
      </c>
      <c r="C38" s="32">
        <v>-0.3</v>
      </c>
      <c r="D38" s="32">
        <v>-4.5</v>
      </c>
      <c r="E38" s="32">
        <v>-24.4</v>
      </c>
      <c r="F38" s="32">
        <v>-52.8</v>
      </c>
      <c r="G38" s="32"/>
      <c r="H38" s="32"/>
      <c r="I38" s="32"/>
      <c r="J38" s="32"/>
      <c r="K38" s="32"/>
      <c r="L38" s="5"/>
    </row>
    <row r="39" spans="1:12" x14ac:dyDescent="0.4">
      <c r="A39" s="24" t="s">
        <v>98</v>
      </c>
      <c r="B39" s="32"/>
      <c r="C39" s="32">
        <v>236.3</v>
      </c>
      <c r="D39" s="32">
        <v>249.5</v>
      </c>
      <c r="E39" s="32">
        <v>442.3</v>
      </c>
      <c r="F39" s="32">
        <v>326.89999999999998</v>
      </c>
      <c r="G39" s="32">
        <v>208.7</v>
      </c>
      <c r="H39" s="32">
        <v>-110.6</v>
      </c>
      <c r="I39" s="32">
        <v>-150</v>
      </c>
      <c r="J39" s="32"/>
      <c r="K39" s="32"/>
      <c r="L39" s="5"/>
    </row>
    <row r="40" spans="1:12" x14ac:dyDescent="0.4">
      <c r="A40" s="24" t="s">
        <v>99</v>
      </c>
      <c r="B40" s="32">
        <v>10.3</v>
      </c>
      <c r="C40" s="32">
        <v>33</v>
      </c>
      <c r="D40" s="32">
        <v>62</v>
      </c>
      <c r="E40" s="32">
        <v>23.7</v>
      </c>
      <c r="F40" s="32">
        <v>132.1</v>
      </c>
      <c r="G40" s="32">
        <v>81.099999999999994</v>
      </c>
      <c r="H40" s="32">
        <v>160</v>
      </c>
      <c r="I40" s="32">
        <v>109</v>
      </c>
      <c r="J40" s="32">
        <v>495</v>
      </c>
      <c r="K40" s="32">
        <v>476</v>
      </c>
      <c r="L40" s="5"/>
    </row>
    <row r="41" spans="1:12" s="15" customFormat="1" x14ac:dyDescent="0.4">
      <c r="A41" s="20" t="s">
        <v>100</v>
      </c>
      <c r="B41" s="31">
        <v>197.4</v>
      </c>
      <c r="C41" s="31">
        <v>66.3</v>
      </c>
      <c r="D41" s="31">
        <v>414.9</v>
      </c>
      <c r="E41" s="31">
        <v>263.3</v>
      </c>
      <c r="F41" s="31">
        <v>750.6</v>
      </c>
      <c r="G41" s="31">
        <v>388.2</v>
      </c>
      <c r="H41" s="31">
        <v>1722.8</v>
      </c>
      <c r="I41" s="31">
        <v>682</v>
      </c>
      <c r="J41" s="31">
        <v>2102</v>
      </c>
      <c r="K41" s="31">
        <v>4578</v>
      </c>
      <c r="L41" s="27"/>
    </row>
    <row r="42" spans="1:12" x14ac:dyDescent="0.4">
      <c r="A42" s="21" t="s">
        <v>101</v>
      </c>
      <c r="B42" s="32">
        <v>187.8</v>
      </c>
      <c r="C42" s="32">
        <v>-0.2</v>
      </c>
      <c r="D42" s="32">
        <v>252.8</v>
      </c>
      <c r="E42" s="32"/>
      <c r="F42" s="32"/>
      <c r="G42" s="32"/>
      <c r="H42" s="32"/>
      <c r="I42" s="32"/>
      <c r="J42" s="32"/>
      <c r="K42" s="32"/>
      <c r="L42" s="5"/>
    </row>
    <row r="43" spans="1:12" x14ac:dyDescent="0.4">
      <c r="A43" s="21" t="s">
        <v>102</v>
      </c>
      <c r="B43" s="32">
        <v>9.6</v>
      </c>
      <c r="C43" s="32">
        <v>66.599999999999994</v>
      </c>
      <c r="D43" s="32">
        <v>162.1</v>
      </c>
      <c r="E43" s="32"/>
      <c r="F43" s="32"/>
      <c r="G43" s="32"/>
      <c r="H43" s="32"/>
      <c r="I43" s="32"/>
      <c r="J43" s="32"/>
      <c r="K43" s="32"/>
      <c r="L43" s="5"/>
    </row>
    <row r="44" spans="1:12" x14ac:dyDescent="0.4">
      <c r="A44" s="16" t="s">
        <v>103</v>
      </c>
      <c r="B44" s="32">
        <v>0</v>
      </c>
      <c r="C44" s="32"/>
      <c r="D44" s="32"/>
      <c r="E44" s="32"/>
      <c r="F44" s="32"/>
      <c r="G44" s="32"/>
      <c r="H44" s="32"/>
      <c r="I44" s="32"/>
      <c r="J44" s="32"/>
      <c r="K44" s="32"/>
      <c r="L44" s="5"/>
    </row>
    <row r="45" spans="1:12" x14ac:dyDescent="0.4">
      <c r="A45" s="16" t="s">
        <v>104</v>
      </c>
      <c r="B45" s="32">
        <v>-0.5</v>
      </c>
      <c r="C45" s="32">
        <v>268.2</v>
      </c>
      <c r="D45" s="32">
        <v>209.7</v>
      </c>
      <c r="E45" s="32">
        <v>322.2</v>
      </c>
      <c r="F45" s="32">
        <v>383</v>
      </c>
      <c r="G45" s="32">
        <v>468.9</v>
      </c>
      <c r="H45" s="32">
        <v>406.7</v>
      </c>
      <c r="I45" s="32">
        <v>801</v>
      </c>
      <c r="J45" s="32">
        <v>321</v>
      </c>
      <c r="K45" s="32">
        <v>793</v>
      </c>
      <c r="L45" s="5"/>
    </row>
    <row r="46" spans="1:12" x14ac:dyDescent="0.4">
      <c r="A46" s="16" t="s">
        <v>105</v>
      </c>
      <c r="B46" s="32">
        <v>47.1</v>
      </c>
      <c r="C46" s="32">
        <v>24.2</v>
      </c>
      <c r="D46" s="32">
        <v>106.2</v>
      </c>
      <c r="E46" s="32">
        <v>36.700000000000003</v>
      </c>
      <c r="F46" s="32">
        <v>388.4</v>
      </c>
      <c r="G46" s="32">
        <v>170</v>
      </c>
      <c r="H46" s="32">
        <v>-96.7</v>
      </c>
      <c r="I46" s="32">
        <v>-58</v>
      </c>
      <c r="J46" s="32">
        <v>7</v>
      </c>
      <c r="K46" s="32">
        <v>186</v>
      </c>
      <c r="L46" s="5"/>
    </row>
    <row r="47" spans="1:12" s="15" customFormat="1" x14ac:dyDescent="0.4">
      <c r="A47" s="15" t="s">
        <v>106</v>
      </c>
      <c r="B47" s="31">
        <v>-206.9</v>
      </c>
      <c r="C47" s="31">
        <v>-249.4</v>
      </c>
      <c r="D47" s="31">
        <v>-990.4</v>
      </c>
      <c r="E47" s="31">
        <v>-1673.6</v>
      </c>
      <c r="F47" s="31">
        <v>-1416.4</v>
      </c>
      <c r="G47" s="31">
        <v>-4419</v>
      </c>
      <c r="H47" s="31">
        <v>-2337.4</v>
      </c>
      <c r="I47" s="31">
        <v>-1436</v>
      </c>
      <c r="J47" s="31">
        <v>-3132</v>
      </c>
      <c r="K47" s="31">
        <v>-7868</v>
      </c>
      <c r="L47" s="27"/>
    </row>
    <row r="48" spans="1:12" x14ac:dyDescent="0.4">
      <c r="A48" s="17" t="s">
        <v>107</v>
      </c>
      <c r="B48" s="32">
        <v>-239.2</v>
      </c>
      <c r="C48" s="32">
        <v>-264.2</v>
      </c>
      <c r="D48" s="32">
        <v>-969.9</v>
      </c>
      <c r="E48" s="32">
        <v>-1634.8</v>
      </c>
      <c r="F48" s="32">
        <v>-1280.8</v>
      </c>
      <c r="G48" s="32">
        <v>-3414.8</v>
      </c>
      <c r="H48" s="32">
        <v>-2100.6999999999998</v>
      </c>
      <c r="I48" s="32">
        <v>-1327</v>
      </c>
      <c r="J48" s="32">
        <v>-3157</v>
      </c>
      <c r="K48" s="32">
        <v>-6482</v>
      </c>
      <c r="L48" s="5"/>
    </row>
    <row r="49" spans="1:12" x14ac:dyDescent="0.4">
      <c r="A49" s="18" t="s">
        <v>108</v>
      </c>
      <c r="B49" s="32">
        <v>8.6</v>
      </c>
      <c r="C49" s="32">
        <v>14.8</v>
      </c>
      <c r="D49" s="32">
        <v>0</v>
      </c>
      <c r="E49" s="32">
        <v>0</v>
      </c>
      <c r="F49" s="32"/>
      <c r="G49" s="32"/>
      <c r="H49" s="32"/>
      <c r="I49" s="32"/>
      <c r="J49" s="32"/>
      <c r="K49" s="32"/>
      <c r="L49" s="5"/>
    </row>
    <row r="50" spans="1:12" s="15" customFormat="1" x14ac:dyDescent="0.4">
      <c r="A50" s="19" t="s">
        <v>109</v>
      </c>
      <c r="B50" s="31">
        <v>38.700000000000003</v>
      </c>
      <c r="C50" s="31">
        <v>0.1</v>
      </c>
      <c r="D50" s="31">
        <v>185.3</v>
      </c>
      <c r="E50" s="31">
        <v>-26.4</v>
      </c>
      <c r="F50" s="31">
        <v>-189.5</v>
      </c>
      <c r="G50" s="31">
        <v>-223.1</v>
      </c>
      <c r="H50" s="31">
        <v>0</v>
      </c>
      <c r="I50" s="31"/>
      <c r="J50" s="31"/>
      <c r="K50" s="31"/>
      <c r="L50" s="27"/>
    </row>
    <row r="51" spans="1:12" x14ac:dyDescent="0.4">
      <c r="A51" s="16" t="s">
        <v>110</v>
      </c>
      <c r="B51" s="32">
        <v>40</v>
      </c>
      <c r="C51" s="32">
        <v>0</v>
      </c>
      <c r="D51" s="32">
        <v>187.1</v>
      </c>
      <c r="E51" s="32">
        <v>0</v>
      </c>
      <c r="F51" s="32">
        <v>16.7</v>
      </c>
      <c r="G51" s="32">
        <v>0</v>
      </c>
      <c r="H51" s="32">
        <v>0</v>
      </c>
      <c r="I51" s="32"/>
      <c r="J51" s="32"/>
      <c r="K51" s="32"/>
      <c r="L51" s="5"/>
    </row>
    <row r="52" spans="1:12" x14ac:dyDescent="0.4">
      <c r="A52" s="16" t="s">
        <v>111</v>
      </c>
      <c r="B52" s="32">
        <v>-1.3</v>
      </c>
      <c r="C52" s="32">
        <v>0.1</v>
      </c>
      <c r="D52" s="32">
        <v>-3.8</v>
      </c>
      <c r="E52" s="32">
        <v>-26.4</v>
      </c>
      <c r="F52" s="32">
        <v>-206.1</v>
      </c>
      <c r="G52" s="32">
        <v>-223.1</v>
      </c>
      <c r="H52" s="32"/>
      <c r="I52" s="32"/>
      <c r="J52" s="32"/>
      <c r="K52" s="32"/>
      <c r="L52" s="5"/>
    </row>
    <row r="53" spans="1:12" x14ac:dyDescent="0.4">
      <c r="A53" s="16" t="s">
        <v>112</v>
      </c>
      <c r="B53" s="32"/>
      <c r="C53" s="32"/>
      <c r="D53" s="32"/>
      <c r="E53" s="32"/>
      <c r="F53" s="32">
        <v>-159.69999999999999</v>
      </c>
      <c r="G53" s="32">
        <v>-666.5</v>
      </c>
      <c r="H53" s="32">
        <v>-218.8</v>
      </c>
      <c r="I53" s="32">
        <v>-105</v>
      </c>
      <c r="J53" s="32">
        <v>-75</v>
      </c>
      <c r="K53" s="32">
        <v>-32</v>
      </c>
      <c r="L53" s="5"/>
    </row>
    <row r="54" spans="1:12" x14ac:dyDescent="0.4">
      <c r="A54" s="16" t="s">
        <v>113</v>
      </c>
      <c r="B54" s="32"/>
      <c r="C54" s="32"/>
      <c r="D54" s="32"/>
      <c r="E54" s="32"/>
      <c r="F54" s="32"/>
      <c r="G54" s="32"/>
      <c r="H54" s="32"/>
      <c r="I54" s="32"/>
      <c r="J54" s="32"/>
      <c r="K54" s="32">
        <v>-1500</v>
      </c>
      <c r="L54" s="5"/>
    </row>
    <row r="55" spans="1:12" x14ac:dyDescent="0.4">
      <c r="A55" s="16" t="s">
        <v>114</v>
      </c>
      <c r="B55" s="32"/>
      <c r="C55" s="32"/>
      <c r="D55" s="32"/>
      <c r="E55" s="32"/>
      <c r="F55" s="32"/>
      <c r="G55" s="32"/>
      <c r="H55" s="32"/>
      <c r="I55" s="32"/>
      <c r="J55" s="32"/>
      <c r="K55" s="32">
        <v>272</v>
      </c>
      <c r="L55" s="5"/>
    </row>
    <row r="56" spans="1:12" x14ac:dyDescent="0.4">
      <c r="A56" s="16" t="s">
        <v>115</v>
      </c>
      <c r="B56" s="32">
        <v>-15</v>
      </c>
      <c r="C56" s="32">
        <v>0</v>
      </c>
      <c r="D56" s="32">
        <v>-205.8</v>
      </c>
      <c r="E56" s="32">
        <v>0</v>
      </c>
      <c r="F56" s="32">
        <v>0</v>
      </c>
      <c r="G56" s="32"/>
      <c r="H56" s="32"/>
      <c r="I56" s="32"/>
      <c r="J56" s="32"/>
      <c r="K56" s="32">
        <v>-132</v>
      </c>
      <c r="L56" s="5"/>
    </row>
    <row r="57" spans="1:12" x14ac:dyDescent="0.4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5"/>
    </row>
    <row r="58" spans="1:12" x14ac:dyDescent="0.4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D A A B Q S w M E F A A C A A g A g W M z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W M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j M 1 Y 0 J 8 g o h Q A A A K E A A A A T A B w A R m 9 y b X V s Y X M v U 2 V j d G l v b j E u b S C i G A A o o B Q A A A A A A A A A A A A A A A A A A A A A A A A A A A A r T k 0 u y c z P U w i G 0 I b W v F y 8 X M U Z i U W p K Q o u + c m l u a l 5 J Q q 2 C j m p J b x c C k A Q n F 9 a l J w K F A l P T d I L S E x P 1 Q A x n P P z S o A K i z W U M k p K C o q t 9 P U L S z O T s 9 O K 9 f J S S / S T 8 3 M L E v M q 9 U O C f R y V N D V 1 I C a 5 J J Y k G g A N g p h Y b V A b D R K J 5 e X K z E N S Y A 0 A U E s B A i 0 A F A A C A A g A g W M z V o 2 Y c i i k A A A A 9 g A A A B I A A A A A A A A A A A A A A A A A A A A A A E N v b m Z p Z y 9 Q Y W N r Y W d l L n h t b F B L A Q I t A B Q A A g A I A I F j M 1 Y P y u m r p A A A A O k A A A A T A A A A A A A A A A A A A A A A A P A A A A B b Q 2 9 u d G V u d F 9 U e X B l c 1 0 u e G 1 s U E s B A i 0 A F A A C A A g A g W M z V j Q n y C i F A A A A o Q A A A B M A A A A A A A A A A A A A A A A A 4 Q E A A E Z v c m 1 1 b G F z L 1 N l Y 3 R p b 2 4 x L m 1 Q S w U G A A A A A A M A A w D C A A A A s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g A A A A A A A C u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2 O j U 1 O j E w L j c 0 N j I z O D F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N P M C S n c 0 T Y I 6 t O u i Q J l V A A A A A A I A A A A A A B B m A A A A A Q A A I A A A A P M H k m m q j H L O o Z 7 c O e r b S V 6 M / 9 I Y V 7 O c s F V 8 S i i X S a d 8 A A A A A A 6 A A A A A A g A A I A A A A A f A J n K 7 q c N z x 4 P c l s f O 3 i L m v S W 0 D H k C q C k r E r / E 2 M P m U A A A A I I E d V j p n s 9 A j b g k R s p r v E a W M z p r y T N g U y + n I R Z m s i H z T n U A t Z 6 a 8 5 y R m f p / v T j x L L / N m d 6 4 r O 2 5 w T b q n F l m e h t m g E M 5 e x j y 9 1 x N X H 6 Y K + A Y Q A A A A B X N e M C h k Y B 4 c + x U J w 8 I G E w s s y f L q 6 V K P I J u B x 2 / O g i 2 k m s 4 d J P p H Y g i f m N T z U s m m e j F p m v P 7 2 p u a Y W g K M M X u c o = < / D a t a M a s h u p > 
</file>

<file path=customXml/itemProps1.xml><?xml version="1.0" encoding="utf-8"?>
<ds:datastoreItem xmlns:ds="http://schemas.openxmlformats.org/officeDocument/2006/customXml" ds:itemID="{75A8BDE2-E659-4016-93A8-234705697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DCF</vt:lpstr>
      <vt:lpstr>WACC</vt:lpstr>
      <vt:lpstr>IS</vt:lpstr>
      <vt:lpstr>CFS Est.</vt:lpstr>
      <vt:lpstr>CFS Historicals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tesh</dc:creator>
  <cp:lastModifiedBy>tesh</cp:lastModifiedBy>
  <cp:lastPrinted>2023-01-20T07:14:04Z</cp:lastPrinted>
  <dcterms:created xsi:type="dcterms:W3CDTF">2023-01-19T06:21:05Z</dcterms:created>
  <dcterms:modified xsi:type="dcterms:W3CDTF">2023-03-23T11:25:02Z</dcterms:modified>
</cp:coreProperties>
</file>