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. paper\PycharmProjects\biomass\data\raw_data\"/>
    </mc:Choice>
  </mc:AlternateContent>
  <bookViews>
    <workbookView xWindow="0" yWindow="0" windowWidth="16380" windowHeight="7956" tabRatio="500" firstSheet="1" activeTab="5"/>
  </bookViews>
  <sheets>
    <sheet name="Old" sheetId="1" r:id="rId1"/>
    <sheet name="New" sheetId="2" r:id="rId2"/>
    <sheet name="Inputs" sheetId="3" r:id="rId3"/>
    <sheet name="Emissions" sheetId="4" r:id="rId4"/>
    <sheet name="Energy" sheetId="5" r:id="rId5"/>
    <sheet name="Sheet1" sheetId="6" r:id="rId6"/>
    <sheet name="Sheet4" sheetId="9" r:id="rId7"/>
    <sheet name="Sheet3" sheetId="8" r:id="rId8"/>
    <sheet name="Sheet2" sheetId="7" r:id="rId9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9" l="1"/>
  <c r="C30" i="9" l="1"/>
  <c r="F15" i="9"/>
  <c r="F14" i="9"/>
  <c r="B18" i="9"/>
  <c r="B17" i="9"/>
  <c r="C40" i="9"/>
  <c r="C38" i="9"/>
  <c r="C37" i="9"/>
  <c r="B39" i="9"/>
  <c r="B38" i="9"/>
  <c r="B37" i="9"/>
  <c r="B36" i="9"/>
  <c r="F13" i="9"/>
  <c r="F16" i="9"/>
  <c r="F21" i="9"/>
  <c r="F24" i="9"/>
  <c r="F25" i="9"/>
  <c r="F12" i="9"/>
  <c r="B21" i="9"/>
  <c r="D22" i="9"/>
  <c r="F22" i="9" s="1"/>
  <c r="D23" i="9"/>
  <c r="C36" i="9" s="1"/>
  <c r="D24" i="9"/>
  <c r="D25" i="9"/>
  <c r="D21" i="9"/>
  <c r="B24" i="9"/>
  <c r="B23" i="9"/>
  <c r="B22" i="9"/>
  <c r="D16" i="9"/>
  <c r="B14" i="9"/>
  <c r="D14" i="9" s="1"/>
  <c r="B15" i="9"/>
  <c r="D15" i="9" s="1"/>
  <c r="D13" i="9"/>
  <c r="D12" i="9"/>
  <c r="C13" i="9"/>
  <c r="B13" i="9"/>
  <c r="B12" i="9"/>
  <c r="L35" i="6"/>
  <c r="L30" i="6"/>
  <c r="F23" i="9" l="1"/>
  <c r="C39" i="9"/>
  <c r="J11" i="6" l="1"/>
  <c r="J9" i="6"/>
  <c r="N19" i="6"/>
  <c r="N18" i="6"/>
  <c r="A14" i="3"/>
  <c r="A13" i="3"/>
  <c r="A12" i="3"/>
  <c r="A11" i="3"/>
  <c r="A10" i="3"/>
  <c r="A9" i="3"/>
  <c r="A8" i="3"/>
  <c r="A7" i="3"/>
  <c r="A6" i="3"/>
  <c r="A5" i="3"/>
  <c r="A4" i="3"/>
  <c r="A3" i="3"/>
  <c r="A2" i="3"/>
  <c r="V46" i="2"/>
  <c r="V45" i="2"/>
  <c r="V44" i="2"/>
  <c r="V36" i="2"/>
  <c r="V35" i="2"/>
  <c r="V34" i="2"/>
  <c r="V26" i="2"/>
  <c r="I23" i="2"/>
  <c r="V23" i="2" s="1"/>
  <c r="V22" i="2"/>
  <c r="V21" i="2"/>
  <c r="I17" i="2"/>
  <c r="V17" i="2" s="1"/>
  <c r="B13" i="3" s="1"/>
  <c r="I16" i="2"/>
  <c r="V16" i="2" s="1"/>
  <c r="B12" i="3" s="1"/>
  <c r="V15" i="2"/>
  <c r="B11" i="3" s="1"/>
  <c r="I15" i="2"/>
  <c r="I14" i="2"/>
  <c r="V14" i="2" s="1"/>
  <c r="B10" i="3" s="1"/>
  <c r="I13" i="2"/>
  <c r="V13" i="2" s="1"/>
  <c r="B9" i="3" s="1"/>
  <c r="I12" i="2"/>
  <c r="V12" i="2" s="1"/>
  <c r="B8" i="3" s="1"/>
  <c r="V11" i="2"/>
  <c r="B7" i="3" s="1"/>
  <c r="I11" i="2"/>
  <c r="I10" i="2"/>
  <c r="V10" i="2" s="1"/>
  <c r="B6" i="3" s="1"/>
  <c r="I9" i="2"/>
  <c r="V9" i="2" s="1"/>
  <c r="B5" i="3" s="1"/>
  <c r="I8" i="2"/>
  <c r="V8" i="2" s="1"/>
  <c r="B4" i="3" s="1"/>
  <c r="V7" i="2"/>
  <c r="B3" i="3" s="1"/>
  <c r="I7" i="2"/>
  <c r="I6" i="2"/>
  <c r="V6" i="2" s="1"/>
  <c r="B2" i="3" s="1"/>
  <c r="I5" i="2"/>
  <c r="V53" i="2" s="1"/>
  <c r="AT4" i="2"/>
  <c r="AU3" i="2"/>
  <c r="AU2" i="2"/>
  <c r="I39" i="1"/>
  <c r="V39" i="1" s="1"/>
  <c r="I32" i="1"/>
  <c r="V32" i="1" s="1"/>
  <c r="I23" i="1"/>
  <c r="V22" i="1"/>
  <c r="I22" i="1"/>
  <c r="V21" i="1"/>
  <c r="I21" i="1"/>
  <c r="I17" i="1"/>
  <c r="V17" i="1" s="1"/>
  <c r="I16" i="1"/>
  <c r="I15" i="1"/>
  <c r="V15" i="1" s="1"/>
  <c r="I14" i="1"/>
  <c r="V14" i="1" s="1"/>
  <c r="I13" i="1"/>
  <c r="V13" i="1" s="1"/>
  <c r="I12" i="1"/>
  <c r="I11" i="1"/>
  <c r="V11" i="1" s="1"/>
  <c r="I10" i="1"/>
  <c r="V10" i="1" s="1"/>
  <c r="I9" i="1"/>
  <c r="V9" i="1" s="1"/>
  <c r="I8" i="1"/>
  <c r="I7" i="1"/>
  <c r="V7" i="1" s="1"/>
  <c r="I6" i="1"/>
  <c r="V6" i="1" s="1"/>
  <c r="I5" i="1"/>
  <c r="V52" i="1" s="1"/>
  <c r="AT4" i="1"/>
  <c r="AU3" i="1" s="1"/>
  <c r="V5" i="1" l="1"/>
  <c r="V26" i="1"/>
  <c r="V44" i="1"/>
  <c r="V27" i="1"/>
  <c r="V28" i="1"/>
  <c r="V46" i="1"/>
  <c r="V37" i="2"/>
  <c r="V29" i="1"/>
  <c r="V49" i="1"/>
  <c r="V5" i="2"/>
  <c r="V28" i="2"/>
  <c r="V40" i="2"/>
  <c r="V50" i="2"/>
  <c r="AU2" i="1"/>
  <c r="V40" i="1"/>
  <c r="V50" i="1"/>
  <c r="V18" i="2"/>
  <c r="B14" i="3" s="1"/>
  <c r="V29" i="2"/>
  <c r="V41" i="2"/>
  <c r="V51" i="2"/>
  <c r="V41" i="1"/>
  <c r="V51" i="1"/>
  <c r="V32" i="2"/>
  <c r="V42" i="2"/>
  <c r="V52" i="2"/>
  <c r="V23" i="1"/>
  <c r="V34" i="1"/>
  <c r="V43" i="1"/>
  <c r="V35" i="1"/>
  <c r="V18" i="1"/>
  <c r="V36" i="1"/>
  <c r="V45" i="1"/>
  <c r="V27" i="2"/>
  <c r="V47" i="2"/>
  <c r="V8" i="1"/>
  <c r="V12" i="1"/>
  <c r="V16" i="1"/>
  <c r="V33" i="1"/>
  <c r="V42" i="1"/>
  <c r="V33" i="2"/>
  <c r="V43" i="2"/>
</calcChain>
</file>

<file path=xl/sharedStrings.xml><?xml version="1.0" encoding="utf-8"?>
<sst xmlns="http://schemas.openxmlformats.org/spreadsheetml/2006/main" count="1015" uniqueCount="182">
  <si>
    <t>Utilitiy scenarios</t>
  </si>
  <si>
    <t>Water</t>
  </si>
  <si>
    <t>%</t>
  </si>
  <si>
    <t>Functional unit: 1 kg biomass</t>
  </si>
  <si>
    <t>Propionaldehyde column</t>
  </si>
  <si>
    <t>All inputs</t>
  </si>
  <si>
    <t>Input</t>
  </si>
  <si>
    <t>Heating</t>
  </si>
  <si>
    <t>Cooling</t>
  </si>
  <si>
    <t>Total</t>
  </si>
  <si>
    <t>Biomass</t>
  </si>
  <si>
    <t>kg</t>
  </si>
  <si>
    <t>No integration</t>
  </si>
  <si>
    <t>MJ</t>
  </si>
  <si>
    <t>Dioxane</t>
  </si>
  <si>
    <t>Heat exchanger network</t>
  </si>
  <si>
    <t>HCl 30%</t>
  </si>
  <si>
    <t>Ideal integration</t>
  </si>
  <si>
    <t>Propionaldehyde</t>
  </si>
  <si>
    <t>Methanol</t>
  </si>
  <si>
    <t>Bicarbonate</t>
  </si>
  <si>
    <t>After heat integration, over 95% of heating comes from the evaporation of water to recover bicarbonate, while the rest is associated with propionaldehyde recovery</t>
  </si>
  <si>
    <t>Acetone</t>
  </si>
  <si>
    <t>Dichloromethane</t>
  </si>
  <si>
    <t>Ethylacetate</t>
  </si>
  <si>
    <t xml:space="preserve">Bicarbonate </t>
  </si>
  <si>
    <t>Hexanes</t>
  </si>
  <si>
    <t>Diethyl ether</t>
  </si>
  <si>
    <t>Activated carbon</t>
  </si>
  <si>
    <t>Heaxanes</t>
  </si>
  <si>
    <t>Air</t>
  </si>
  <si>
    <t>Utilities</t>
  </si>
  <si>
    <t>*heat exchanger network results</t>
  </si>
  <si>
    <t>kJ/h</t>
  </si>
  <si>
    <t>*industrial heating from natural gas</t>
  </si>
  <si>
    <t>*cooling water 20 to 25ºC</t>
  </si>
  <si>
    <t>Electricity</t>
  </si>
  <si>
    <t>kW</t>
  </si>
  <si>
    <t>Output</t>
  </si>
  <si>
    <t>*purity in wt. %</t>
  </si>
  <si>
    <t>Extractives (96%)</t>
  </si>
  <si>
    <t>Cellulose (70%)</t>
  </si>
  <si>
    <t>Lignin (100%)</t>
  </si>
  <si>
    <t>DPX (95%)</t>
  </si>
  <si>
    <t>Emissions to air</t>
  </si>
  <si>
    <t>CO2 (fossil)</t>
  </si>
  <si>
    <t>HCl</t>
  </si>
  <si>
    <t>All outputs</t>
  </si>
  <si>
    <t>O2</t>
  </si>
  <si>
    <t>N2</t>
  </si>
  <si>
    <t>Emissions to water</t>
  </si>
  <si>
    <t>*wastewater composition</t>
  </si>
  <si>
    <t xml:space="preserve">HCl </t>
  </si>
  <si>
    <t xml:space="preserve">O2 </t>
  </si>
  <si>
    <t>Extractives</t>
  </si>
  <si>
    <t>CO2</t>
  </si>
  <si>
    <t>Solid waste</t>
  </si>
  <si>
    <t>water (air)</t>
  </si>
  <si>
    <t>HCl (air)</t>
  </si>
  <si>
    <t>NaCl</t>
  </si>
  <si>
    <t>O2 (air)</t>
  </si>
  <si>
    <t>N2 (air)</t>
  </si>
  <si>
    <t>activated carbon</t>
  </si>
  <si>
    <t>CO2 (air)</t>
  </si>
  <si>
    <t>water</t>
  </si>
  <si>
    <t>biocarbonate (solid)</t>
  </si>
  <si>
    <t>NaCl (solid)</t>
  </si>
  <si>
    <t>water (solid)</t>
  </si>
  <si>
    <t>extractives</t>
  </si>
  <si>
    <t>propionaldehyde</t>
  </si>
  <si>
    <t>dioxane</t>
  </si>
  <si>
    <t>CO2 biogenic</t>
  </si>
  <si>
    <t>kg/h</t>
  </si>
  <si>
    <t>Glucose</t>
  </si>
  <si>
    <t>Lignin monomers</t>
  </si>
  <si>
    <t>CO2 (biogenic)</t>
  </si>
  <si>
    <t>Chemical</t>
  </si>
  <si>
    <t>Value</t>
  </si>
  <si>
    <t>Search</t>
  </si>
  <si>
    <t>Location</t>
  </si>
  <si>
    <t>Unit</t>
  </si>
  <si>
    <t>market for dioxane</t>
  </si>
  <si>
    <t>RER</t>
  </si>
  <si>
    <t>kilogram</t>
  </si>
  <si>
    <t>market for hydrochloric acid</t>
  </si>
  <si>
    <t>market for 1-propanol</t>
  </si>
  <si>
    <t>GLO</t>
  </si>
  <si>
    <t>market for methanol</t>
  </si>
  <si>
    <t>market for sodium bicarbonate</t>
  </si>
  <si>
    <t>market for water, decarbonised</t>
  </si>
  <si>
    <t>RoW</t>
  </si>
  <si>
    <t>market for acetone, liquid</t>
  </si>
  <si>
    <t>market for dichloromethane</t>
  </si>
  <si>
    <t>market for ethyl acetate</t>
  </si>
  <si>
    <t>market for hexane</t>
  </si>
  <si>
    <t>market for diethyl ether</t>
  </si>
  <si>
    <t>market for activated carbon, granular</t>
  </si>
  <si>
    <t>market for compressed air, 1000 kPa gauge</t>
  </si>
  <si>
    <t>cubic meter</t>
  </si>
  <si>
    <t>Compartment</t>
  </si>
  <si>
    <t>Inputs</t>
  </si>
  <si>
    <t>air</t>
  </si>
  <si>
    <t>('biosphere3', '349b29d1-3e58-4c66-98b9-9d1a076efd2e')</t>
  </si>
  <si>
    <t>Hcl_air</t>
  </si>
  <si>
    <t>('biosphere3', 'c9a8073a-8a19-5b9b-a120-7d549563b67b')</t>
  </si>
  <si>
    <t>water_emission</t>
  </si>
  <si>
    <t>('biosphere water regionalized', '28b32d9f1678ca6c24cfc72cca3fdca0')</t>
  </si>
  <si>
    <t>Hcl_water</t>
  </si>
  <si>
    <t>('biosphere3', '7dd051f1-c653-44d9-90e4-828f144253c3')</t>
  </si>
  <si>
    <t>('biosphere3', '2f2450fa-6720-4b59-9876-10a9ee843958')</t>
  </si>
  <si>
    <t>Energy</t>
  </si>
  <si>
    <t>kWh</t>
  </si>
  <si>
    <t>CARBON DIOXIDE</t>
  </si>
  <si>
    <t>¢/KG</t>
  </si>
  <si>
    <t>TONNE</t>
  </si>
  <si>
    <t>CORN STEEP LIQUOR, SOLIDS</t>
  </si>
  <si>
    <t>GLUCOSE</t>
  </si>
  <si>
    <t>N-PARAFFINS</t>
  </si>
  <si>
    <t>SODIUM CARBONATE</t>
  </si>
  <si>
    <t>UTILITIES</t>
  </si>
  <si>
    <t>COOLING WATER</t>
  </si>
  <si>
    <t>¢/M3</t>
  </si>
  <si>
    <t>M3</t>
  </si>
  <si>
    <t>ELECTRICITY</t>
  </si>
  <si>
    <t>¢/KWH</t>
  </si>
  <si>
    <t>KWH</t>
  </si>
  <si>
    <t>STEAM</t>
  </si>
  <si>
    <t>¢/TONNE</t>
  </si>
  <si>
    <t>https://www.fao.org/3/bc822e/bc822e.pdf</t>
  </si>
  <si>
    <t>m3/GJ</t>
  </si>
  <si>
    <t>GJ</t>
  </si>
  <si>
    <t>pp</t>
  </si>
  <si>
    <t xml:space="preserve"> by gas phase process</t>
  </si>
  <si>
    <t>electricity</t>
  </si>
  <si>
    <t>MWh</t>
  </si>
  <si>
    <t>inert_gas</t>
  </si>
  <si>
    <t>steam</t>
  </si>
  <si>
    <t>¢/MJ</t>
  </si>
  <si>
    <t>propylene</t>
  </si>
  <si>
    <t>cooling_water</t>
  </si>
  <si>
    <t>pla</t>
  </si>
  <si>
    <t xml:space="preserve"> by ring-opening polymerization</t>
  </si>
  <si>
    <t>heat_high</t>
  </si>
  <si>
    <t>lactic_acid</t>
  </si>
  <si>
    <t xml:space="preserve"> from agricultural residue | pla</t>
  </si>
  <si>
    <t xml:space="preserve"> from agricultural residue</t>
  </si>
  <si>
    <t>CN</t>
  </si>
  <si>
    <t>chemical_case_study</t>
  </si>
  <si>
    <t xml:space="preserve"> from forest residue | pla</t>
  </si>
  <si>
    <t xml:space="preserve"> from forest residue</t>
  </si>
  <si>
    <t xml:space="preserve"> from agricultural residue | pp</t>
  </si>
  <si>
    <t xml:space="preserve"> from forest residue | pp</t>
  </si>
  <si>
    <t>polypropylene</t>
  </si>
  <si>
    <t xml:space="preserve"> granulate</t>
  </si>
  <si>
    <t>market for polypropylene</t>
  </si>
  <si>
    <t>ecoinvent_image_SSP2-RCP19_2050_regionalized_relinked_biomass</t>
  </si>
  <si>
    <t>Agricultural residue | Agricultural residue | CN | kilogram | feedstock_2050_scenRCP1p9</t>
  </si>
  <si>
    <t>Agricultural residue</t>
  </si>
  <si>
    <t>feedstock_2050_scenRCP1p9</t>
  </si>
  <si>
    <t>Forest residue | Forest residue | CN | kilogram | feedstock_2050_scenRCP1p9</t>
  </si>
  <si>
    <t>Forest residue</t>
  </si>
  <si>
    <t>index</t>
  </si>
  <si>
    <t>amount</t>
  </si>
  <si>
    <t>unit</t>
  </si>
  <si>
    <t>reference product</t>
  </si>
  <si>
    <t>name</t>
  </si>
  <si>
    <t>location</t>
  </si>
  <si>
    <t>database</t>
  </si>
  <si>
    <t>Biodiversity regionalized | Transformation</t>
  </si>
  <si>
    <t>Biodiversity regionalized | Occupation</t>
  </si>
  <si>
    <t>IPCC_AR6 | GWP_100a | all</t>
  </si>
  <si>
    <t>pla_a</t>
  </si>
  <si>
    <t>pla_f</t>
  </si>
  <si>
    <t>GWP</t>
  </si>
  <si>
    <t>biomass feedstock</t>
  </si>
  <si>
    <t>pp_a</t>
  </si>
  <si>
    <t>pp_f</t>
  </si>
  <si>
    <t>pp_fossil</t>
  </si>
  <si>
    <t>biomass incineration</t>
  </si>
  <si>
    <t>other</t>
  </si>
  <si>
    <t>Biodiversity</t>
  </si>
  <si>
    <t>Biomass feedstock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</si>
</sst>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charset val="1"/>
    </font>
    <font>
      <sz val="10"/>
      <color rgb="FF000000"/>
      <name val="Arial Unicode MS"/>
    </font>
    <font>
      <sz val="10"/>
      <color rgb="FF000000"/>
      <name val="JetBrains Mono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ont="1" applyFill="1" applyBorder="1"/>
    <xf numFmtId="0" fontId="0" fillId="2" borderId="0" xfId="0" applyFill="1" applyBorder="1"/>
    <xf numFmtId="0" fontId="0" fillId="2" borderId="6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0" xfId="0" applyFont="1"/>
    <xf numFmtId="11" fontId="0" fillId="0" borderId="0" xfId="0" applyNumberFormat="1"/>
    <xf numFmtId="0" fontId="0" fillId="2" borderId="7" xfId="0" applyFont="1" applyFill="1" applyBorder="1"/>
    <xf numFmtId="0" fontId="0" fillId="2" borderId="8" xfId="0" applyFill="1" applyBorder="1"/>
    <xf numFmtId="0" fontId="0" fillId="2" borderId="9" xfId="0" applyFont="1" applyFill="1" applyBorder="1"/>
    <xf numFmtId="0" fontId="3" fillId="0" borderId="0" xfId="0" applyFont="1" applyAlignment="1">
      <alignment vertical="center"/>
    </xf>
    <xf numFmtId="0" fontId="4" fillId="2" borderId="5" xfId="0" applyFont="1" applyFill="1" applyBorder="1"/>
    <xf numFmtId="0" fontId="5" fillId="0" borderId="0" xfId="0" applyFont="1" applyAlignment="1">
      <alignment vertical="center"/>
    </xf>
    <xf numFmtId="9" fontId="1" fillId="0" borderId="0" xfId="1"/>
    <xf numFmtId="0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Sheet4!$B$11</c:f>
              <c:strCache>
                <c:ptCount val="1"/>
                <c:pt idx="0">
                  <c:v>biomass feedstock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Sheet4!$A$12:$A$16</c:f>
              <c:strCache>
                <c:ptCount val="5"/>
                <c:pt idx="0">
                  <c:v>pla_a</c:v>
                </c:pt>
                <c:pt idx="1">
                  <c:v>pla_f</c:v>
                </c:pt>
                <c:pt idx="2">
                  <c:v>pp_a</c:v>
                </c:pt>
                <c:pt idx="3">
                  <c:v>pp_f</c:v>
                </c:pt>
                <c:pt idx="4">
                  <c:v>pp_fossil</c:v>
                </c:pt>
              </c:strCache>
            </c:strRef>
          </c:cat>
          <c:val>
            <c:numRef>
              <c:f>Sheet4!$B$12:$B$16</c:f>
              <c:numCache>
                <c:formatCode>General</c:formatCode>
                <c:ptCount val="5"/>
                <c:pt idx="0">
                  <c:v>0.11874850036477523</c:v>
                </c:pt>
                <c:pt idx="1">
                  <c:v>3.0745672948663337E-2</c:v>
                </c:pt>
                <c:pt idx="2">
                  <c:v>0.58990021756473765</c:v>
                </c:pt>
                <c:pt idx="3">
                  <c:v>0.15273354278898141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0-4360-A986-482A9CC6B030}"/>
            </c:ext>
          </c:extLst>
        </c:ser>
        <c:ser>
          <c:idx val="2"/>
          <c:order val="1"/>
          <c:tx>
            <c:strRef>
              <c:f>Sheet4!$D$11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Sheet4!$A$12:$A$16</c:f>
              <c:strCache>
                <c:ptCount val="5"/>
                <c:pt idx="0">
                  <c:v>pla_a</c:v>
                </c:pt>
                <c:pt idx="1">
                  <c:v>pla_f</c:v>
                </c:pt>
                <c:pt idx="2">
                  <c:v>pp_a</c:v>
                </c:pt>
                <c:pt idx="3">
                  <c:v>pp_f</c:v>
                </c:pt>
                <c:pt idx="4">
                  <c:v>pp_fossil</c:v>
                </c:pt>
              </c:strCache>
            </c:strRef>
          </c:cat>
          <c:val>
            <c:numRef>
              <c:f>Sheet4!$D$12:$D$16</c:f>
              <c:numCache>
                <c:formatCode>General</c:formatCode>
                <c:ptCount val="5"/>
                <c:pt idx="0">
                  <c:v>2.2464164796541448</c:v>
                </c:pt>
                <c:pt idx="1">
                  <c:v>2.2462717061054063</c:v>
                </c:pt>
                <c:pt idx="2">
                  <c:v>7.1339257262100331E-2</c:v>
                </c:pt>
                <c:pt idx="3">
                  <c:v>8.0266063335279109E-2</c:v>
                </c:pt>
                <c:pt idx="4">
                  <c:v>1.9404761920003299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0-4360-A986-482A9CC6B030}"/>
            </c:ext>
          </c:extLst>
        </c:ser>
        <c:ser>
          <c:idx val="1"/>
          <c:order val="2"/>
          <c:tx>
            <c:strRef>
              <c:f>Sheet4!$C$11</c:f>
              <c:strCache>
                <c:ptCount val="1"/>
                <c:pt idx="0">
                  <c:v>biomass incineration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Sheet4!$A$12:$A$16</c:f>
              <c:strCache>
                <c:ptCount val="5"/>
                <c:pt idx="0">
                  <c:v>pla_a</c:v>
                </c:pt>
                <c:pt idx="1">
                  <c:v>pla_f</c:v>
                </c:pt>
                <c:pt idx="2">
                  <c:v>pp_a</c:v>
                </c:pt>
                <c:pt idx="3">
                  <c:v>pp_f</c:v>
                </c:pt>
                <c:pt idx="4">
                  <c:v>pp_fossil</c:v>
                </c:pt>
              </c:strCache>
            </c:strRef>
          </c:cat>
          <c:val>
            <c:numRef>
              <c:f>Sheet4!$C$12:$C$16</c:f>
              <c:numCache>
                <c:formatCode>General</c:formatCode>
                <c:ptCount val="5"/>
                <c:pt idx="0">
                  <c:v>0</c:v>
                </c:pt>
                <c:pt idx="1">
                  <c:v>0.30349999999999999</c:v>
                </c:pt>
                <c:pt idx="2">
                  <c:v>0</c:v>
                </c:pt>
                <c:pt idx="3">
                  <c:v>2.6838959874999997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0-4360-A986-482A9CC6B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431504"/>
        <c:axId val="899432488"/>
      </c:barChart>
      <c:catAx>
        <c:axId val="89943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488"/>
        <c:crosses val="autoZero"/>
        <c:auto val="1"/>
        <c:lblAlgn val="ctr"/>
        <c:lblOffset val="100"/>
        <c:noMultiLvlLbl val="0"/>
      </c:catAx>
      <c:valAx>
        <c:axId val="89943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Sheet4!$A$21:$A$25</c:f>
              <c:strCache>
                <c:ptCount val="5"/>
                <c:pt idx="0">
                  <c:v>pla_a</c:v>
                </c:pt>
                <c:pt idx="1">
                  <c:v>pla_f</c:v>
                </c:pt>
                <c:pt idx="2">
                  <c:v>pp_a</c:v>
                </c:pt>
                <c:pt idx="3">
                  <c:v>pp_f</c:v>
                </c:pt>
                <c:pt idx="4">
                  <c:v>pp_fossil</c:v>
                </c:pt>
              </c:strCache>
            </c:strRef>
          </c:cat>
          <c:val>
            <c:numRef>
              <c:f>Sheet4!$B$21:$B$25</c:f>
              <c:numCache>
                <c:formatCode>0.00E+00</c:formatCode>
                <c:ptCount val="5"/>
                <c:pt idx="0">
                  <c:v>6.3782876752696936E-16</c:v>
                </c:pt>
                <c:pt idx="1">
                  <c:v>1.2362271912870648E-14</c:v>
                </c:pt>
                <c:pt idx="2">
                  <c:v>3.1685059396743135E-15</c:v>
                </c:pt>
                <c:pt idx="3">
                  <c:v>6.1411359879034247E-14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A-400D-957C-F5CBE98990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Sheet4!$A$21:$A$25</c:f>
              <c:strCache>
                <c:ptCount val="5"/>
                <c:pt idx="0">
                  <c:v>pla_a</c:v>
                </c:pt>
                <c:pt idx="1">
                  <c:v>pla_f</c:v>
                </c:pt>
                <c:pt idx="2">
                  <c:v>pp_a</c:v>
                </c:pt>
                <c:pt idx="3">
                  <c:v>pp_f</c:v>
                </c:pt>
                <c:pt idx="4">
                  <c:v>pp_fossil</c:v>
                </c:pt>
              </c:strCache>
            </c:strRef>
          </c:cat>
          <c:val>
            <c:numRef>
              <c:f>Sheet4!$C$21:$C$25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D62A-400D-957C-F5CBE98990E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Sheet4!$A$21:$A$25</c:f>
              <c:strCache>
                <c:ptCount val="5"/>
                <c:pt idx="0">
                  <c:v>pla_a</c:v>
                </c:pt>
                <c:pt idx="1">
                  <c:v>pla_f</c:v>
                </c:pt>
                <c:pt idx="2">
                  <c:v>pp_a</c:v>
                </c:pt>
                <c:pt idx="3">
                  <c:v>pp_f</c:v>
                </c:pt>
                <c:pt idx="4">
                  <c:v>pp_fossil</c:v>
                </c:pt>
              </c:strCache>
            </c:strRef>
          </c:cat>
          <c:val>
            <c:numRef>
              <c:f>Sheet4!$D$21:$D$25</c:f>
              <c:numCache>
                <c:formatCode>0.00E+00</c:formatCode>
                <c:ptCount val="5"/>
                <c:pt idx="0">
                  <c:v>3.3109694595701907E-15</c:v>
                </c:pt>
                <c:pt idx="1">
                  <c:v>3.3369527936322321E-15</c:v>
                </c:pt>
                <c:pt idx="2">
                  <c:v>1.6850778714271746E-16</c:v>
                </c:pt>
                <c:pt idx="3">
                  <c:v>3.9653910573046084E-16</c:v>
                </c:pt>
                <c:pt idx="4">
                  <c:v>3.5916659227207427E-16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A-400D-957C-F5CBE989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1989968"/>
        <c:axId val="1251987344"/>
      </c:barChart>
      <c:catAx>
        <c:axId val="125198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87344"/>
        <c:crosses val="autoZero"/>
        <c:auto val="1"/>
        <c:lblAlgn val="ctr"/>
        <c:lblOffset val="100"/>
        <c:noMultiLvlLbl val="0"/>
      </c:catAx>
      <c:valAx>
        <c:axId val="125198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Sheet4!$B$11</c:f>
              <c:strCache>
                <c:ptCount val="1"/>
                <c:pt idx="0">
                  <c:v>biomass feedstock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Sheet4!$A$12:$A$16</c:f>
              <c:strCache>
                <c:ptCount val="5"/>
                <c:pt idx="0">
                  <c:v>pla_a</c:v>
                </c:pt>
                <c:pt idx="1">
                  <c:v>pla_f</c:v>
                </c:pt>
                <c:pt idx="2">
                  <c:v>pp_a</c:v>
                </c:pt>
                <c:pt idx="3">
                  <c:v>pp_f</c:v>
                </c:pt>
                <c:pt idx="4">
                  <c:v>pp_fossil</c:v>
                </c:pt>
              </c:strCache>
            </c:strRef>
          </c:cat>
          <c:val>
            <c:numRef>
              <c:f>Sheet4!$B$12:$B$16</c:f>
              <c:numCache>
                <c:formatCode>General</c:formatCode>
                <c:ptCount val="5"/>
                <c:pt idx="0">
                  <c:v>0.11874850036477523</c:v>
                </c:pt>
                <c:pt idx="1">
                  <c:v>3.0745672948663337E-2</c:v>
                </c:pt>
                <c:pt idx="2">
                  <c:v>0.58990021756473765</c:v>
                </c:pt>
                <c:pt idx="3">
                  <c:v>0.15273354278898141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7-4EF6-82A6-B9D633D6D008}"/>
            </c:ext>
          </c:extLst>
        </c:ser>
        <c:ser>
          <c:idx val="2"/>
          <c:order val="1"/>
          <c:tx>
            <c:strRef>
              <c:f>Sheet4!$D$11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Sheet4!$A$12:$A$16</c:f>
              <c:strCache>
                <c:ptCount val="5"/>
                <c:pt idx="0">
                  <c:v>pla_a</c:v>
                </c:pt>
                <c:pt idx="1">
                  <c:v>pla_f</c:v>
                </c:pt>
                <c:pt idx="2">
                  <c:v>pp_a</c:v>
                </c:pt>
                <c:pt idx="3">
                  <c:v>pp_f</c:v>
                </c:pt>
                <c:pt idx="4">
                  <c:v>pp_fossil</c:v>
                </c:pt>
              </c:strCache>
            </c:strRef>
          </c:cat>
          <c:val>
            <c:numRef>
              <c:f>Sheet4!$D$12:$D$16</c:f>
              <c:numCache>
                <c:formatCode>General</c:formatCode>
                <c:ptCount val="5"/>
                <c:pt idx="0">
                  <c:v>2.2464164796541448</c:v>
                </c:pt>
                <c:pt idx="1">
                  <c:v>2.2462717061054063</c:v>
                </c:pt>
                <c:pt idx="2">
                  <c:v>7.1339257262100331E-2</c:v>
                </c:pt>
                <c:pt idx="3">
                  <c:v>8.0266063335279109E-2</c:v>
                </c:pt>
                <c:pt idx="4">
                  <c:v>1.9404761920003299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57-4EF6-82A6-B9D633D6D008}"/>
            </c:ext>
          </c:extLst>
        </c:ser>
        <c:ser>
          <c:idx val="1"/>
          <c:order val="2"/>
          <c:tx>
            <c:strRef>
              <c:f>Sheet4!$C$11</c:f>
              <c:strCache>
                <c:ptCount val="1"/>
                <c:pt idx="0">
                  <c:v>biomass incineration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Sheet4!$A$12:$A$16</c:f>
              <c:strCache>
                <c:ptCount val="5"/>
                <c:pt idx="0">
                  <c:v>pla_a</c:v>
                </c:pt>
                <c:pt idx="1">
                  <c:v>pla_f</c:v>
                </c:pt>
                <c:pt idx="2">
                  <c:v>pp_a</c:v>
                </c:pt>
                <c:pt idx="3">
                  <c:v>pp_f</c:v>
                </c:pt>
                <c:pt idx="4">
                  <c:v>pp_fossil</c:v>
                </c:pt>
              </c:strCache>
            </c:strRef>
          </c:cat>
          <c:val>
            <c:numRef>
              <c:f>Sheet4!$C$12:$C$16</c:f>
              <c:numCache>
                <c:formatCode>General</c:formatCode>
                <c:ptCount val="5"/>
                <c:pt idx="0">
                  <c:v>0</c:v>
                </c:pt>
                <c:pt idx="1">
                  <c:v>0.30349999999999999</c:v>
                </c:pt>
                <c:pt idx="2">
                  <c:v>0</c:v>
                </c:pt>
                <c:pt idx="3">
                  <c:v>2.6838959874999997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7-4EF6-82A6-B9D633D6D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283824"/>
        <c:axId val="718278904"/>
      </c:barChart>
      <c:catAx>
        <c:axId val="71828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8904"/>
        <c:crosses val="autoZero"/>
        <c:auto val="1"/>
        <c:lblAlgn val="ctr"/>
        <c:lblOffset val="100"/>
        <c:noMultiLvlLbl val="0"/>
      </c:catAx>
      <c:valAx>
        <c:axId val="71827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8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Sheet4!$B$28:$B$32</c:f>
              <c:numCache>
                <c:formatCode>General</c:formatCode>
                <c:ptCount val="5"/>
                <c:pt idx="0">
                  <c:v>1.3634999999999999</c:v>
                </c:pt>
                <c:pt idx="1">
                  <c:v>1.3634999999999999</c:v>
                </c:pt>
                <c:pt idx="2">
                  <c:v>6.758</c:v>
                </c:pt>
                <c:pt idx="3">
                  <c:v>6.758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C-4080-BEAC-B8A654ED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935824"/>
        <c:axId val="893943040"/>
      </c:scatterChart>
      <c:valAx>
        <c:axId val="89393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43040"/>
        <c:crosses val="autoZero"/>
        <c:crossBetween val="midCat"/>
      </c:valAx>
      <c:valAx>
        <c:axId val="8939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3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Sheet4!$A$36:$A$40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6-43C9-B4C2-1A5D1AA3948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Sheet4!$B$36:$B$40</c:f>
              <c:numCache>
                <c:formatCode>General</c:formatCode>
                <c:ptCount val="5"/>
                <c:pt idx="0">
                  <c:v>3.1685059396743136</c:v>
                </c:pt>
                <c:pt idx="1">
                  <c:v>61.411359879034244</c:v>
                </c:pt>
                <c:pt idx="2">
                  <c:v>0.63782876752696938</c:v>
                </c:pt>
                <c:pt idx="3">
                  <c:v>12.362271912870648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6-43C9-B4C2-1A5D1AA3948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Sheet4!$C$36:$C$40</c:f>
              <c:numCache>
                <c:formatCode>0.00E+00</c:formatCode>
                <c:ptCount val="5"/>
                <c:pt idx="0">
                  <c:v>0.16850778714271747</c:v>
                </c:pt>
                <c:pt idx="1">
                  <c:v>0.39653910573046086</c:v>
                </c:pt>
                <c:pt idx="2">
                  <c:v>3.3109694595701908</c:v>
                </c:pt>
                <c:pt idx="3">
                  <c:v>3.3369527936322321</c:v>
                </c:pt>
                <c:pt idx="4">
                  <c:v>0.35916659227207426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26-43C9-B4C2-1A5D1AA39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492328"/>
        <c:axId val="707491672"/>
      </c:barChart>
      <c:catAx>
        <c:axId val="70749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91672"/>
        <c:crosses val="autoZero"/>
        <c:auto val="1"/>
        <c:lblAlgn val="ctr"/>
        <c:lblOffset val="100"/>
        <c:noMultiLvlLbl val="0"/>
      </c:catAx>
      <c:valAx>
        <c:axId val="7074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9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447675</xdr:colOff>
      <xdr:row>3</xdr:row>
      <xdr:rowOff>180975</xdr:rowOff>
    </xdr:from>
    <xdr:to>
      <xdr:col>25</xdr:col>
      <xdr:colOff>75002</xdr:colOff>
      <xdr:row>15</xdr:row>
      <xdr:rowOff>13519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3275" y="752475"/>
          <a:ext cx="8161727" cy="21185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11</xdr:row>
      <xdr:rowOff>47625</xdr:rowOff>
    </xdr:from>
    <xdr:to>
      <xdr:col>14</xdr:col>
      <xdr:colOff>371475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28</xdr:row>
      <xdr:rowOff>47625</xdr:rowOff>
    </xdr:from>
    <xdr:to>
      <xdr:col>14</xdr:col>
      <xdr:colOff>428625</xdr:colOff>
      <xdr:row>42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542925</xdr:colOff>
      <xdr:row>3</xdr:row>
      <xdr:rowOff>104775</xdr:rowOff>
    </xdr:from>
    <xdr:to>
      <xdr:col>15</xdr:col>
      <xdr:colOff>238125</xdr:colOff>
      <xdr:row>19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390525</xdr:colOff>
      <xdr:row>25</xdr:row>
      <xdr:rowOff>180975</xdr:rowOff>
    </xdr:from>
    <xdr:to>
      <xdr:col>14</xdr:col>
      <xdr:colOff>85725</xdr:colOff>
      <xdr:row>40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476250</xdr:colOff>
      <xdr:row>42</xdr:row>
      <xdr:rowOff>0</xdr:rowOff>
    </xdr:from>
    <xdr:to>
      <xdr:col>4</xdr:col>
      <xdr:colOff>342900</xdr:colOff>
      <xdr:row>56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71"/>
  <sheetViews>
    <sheetView zoomScaleNormal="100" workbookViewId="0"/>
  </sheetViews>
  <sheetFormatPr defaultRowHeight="14.4"/>
  <cols>
    <col min="1" max="1" width="8.5546875" customWidth="1"/>
    <col min="2" max="2" width="16.5546875" customWidth="1"/>
    <col min="3" max="3" width="12" customWidth="1"/>
    <col min="4" max="7" width="8.5546875" customWidth="1"/>
    <col min="8" max="8" width="16.5546875" customWidth="1"/>
    <col min="9" max="9" width="15.5546875" customWidth="1"/>
    <col min="10" max="20" width="8.5546875" customWidth="1"/>
    <col min="21" max="21" width="16.5546875" customWidth="1"/>
    <col min="22" max="22" width="15.5546875" customWidth="1"/>
    <col min="23" max="28" width="8.5546875" customWidth="1"/>
    <col min="29" max="29" width="23" customWidth="1"/>
    <col min="30" max="44" width="8.5546875" customWidth="1"/>
    <col min="45" max="45" width="23.6640625" customWidth="1"/>
    <col min="46" max="1025" width="8.5546875" customWidth="1"/>
  </cols>
  <sheetData>
    <row r="2" spans="2:48">
      <c r="AC2" s="1" t="s">
        <v>0</v>
      </c>
      <c r="AS2" t="s">
        <v>1</v>
      </c>
      <c r="AT2">
        <v>410247.37378184398</v>
      </c>
      <c r="AU2">
        <f>+AT2/$AT$4*100</f>
        <v>95.619827429074562</v>
      </c>
      <c r="AV2" t="s">
        <v>2</v>
      </c>
    </row>
    <row r="3" spans="2:48">
      <c r="U3" s="20" t="s">
        <v>3</v>
      </c>
      <c r="V3" s="20"/>
      <c r="W3" s="20"/>
      <c r="AS3" t="s">
        <v>4</v>
      </c>
      <c r="AT3">
        <v>18792.695429891999</v>
      </c>
      <c r="AU3">
        <f>+AT3/$AT$4*100</f>
        <v>4.3801725709254438</v>
      </c>
      <c r="AV3" t="s">
        <v>2</v>
      </c>
    </row>
    <row r="4" spans="2:48">
      <c r="B4" s="1" t="s">
        <v>5</v>
      </c>
      <c r="H4" s="1" t="s">
        <v>6</v>
      </c>
      <c r="U4" s="2" t="s">
        <v>6</v>
      </c>
      <c r="V4" s="3"/>
      <c r="W4" s="4"/>
      <c r="AD4" t="s">
        <v>7</v>
      </c>
      <c r="AE4" t="s">
        <v>8</v>
      </c>
      <c r="AS4" t="s">
        <v>9</v>
      </c>
      <c r="AT4">
        <f>+SUM(AT2:AT3)</f>
        <v>429040.06921173597</v>
      </c>
    </row>
    <row r="5" spans="2:48">
      <c r="B5" t="s">
        <v>10</v>
      </c>
      <c r="C5">
        <v>45</v>
      </c>
      <c r="D5" t="s">
        <v>11</v>
      </c>
      <c r="H5" t="s">
        <v>10</v>
      </c>
      <c r="I5">
        <f>+C5</f>
        <v>45</v>
      </c>
      <c r="J5" t="s">
        <v>11</v>
      </c>
      <c r="U5" s="5" t="s">
        <v>10</v>
      </c>
      <c r="V5" s="6">
        <f t="shared" ref="V5:V18" si="0">+I5/$I$5</f>
        <v>1</v>
      </c>
      <c r="W5" s="7" t="s">
        <v>11</v>
      </c>
      <c r="AC5" t="s">
        <v>12</v>
      </c>
      <c r="AD5">
        <v>124.26423493406099</v>
      </c>
      <c r="AE5">
        <v>189.134148078142</v>
      </c>
      <c r="AF5" t="s">
        <v>13</v>
      </c>
    </row>
    <row r="6" spans="2:48">
      <c r="B6" t="s">
        <v>14</v>
      </c>
      <c r="C6">
        <v>256.95947136180399</v>
      </c>
      <c r="D6" t="s">
        <v>11</v>
      </c>
      <c r="H6" t="s">
        <v>14</v>
      </c>
      <c r="I6">
        <f>+C6+C9+C16-C35-C37-C46</f>
        <v>0.46337995494999973</v>
      </c>
      <c r="J6" t="s">
        <v>11</v>
      </c>
      <c r="U6" s="5" t="s">
        <v>14</v>
      </c>
      <c r="V6" s="6">
        <f t="shared" si="0"/>
        <v>1.0297332332222216E-2</v>
      </c>
      <c r="W6" s="7" t="s">
        <v>11</v>
      </c>
      <c r="AC6" t="s">
        <v>15</v>
      </c>
      <c r="AD6">
        <v>9.5342237602608009</v>
      </c>
      <c r="AE6">
        <v>62.931135786961804</v>
      </c>
      <c r="AF6" t="s">
        <v>13</v>
      </c>
    </row>
    <row r="7" spans="2:48">
      <c r="B7" t="s">
        <v>16</v>
      </c>
      <c r="C7">
        <v>3.6603265155437097E-2</v>
      </c>
      <c r="D7" t="s">
        <v>11</v>
      </c>
      <c r="H7" t="s">
        <v>16</v>
      </c>
      <c r="I7">
        <f>+C7</f>
        <v>3.6603265155437097E-2</v>
      </c>
      <c r="J7" t="s">
        <v>11</v>
      </c>
      <c r="U7" s="5" t="s">
        <v>16</v>
      </c>
      <c r="V7" s="6">
        <f t="shared" si="0"/>
        <v>8.1340589234304658E-4</v>
      </c>
      <c r="W7" s="7" t="s">
        <v>11</v>
      </c>
      <c r="AC7" t="s">
        <v>17</v>
      </c>
      <c r="AD7">
        <v>1.14924382783236</v>
      </c>
      <c r="AE7">
        <v>48.825143510264198</v>
      </c>
      <c r="AF7" t="s">
        <v>13</v>
      </c>
    </row>
    <row r="8" spans="2:48">
      <c r="B8" t="s">
        <v>18</v>
      </c>
      <c r="C8">
        <v>37.991744790394698</v>
      </c>
      <c r="D8" t="s">
        <v>11</v>
      </c>
      <c r="H8" t="s">
        <v>18</v>
      </c>
      <c r="I8">
        <f>+C8-C36</f>
        <v>5.5525290886778009</v>
      </c>
      <c r="J8" t="s">
        <v>11</v>
      </c>
      <c r="U8" s="5" t="s">
        <v>18</v>
      </c>
      <c r="V8" s="6">
        <f t="shared" si="0"/>
        <v>0.12338953530395114</v>
      </c>
      <c r="W8" s="7" t="s">
        <v>11</v>
      </c>
    </row>
    <row r="9" spans="2:48">
      <c r="B9" t="s">
        <v>14</v>
      </c>
      <c r="C9">
        <v>205.56757708944301</v>
      </c>
      <c r="D9" t="s">
        <v>11</v>
      </c>
      <c r="H9" t="s">
        <v>19</v>
      </c>
      <c r="I9">
        <f>+C10-C41</f>
        <v>0.67823204615601185</v>
      </c>
      <c r="J9" t="s">
        <v>11</v>
      </c>
      <c r="U9" s="5" t="s">
        <v>19</v>
      </c>
      <c r="V9" s="6">
        <f t="shared" si="0"/>
        <v>1.5071823247911374E-2</v>
      </c>
      <c r="W9" s="7" t="s">
        <v>11</v>
      </c>
    </row>
    <row r="10" spans="2:48">
      <c r="B10" t="s">
        <v>19</v>
      </c>
      <c r="C10">
        <v>158.58415943877901</v>
      </c>
      <c r="D10" t="s">
        <v>11</v>
      </c>
      <c r="H10" t="s">
        <v>20</v>
      </c>
      <c r="I10">
        <f>+C11+C15-C40</f>
        <v>6.3275303440605057E-2</v>
      </c>
      <c r="J10" t="s">
        <v>11</v>
      </c>
      <c r="U10" s="5" t="s">
        <v>20</v>
      </c>
      <c r="V10" s="6">
        <f t="shared" si="0"/>
        <v>1.406117854235668E-3</v>
      </c>
      <c r="W10" s="7" t="s">
        <v>11</v>
      </c>
      <c r="AC10" t="s">
        <v>21</v>
      </c>
    </row>
    <row r="11" spans="2:48">
      <c r="B11" t="s">
        <v>20</v>
      </c>
      <c r="C11">
        <v>15.3023634829746</v>
      </c>
      <c r="D11" t="s">
        <v>11</v>
      </c>
      <c r="H11" t="s">
        <v>1</v>
      </c>
      <c r="I11">
        <f>+C12+C25</f>
        <v>656.37811965343201</v>
      </c>
      <c r="J11" t="s">
        <v>11</v>
      </c>
      <c r="U11" s="5" t="s">
        <v>1</v>
      </c>
      <c r="V11" s="6">
        <f t="shared" si="0"/>
        <v>14.586180436742934</v>
      </c>
      <c r="W11" s="7" t="s">
        <v>11</v>
      </c>
    </row>
    <row r="12" spans="2:48">
      <c r="B12" t="s">
        <v>1</v>
      </c>
      <c r="C12">
        <v>496.97850002906802</v>
      </c>
      <c r="D12" t="s">
        <v>11</v>
      </c>
      <c r="H12" t="s">
        <v>22</v>
      </c>
      <c r="I12">
        <f>+C13-C38</f>
        <v>0.15766776897598334</v>
      </c>
      <c r="J12" t="s">
        <v>11</v>
      </c>
      <c r="U12" s="5" t="s">
        <v>22</v>
      </c>
      <c r="V12" s="6">
        <f t="shared" si="0"/>
        <v>3.5037281994662961E-3</v>
      </c>
      <c r="W12" s="7" t="s">
        <v>11</v>
      </c>
    </row>
    <row r="13" spans="2:48">
      <c r="B13" t="s">
        <v>22</v>
      </c>
      <c r="C13">
        <v>157.667768976129</v>
      </c>
      <c r="D13" t="s">
        <v>11</v>
      </c>
      <c r="H13" t="s">
        <v>23</v>
      </c>
      <c r="I13">
        <f>+C14-C39</f>
        <v>1.6521752005849919</v>
      </c>
      <c r="J13" t="s">
        <v>11</v>
      </c>
      <c r="U13" s="5" t="s">
        <v>23</v>
      </c>
      <c r="V13" s="6">
        <f t="shared" si="0"/>
        <v>3.6715004457444265E-2</v>
      </c>
      <c r="W13" s="7" t="s">
        <v>11</v>
      </c>
    </row>
    <row r="14" spans="2:48">
      <c r="B14" t="s">
        <v>23</v>
      </c>
      <c r="C14">
        <v>131.90486155731199</v>
      </c>
      <c r="D14" t="s">
        <v>11</v>
      </c>
      <c r="H14" t="s">
        <v>24</v>
      </c>
      <c r="I14">
        <f>+C17-C44</f>
        <v>1.5605501959797152E-2</v>
      </c>
      <c r="J14" t="s">
        <v>11</v>
      </c>
      <c r="U14" s="5" t="s">
        <v>24</v>
      </c>
      <c r="V14" s="6">
        <f t="shared" si="0"/>
        <v>3.4678893243993673E-4</v>
      </c>
      <c r="W14" s="7" t="s">
        <v>11</v>
      </c>
    </row>
    <row r="15" spans="2:48">
      <c r="B15" t="s">
        <v>25</v>
      </c>
      <c r="C15">
        <v>16.8</v>
      </c>
      <c r="D15" t="s">
        <v>11</v>
      </c>
      <c r="H15" t="s">
        <v>26</v>
      </c>
      <c r="I15">
        <f>+C18+C21-C43</f>
        <v>2.0161519928601592</v>
      </c>
      <c r="J15" t="s">
        <v>11</v>
      </c>
      <c r="U15" s="5" t="s">
        <v>26</v>
      </c>
      <c r="V15" s="6">
        <f t="shared" si="0"/>
        <v>4.4803377619114647E-2</v>
      </c>
      <c r="W15" s="7" t="s">
        <v>11</v>
      </c>
    </row>
    <row r="16" spans="2:48">
      <c r="B16" t="s">
        <v>14</v>
      </c>
      <c r="C16">
        <v>102.783788544722</v>
      </c>
      <c r="D16" t="s">
        <v>11</v>
      </c>
      <c r="H16" t="s">
        <v>27</v>
      </c>
      <c r="I16">
        <f>+C19+C20+C22-C45</f>
        <v>5.059355609546401E-3</v>
      </c>
      <c r="J16" t="s">
        <v>11</v>
      </c>
      <c r="U16" s="5" t="s">
        <v>27</v>
      </c>
      <c r="V16" s="6">
        <f t="shared" si="0"/>
        <v>1.1243012465658668E-4</v>
      </c>
      <c r="W16" s="7" t="s">
        <v>11</v>
      </c>
    </row>
    <row r="17" spans="2:25">
      <c r="B17" t="s">
        <v>24</v>
      </c>
      <c r="C17">
        <v>89.687554273214602</v>
      </c>
      <c r="D17" t="s">
        <v>11</v>
      </c>
      <c r="H17" t="s">
        <v>28</v>
      </c>
      <c r="I17">
        <f>+C23-C42</f>
        <v>9.9999999999695888E-3</v>
      </c>
      <c r="J17" t="s">
        <v>11</v>
      </c>
      <c r="U17" s="5" t="s">
        <v>28</v>
      </c>
      <c r="V17" s="6">
        <f t="shared" si="0"/>
        <v>2.2222222222154642E-4</v>
      </c>
      <c r="W17" s="7" t="s">
        <v>11</v>
      </c>
    </row>
    <row r="18" spans="2:25">
      <c r="B18" t="s">
        <v>29</v>
      </c>
      <c r="C18">
        <v>1644.0942674405901</v>
      </c>
      <c r="D18" t="s">
        <v>11</v>
      </c>
      <c r="H18" t="s">
        <v>30</v>
      </c>
      <c r="I18">
        <v>100</v>
      </c>
      <c r="J18" t="s">
        <v>11</v>
      </c>
      <c r="U18" s="5" t="s">
        <v>30</v>
      </c>
      <c r="V18" s="6">
        <f t="shared" si="0"/>
        <v>2.2222222222222223</v>
      </c>
      <c r="W18" s="7" t="s">
        <v>11</v>
      </c>
    </row>
    <row r="19" spans="2:25">
      <c r="B19" t="s">
        <v>27</v>
      </c>
      <c r="C19">
        <v>709.52711419256298</v>
      </c>
      <c r="D19" t="s">
        <v>11</v>
      </c>
      <c r="U19" s="5"/>
      <c r="V19" s="6"/>
      <c r="W19" s="7"/>
    </row>
    <row r="20" spans="2:25">
      <c r="B20" t="s">
        <v>27</v>
      </c>
      <c r="C20">
        <v>70.952711419256303</v>
      </c>
      <c r="D20" t="s">
        <v>11</v>
      </c>
      <c r="H20" s="1" t="s">
        <v>31</v>
      </c>
      <c r="K20" s="1"/>
      <c r="U20" s="2" t="s">
        <v>31</v>
      </c>
      <c r="V20" s="8"/>
      <c r="W20" s="9"/>
      <c r="X20" s="1"/>
      <c r="Y20" s="10" t="s">
        <v>32</v>
      </c>
    </row>
    <row r="21" spans="2:25">
      <c r="B21" t="s">
        <v>26</v>
      </c>
      <c r="C21">
        <v>1644.0942674405901</v>
      </c>
      <c r="D21" t="s">
        <v>11</v>
      </c>
      <c r="H21" t="s">
        <v>7</v>
      </c>
      <c r="I21">
        <f>+C27</f>
        <v>429040.06921173597</v>
      </c>
      <c r="J21" t="s">
        <v>33</v>
      </c>
      <c r="U21" s="5" t="s">
        <v>7</v>
      </c>
      <c r="V21" s="6">
        <f>+C27/$C$5/1000</f>
        <v>9.5342237602608009</v>
      </c>
      <c r="W21" s="7" t="s">
        <v>13</v>
      </c>
      <c r="Y21" t="s">
        <v>34</v>
      </c>
    </row>
    <row r="22" spans="2:25">
      <c r="B22" t="s">
        <v>27</v>
      </c>
      <c r="C22">
        <v>35.476355709628201</v>
      </c>
      <c r="D22" t="s">
        <v>11</v>
      </c>
      <c r="H22" t="s">
        <v>8</v>
      </c>
      <c r="I22">
        <f>+C28</f>
        <v>2831901.1104132799</v>
      </c>
      <c r="J22" t="s">
        <v>33</v>
      </c>
      <c r="U22" s="5" t="s">
        <v>8</v>
      </c>
      <c r="V22" s="6">
        <f>+C28/$C$5/1000</f>
        <v>62.931135786961768</v>
      </c>
      <c r="W22" s="7" t="s">
        <v>13</v>
      </c>
      <c r="Y22" t="s">
        <v>35</v>
      </c>
    </row>
    <row r="23" spans="2:25">
      <c r="B23" t="s">
        <v>28</v>
      </c>
      <c r="C23">
        <v>10</v>
      </c>
      <c r="D23" t="s">
        <v>11</v>
      </c>
      <c r="H23" t="s">
        <v>36</v>
      </c>
      <c r="I23">
        <f>+SUM(C29:C32)</f>
        <v>221.05754309402201</v>
      </c>
      <c r="J23" t="s">
        <v>37</v>
      </c>
      <c r="U23" s="5" t="s">
        <v>36</v>
      </c>
      <c r="V23" s="6">
        <f>+I23/$I$5</f>
        <v>4.9123898465338227</v>
      </c>
      <c r="W23" s="7" t="s">
        <v>37</v>
      </c>
    </row>
    <row r="24" spans="2:25">
      <c r="B24" t="s">
        <v>30</v>
      </c>
      <c r="C24">
        <v>100</v>
      </c>
      <c r="D24" t="s">
        <v>11</v>
      </c>
      <c r="U24" s="5"/>
      <c r="V24" s="6"/>
      <c r="W24" s="7"/>
    </row>
    <row r="25" spans="2:25">
      <c r="B25" t="s">
        <v>1</v>
      </c>
      <c r="C25">
        <v>159.39961962436399</v>
      </c>
      <c r="D25" t="s">
        <v>11</v>
      </c>
      <c r="H25" s="1" t="s">
        <v>38</v>
      </c>
      <c r="U25" s="2" t="s">
        <v>38</v>
      </c>
      <c r="V25" s="3"/>
      <c r="W25" s="4"/>
      <c r="Y25" t="s">
        <v>39</v>
      </c>
    </row>
    <row r="26" spans="2:25">
      <c r="B26" s="1" t="s">
        <v>31</v>
      </c>
      <c r="E26" s="1"/>
      <c r="H26" t="s">
        <v>40</v>
      </c>
      <c r="I26">
        <v>1.86303827960913</v>
      </c>
      <c r="J26" t="s">
        <v>11</v>
      </c>
      <c r="U26" s="5" t="s">
        <v>40</v>
      </c>
      <c r="V26" s="6">
        <f>+C68/$I$5</f>
        <v>4.1400850657980666E-2</v>
      </c>
      <c r="W26" s="7" t="s">
        <v>11</v>
      </c>
    </row>
    <row r="27" spans="2:25">
      <c r="B27" t="s">
        <v>7</v>
      </c>
      <c r="C27">
        <v>429040.06921173597</v>
      </c>
      <c r="D27" t="s">
        <v>33</v>
      </c>
      <c r="H27" t="s">
        <v>41</v>
      </c>
      <c r="I27">
        <v>25.9372641822841</v>
      </c>
      <c r="J27" t="s">
        <v>11</v>
      </c>
      <c r="U27" s="5" t="s">
        <v>41</v>
      </c>
      <c r="V27" s="6">
        <f>+C69/$I$5</f>
        <v>0.57638364849520218</v>
      </c>
      <c r="W27" s="7" t="s">
        <v>11</v>
      </c>
    </row>
    <row r="28" spans="2:25">
      <c r="B28" t="s">
        <v>8</v>
      </c>
      <c r="C28">
        <v>2831901.1104132799</v>
      </c>
      <c r="D28" t="s">
        <v>33</v>
      </c>
      <c r="H28" t="s">
        <v>42</v>
      </c>
      <c r="I28">
        <v>10.2829977222226</v>
      </c>
      <c r="J28" t="s">
        <v>11</v>
      </c>
      <c r="U28" s="5" t="s">
        <v>42</v>
      </c>
      <c r="V28" s="6">
        <f>+C70/$I$5</f>
        <v>0.22851106049383554</v>
      </c>
      <c r="W28" s="7" t="s">
        <v>11</v>
      </c>
    </row>
    <row r="29" spans="2:25">
      <c r="B29" t="s">
        <v>36</v>
      </c>
      <c r="C29">
        <v>2.0206508400000001</v>
      </c>
      <c r="D29" t="s">
        <v>37</v>
      </c>
      <c r="H29" t="s">
        <v>43</v>
      </c>
      <c r="I29">
        <v>8.8326200271363806</v>
      </c>
      <c r="J29" t="s">
        <v>11</v>
      </c>
      <c r="U29" s="5" t="s">
        <v>43</v>
      </c>
      <c r="V29" s="6">
        <f>+C71/$I$5</f>
        <v>0.19628044504747513</v>
      </c>
      <c r="W29" s="7" t="s">
        <v>11</v>
      </c>
    </row>
    <row r="30" spans="2:25">
      <c r="B30" t="s">
        <v>36</v>
      </c>
      <c r="C30">
        <v>13.944479400000001</v>
      </c>
      <c r="D30" t="s">
        <v>37</v>
      </c>
      <c r="U30" s="5"/>
      <c r="V30" s="6"/>
      <c r="W30" s="7"/>
    </row>
    <row r="31" spans="2:25">
      <c r="B31" t="s">
        <v>36</v>
      </c>
      <c r="C31">
        <v>205.09172799999999</v>
      </c>
      <c r="D31" t="s">
        <v>37</v>
      </c>
      <c r="H31" s="1" t="s">
        <v>44</v>
      </c>
      <c r="U31" s="2" t="s">
        <v>44</v>
      </c>
      <c r="V31" s="3"/>
      <c r="W31" s="4"/>
    </row>
    <row r="32" spans="2:25">
      <c r="B32" t="s">
        <v>36</v>
      </c>
      <c r="C32">
        <v>6.8485402199999995E-4</v>
      </c>
      <c r="D32" t="s">
        <v>37</v>
      </c>
      <c r="H32" t="s">
        <v>45</v>
      </c>
      <c r="I32">
        <f>+C47+C48+C53</f>
        <v>13.678794249446382</v>
      </c>
      <c r="J32" t="s">
        <v>11</v>
      </c>
      <c r="U32" s="5" t="s">
        <v>45</v>
      </c>
      <c r="V32" s="6">
        <f>+I32/$I$5</f>
        <v>0.30397320554325291</v>
      </c>
      <c r="W32" s="7" t="s">
        <v>11</v>
      </c>
    </row>
    <row r="33" spans="2:25">
      <c r="H33" t="s">
        <v>46</v>
      </c>
      <c r="I33">
        <v>0.111745254937268</v>
      </c>
      <c r="J33" t="s">
        <v>11</v>
      </c>
      <c r="U33" s="5" t="s">
        <v>46</v>
      </c>
      <c r="V33" s="6">
        <f>+I33/$I$5</f>
        <v>2.4832278874948443E-3</v>
      </c>
      <c r="W33" s="7" t="s">
        <v>11</v>
      </c>
    </row>
    <row r="34" spans="2:25">
      <c r="B34" s="1" t="s">
        <v>47</v>
      </c>
      <c r="H34" t="s">
        <v>48</v>
      </c>
      <c r="I34">
        <v>7.9376418382473197</v>
      </c>
      <c r="J34" t="s">
        <v>11</v>
      </c>
      <c r="U34" s="5" t="s">
        <v>48</v>
      </c>
      <c r="V34" s="6">
        <f>+I34/$I$5</f>
        <v>0.17639204084994045</v>
      </c>
      <c r="W34" s="7" t="s">
        <v>11</v>
      </c>
    </row>
    <row r="35" spans="2:25">
      <c r="B35" t="s">
        <v>14</v>
      </c>
      <c r="C35">
        <v>205.36200951235401</v>
      </c>
      <c r="D35" t="s">
        <v>11</v>
      </c>
      <c r="H35" t="s">
        <v>49</v>
      </c>
      <c r="I35">
        <v>76.698841776305002</v>
      </c>
      <c r="J35" t="s">
        <v>11</v>
      </c>
      <c r="U35" s="5" t="s">
        <v>49</v>
      </c>
      <c r="V35" s="6">
        <f>+I35/$I$5</f>
        <v>1.7044187061401113</v>
      </c>
      <c r="W35" s="7" t="s">
        <v>11</v>
      </c>
    </row>
    <row r="36" spans="2:25">
      <c r="B36" t="s">
        <v>18</v>
      </c>
      <c r="C36">
        <v>32.439215701716897</v>
      </c>
      <c r="D36" t="s">
        <v>11</v>
      </c>
      <c r="H36" t="s">
        <v>1</v>
      </c>
      <c r="I36">
        <v>2.6232308535737898</v>
      </c>
      <c r="J36" t="s">
        <v>11</v>
      </c>
      <c r="U36" s="5" t="s">
        <v>1</v>
      </c>
      <c r="V36" s="6">
        <f>+I36/$I$5</f>
        <v>5.8294018968306438E-2</v>
      </c>
      <c r="W36" s="7" t="s">
        <v>11</v>
      </c>
    </row>
    <row r="37" spans="2:25">
      <c r="B37" t="s">
        <v>14</v>
      </c>
      <c r="C37">
        <v>256.70165898394299</v>
      </c>
      <c r="D37" t="s">
        <v>11</v>
      </c>
      <c r="U37" s="5"/>
      <c r="V37" s="6"/>
      <c r="W37" s="7"/>
    </row>
    <row r="38" spans="2:25">
      <c r="B38" t="s">
        <v>22</v>
      </c>
      <c r="C38">
        <v>157.51010120715301</v>
      </c>
      <c r="D38" t="s">
        <v>11</v>
      </c>
      <c r="H38" s="1" t="s">
        <v>50</v>
      </c>
      <c r="U38" s="2" t="s">
        <v>50</v>
      </c>
      <c r="V38" s="3"/>
      <c r="W38" s="4"/>
      <c r="Y38" t="s">
        <v>51</v>
      </c>
    </row>
    <row r="39" spans="2:25">
      <c r="B39" t="s">
        <v>23</v>
      </c>
      <c r="C39">
        <v>130.252686356727</v>
      </c>
      <c r="D39" t="s">
        <v>11</v>
      </c>
      <c r="H39" t="s">
        <v>1</v>
      </c>
      <c r="I39">
        <f>+C54+C62</f>
        <v>7.5037327688866498</v>
      </c>
      <c r="J39" t="s">
        <v>11</v>
      </c>
      <c r="U39" s="5" t="s">
        <v>1</v>
      </c>
      <c r="V39" s="6">
        <f t="shared" ref="V39:V46" si="1">+I39/$I$5</f>
        <v>0.16674961708636998</v>
      </c>
      <c r="W39" s="7" t="s">
        <v>11</v>
      </c>
    </row>
    <row r="40" spans="2:25">
      <c r="B40" t="s">
        <v>20</v>
      </c>
      <c r="C40">
        <v>32.039088179533998</v>
      </c>
      <c r="D40" t="s">
        <v>11</v>
      </c>
      <c r="H40" t="s">
        <v>52</v>
      </c>
      <c r="I40">
        <v>1.9922765891947601E-4</v>
      </c>
      <c r="J40" t="s">
        <v>11</v>
      </c>
      <c r="U40" s="5" t="s">
        <v>52</v>
      </c>
      <c r="V40" s="6">
        <f t="shared" si="1"/>
        <v>4.4272813093216894E-6</v>
      </c>
      <c r="W40" s="7" t="s">
        <v>11</v>
      </c>
    </row>
    <row r="41" spans="2:25">
      <c r="B41" t="s">
        <v>19</v>
      </c>
      <c r="C41">
        <v>157.905927392623</v>
      </c>
      <c r="D41" t="s">
        <v>11</v>
      </c>
      <c r="H41" t="s">
        <v>53</v>
      </c>
      <c r="I41">
        <v>2.5400778372867798E-3</v>
      </c>
      <c r="J41" t="s">
        <v>11</v>
      </c>
      <c r="U41" s="5" t="s">
        <v>53</v>
      </c>
      <c r="V41" s="6">
        <f t="shared" si="1"/>
        <v>5.6446174161928438E-5</v>
      </c>
      <c r="W41" s="7" t="s">
        <v>11</v>
      </c>
    </row>
    <row r="42" spans="2:25">
      <c r="B42" t="s">
        <v>28</v>
      </c>
      <c r="C42">
        <v>9.9900000000000304</v>
      </c>
      <c r="D42" t="s">
        <v>11</v>
      </c>
      <c r="H42" t="s">
        <v>49</v>
      </c>
      <c r="I42">
        <v>9.4581011054382901E-3</v>
      </c>
      <c r="J42" t="s">
        <v>11</v>
      </c>
      <c r="U42" s="5" t="s">
        <v>49</v>
      </c>
      <c r="V42" s="6">
        <f t="shared" si="1"/>
        <v>2.1018002456529532E-4</v>
      </c>
      <c r="W42" s="7" t="s">
        <v>11</v>
      </c>
    </row>
    <row r="43" spans="2:25">
      <c r="B43" t="s">
        <v>26</v>
      </c>
      <c r="C43">
        <v>3286.17238288832</v>
      </c>
      <c r="D43" t="s">
        <v>11</v>
      </c>
      <c r="H43" t="s">
        <v>45</v>
      </c>
      <c r="I43">
        <v>0.10092244103616201</v>
      </c>
      <c r="J43" t="s">
        <v>11</v>
      </c>
      <c r="U43" s="5" t="s">
        <v>45</v>
      </c>
      <c r="V43" s="6">
        <f t="shared" si="1"/>
        <v>2.2427209119147114E-3</v>
      </c>
      <c r="W43" s="7" t="s">
        <v>11</v>
      </c>
    </row>
    <row r="44" spans="2:25">
      <c r="B44" t="s">
        <v>24</v>
      </c>
      <c r="C44">
        <v>89.671948771254804</v>
      </c>
      <c r="D44" t="s">
        <v>11</v>
      </c>
      <c r="H44" t="s">
        <v>54</v>
      </c>
      <c r="I44" s="11">
        <v>9.0186171759872801E-6</v>
      </c>
      <c r="J44" t="s">
        <v>11</v>
      </c>
      <c r="U44" s="5" t="s">
        <v>54</v>
      </c>
      <c r="V44" s="6">
        <f t="shared" si="1"/>
        <v>2.0041371502193957E-7</v>
      </c>
      <c r="W44" s="7" t="s">
        <v>11</v>
      </c>
    </row>
    <row r="45" spans="2:25">
      <c r="B45" t="s">
        <v>27</v>
      </c>
      <c r="C45">
        <v>815.95112196583796</v>
      </c>
      <c r="D45" t="s">
        <v>11</v>
      </c>
      <c r="H45" t="s">
        <v>18</v>
      </c>
      <c r="I45">
        <v>3.2416406747058099E-3</v>
      </c>
      <c r="J45" t="s">
        <v>11</v>
      </c>
      <c r="U45" s="5" t="s">
        <v>18</v>
      </c>
      <c r="V45" s="6">
        <f t="shared" si="1"/>
        <v>7.2036459437906894E-5</v>
      </c>
      <c r="W45" s="7" t="s">
        <v>11</v>
      </c>
    </row>
    <row r="46" spans="2:25">
      <c r="B46" t="s">
        <v>14</v>
      </c>
      <c r="C46">
        <v>102.783788544722</v>
      </c>
      <c r="D46" t="s">
        <v>11</v>
      </c>
      <c r="H46" t="s">
        <v>14</v>
      </c>
      <c r="I46" s="11">
        <v>9.0608190741852096E-13</v>
      </c>
      <c r="J46" t="s">
        <v>11</v>
      </c>
      <c r="U46" s="5" t="s">
        <v>14</v>
      </c>
      <c r="V46" s="6">
        <f t="shared" si="1"/>
        <v>2.0135153498189354E-14</v>
      </c>
      <c r="W46" s="7" t="s">
        <v>11</v>
      </c>
    </row>
    <row r="47" spans="2:25">
      <c r="B47" t="s">
        <v>55</v>
      </c>
      <c r="C47">
        <v>1.4712591225852599E-2</v>
      </c>
      <c r="D47" t="s">
        <v>11</v>
      </c>
      <c r="U47" s="5"/>
      <c r="V47" s="6"/>
      <c r="W47" s="7"/>
    </row>
    <row r="48" spans="2:25">
      <c r="B48" t="s">
        <v>55</v>
      </c>
      <c r="C48">
        <v>1.6347323584280701E-3</v>
      </c>
      <c r="D48" t="s">
        <v>11</v>
      </c>
      <c r="H48" s="1" t="s">
        <v>56</v>
      </c>
      <c r="U48" s="2" t="s">
        <v>56</v>
      </c>
      <c r="V48" s="3"/>
      <c r="W48" s="4"/>
    </row>
    <row r="49" spans="2:23">
      <c r="B49" t="s">
        <v>57</v>
      </c>
      <c r="C49">
        <v>2.6232308535737898</v>
      </c>
      <c r="D49" t="s">
        <v>11</v>
      </c>
      <c r="H49" t="s">
        <v>20</v>
      </c>
      <c r="I49" s="11">
        <v>2.17083006092826E-5</v>
      </c>
      <c r="J49" t="s">
        <v>11</v>
      </c>
      <c r="U49" s="5" t="s">
        <v>20</v>
      </c>
      <c r="V49" s="6">
        <f>+I49/$I$5</f>
        <v>4.8240668020627996E-7</v>
      </c>
      <c r="W49" s="7" t="s">
        <v>11</v>
      </c>
    </row>
    <row r="50" spans="2:23">
      <c r="B50" t="s">
        <v>58</v>
      </c>
      <c r="C50">
        <v>0.111745254937268</v>
      </c>
      <c r="D50" t="s">
        <v>11</v>
      </c>
      <c r="H50" t="s">
        <v>59</v>
      </c>
      <c r="I50">
        <v>8.9871672056466504E-4</v>
      </c>
      <c r="J50" t="s">
        <v>11</v>
      </c>
      <c r="U50" s="5" t="s">
        <v>59</v>
      </c>
      <c r="V50" s="6">
        <f>+I50/$I$5</f>
        <v>1.9971482679214779E-5</v>
      </c>
      <c r="W50" s="7" t="s">
        <v>11</v>
      </c>
    </row>
    <row r="51" spans="2:23">
      <c r="B51" t="s">
        <v>60</v>
      </c>
      <c r="C51">
        <v>7.9376418382473197</v>
      </c>
      <c r="D51" t="s">
        <v>11</v>
      </c>
      <c r="H51" t="s">
        <v>1</v>
      </c>
      <c r="I51">
        <v>8.9871672056466504E-4</v>
      </c>
      <c r="J51" t="s">
        <v>11</v>
      </c>
      <c r="U51" s="5" t="s">
        <v>1</v>
      </c>
      <c r="V51" s="6">
        <f>+I51/$I$5</f>
        <v>1.9971482679214779E-5</v>
      </c>
      <c r="W51" s="7" t="s">
        <v>11</v>
      </c>
    </row>
    <row r="52" spans="2:23">
      <c r="B52" t="s">
        <v>61</v>
      </c>
      <c r="C52">
        <v>76.698841776305002</v>
      </c>
      <c r="D52" t="s">
        <v>11</v>
      </c>
      <c r="H52" t="s">
        <v>62</v>
      </c>
      <c r="I52">
        <v>9.9999999999978093E-3</v>
      </c>
      <c r="J52" t="s">
        <v>11</v>
      </c>
      <c r="U52" s="12" t="s">
        <v>28</v>
      </c>
      <c r="V52" s="13">
        <f>+I52/$I$5</f>
        <v>2.2222222222217355E-4</v>
      </c>
      <c r="W52" s="14" t="s">
        <v>11</v>
      </c>
    </row>
    <row r="53" spans="2:23">
      <c r="B53" t="s">
        <v>63</v>
      </c>
      <c r="C53">
        <v>13.662446925862101</v>
      </c>
      <c r="D53" t="s">
        <v>11</v>
      </c>
    </row>
    <row r="54" spans="2:23">
      <c r="B54" t="s">
        <v>64</v>
      </c>
      <c r="C54">
        <v>3.9576059729842998</v>
      </c>
      <c r="D54" t="s">
        <v>11</v>
      </c>
    </row>
    <row r="55" spans="2:23">
      <c r="B55" t="s">
        <v>52</v>
      </c>
      <c r="C55">
        <v>1.9922765891947601E-4</v>
      </c>
      <c r="D55" t="s">
        <v>11</v>
      </c>
    </row>
    <row r="56" spans="2:23">
      <c r="B56" t="s">
        <v>53</v>
      </c>
      <c r="C56">
        <v>2.5400778372867798E-3</v>
      </c>
      <c r="D56" t="s">
        <v>11</v>
      </c>
    </row>
    <row r="57" spans="2:23">
      <c r="B57" t="s">
        <v>49</v>
      </c>
      <c r="C57">
        <v>9.4581011054382901E-3</v>
      </c>
      <c r="D57" t="s">
        <v>11</v>
      </c>
    </row>
    <row r="58" spans="2:23">
      <c r="B58" t="s">
        <v>55</v>
      </c>
      <c r="C58">
        <v>0.10092244103616201</v>
      </c>
      <c r="D58" t="s">
        <v>11</v>
      </c>
    </row>
    <row r="59" spans="2:23">
      <c r="B59" t="s">
        <v>65</v>
      </c>
      <c r="C59">
        <v>3.2071159338865798E-2</v>
      </c>
      <c r="D59" t="s">
        <v>11</v>
      </c>
    </row>
    <row r="60" spans="2:23">
      <c r="B60" t="s">
        <v>66</v>
      </c>
      <c r="C60" s="11">
        <v>2.17083006092826E-5</v>
      </c>
      <c r="D60" t="s">
        <v>11</v>
      </c>
    </row>
    <row r="61" spans="2:23">
      <c r="B61" t="s">
        <v>67</v>
      </c>
      <c r="C61">
        <v>8.9871672056466504E-4</v>
      </c>
      <c r="D61" t="s">
        <v>11</v>
      </c>
    </row>
    <row r="62" spans="2:23">
      <c r="B62" t="s">
        <v>64</v>
      </c>
      <c r="C62">
        <v>3.5461267959023499</v>
      </c>
      <c r="D62" t="s">
        <v>11</v>
      </c>
    </row>
    <row r="63" spans="2:23">
      <c r="B63" t="s">
        <v>68</v>
      </c>
      <c r="C63" s="11">
        <v>9.0186171759872801E-6</v>
      </c>
      <c r="D63" t="s">
        <v>11</v>
      </c>
    </row>
    <row r="64" spans="2:23">
      <c r="B64" t="s">
        <v>69</v>
      </c>
      <c r="C64">
        <v>3.2416406747058099E-3</v>
      </c>
      <c r="D64" t="s">
        <v>11</v>
      </c>
    </row>
    <row r="65" spans="2:4">
      <c r="B65" t="s">
        <v>70</v>
      </c>
      <c r="C65" s="11">
        <v>9.0608190741852096E-13</v>
      </c>
      <c r="D65" t="s">
        <v>11</v>
      </c>
    </row>
    <row r="66" spans="2:4">
      <c r="B66" t="s">
        <v>62</v>
      </c>
      <c r="C66">
        <v>9.9999999999978093E-3</v>
      </c>
      <c r="D66" t="s">
        <v>11</v>
      </c>
    </row>
    <row r="68" spans="2:4">
      <c r="B68" t="s">
        <v>40</v>
      </c>
      <c r="C68">
        <v>1.86303827960913</v>
      </c>
      <c r="D68" t="s">
        <v>11</v>
      </c>
    </row>
    <row r="69" spans="2:4">
      <c r="B69" t="s">
        <v>41</v>
      </c>
      <c r="C69">
        <v>25.9372641822841</v>
      </c>
      <c r="D69" t="s">
        <v>11</v>
      </c>
    </row>
    <row r="70" spans="2:4">
      <c r="B70" t="s">
        <v>42</v>
      </c>
      <c r="C70">
        <v>10.2829977222226</v>
      </c>
      <c r="D70" t="s">
        <v>11</v>
      </c>
    </row>
    <row r="71" spans="2:4">
      <c r="B71" t="s">
        <v>43</v>
      </c>
      <c r="C71">
        <v>8.8326200271363806</v>
      </c>
      <c r="D71" t="s">
        <v>11</v>
      </c>
    </row>
  </sheetData>
  <mergeCells count="1">
    <mergeCell ref="U3:W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1"/>
  <sheetViews>
    <sheetView topLeftCell="R19" zoomScaleNormal="100" workbookViewId="0">
      <selection activeCell="U31" sqref="U31:W37"/>
    </sheetView>
  </sheetViews>
  <sheetFormatPr defaultRowHeight="14.4"/>
  <cols>
    <col min="1" max="1" width="8.5546875" customWidth="1"/>
    <col min="2" max="2" width="16.5546875" customWidth="1"/>
    <col min="3" max="3" width="12" customWidth="1"/>
    <col min="4" max="7" width="8.5546875" customWidth="1"/>
    <col min="8" max="8" width="16.5546875" customWidth="1"/>
    <col min="9" max="9" width="15.5546875" customWidth="1"/>
    <col min="10" max="20" width="8.5546875" customWidth="1"/>
    <col min="21" max="21" width="16.5546875" customWidth="1"/>
    <col min="22" max="22" width="15.5546875" customWidth="1"/>
    <col min="23" max="28" width="8.5546875" customWidth="1"/>
    <col min="29" max="29" width="23" customWidth="1"/>
    <col min="30" max="44" width="8.5546875" customWidth="1"/>
    <col min="45" max="45" width="23.6640625" customWidth="1"/>
    <col min="46" max="1025" width="8.5546875" customWidth="1"/>
  </cols>
  <sheetData>
    <row r="1" spans="1:48">
      <c r="A1" t="s">
        <v>71</v>
      </c>
      <c r="B1">
        <v>23.297788509346699</v>
      </c>
      <c r="C1" t="s">
        <v>72</v>
      </c>
    </row>
    <row r="2" spans="1:48">
      <c r="AC2" s="1"/>
      <c r="AS2" t="s">
        <v>1</v>
      </c>
      <c r="AT2">
        <v>410247.37378184398</v>
      </c>
      <c r="AU2">
        <f>+AT2/$AT$4*100</f>
        <v>95.619827429074562</v>
      </c>
      <c r="AV2" t="s">
        <v>2</v>
      </c>
    </row>
    <row r="3" spans="1:48">
      <c r="U3" s="20" t="s">
        <v>3</v>
      </c>
      <c r="V3" s="20"/>
      <c r="W3" s="20"/>
      <c r="AS3" t="s">
        <v>4</v>
      </c>
      <c r="AT3">
        <v>18792.695429891999</v>
      </c>
      <c r="AU3">
        <f>+AT3/$AT$4*100</f>
        <v>4.3801725709254438</v>
      </c>
      <c r="AV3" t="s">
        <v>2</v>
      </c>
    </row>
    <row r="4" spans="1:48">
      <c r="B4" s="1" t="s">
        <v>5</v>
      </c>
      <c r="H4" s="1" t="s">
        <v>6</v>
      </c>
      <c r="U4" s="2" t="s">
        <v>6</v>
      </c>
      <c r="V4" s="3"/>
      <c r="W4" s="4"/>
      <c r="AS4" t="s">
        <v>9</v>
      </c>
      <c r="AT4">
        <f>+SUM(AT2:AT3)</f>
        <v>429040.06921173597</v>
      </c>
    </row>
    <row r="5" spans="1:48">
      <c r="B5" t="s">
        <v>10</v>
      </c>
      <c r="C5">
        <v>45</v>
      </c>
      <c r="D5" t="s">
        <v>11</v>
      </c>
      <c r="H5" t="s">
        <v>10</v>
      </c>
      <c r="I5">
        <f>+C5</f>
        <v>45</v>
      </c>
      <c r="J5" t="s">
        <v>11</v>
      </c>
      <c r="U5" s="5" t="s">
        <v>10</v>
      </c>
      <c r="V5" s="6">
        <f t="shared" ref="V5:V18" si="0">+I5/$I$5</f>
        <v>1</v>
      </c>
      <c r="W5" s="7" t="s">
        <v>11</v>
      </c>
    </row>
    <row r="6" spans="1:48">
      <c r="B6" t="s">
        <v>14</v>
      </c>
      <c r="C6">
        <v>256.95947136180399</v>
      </c>
      <c r="D6" t="s">
        <v>11</v>
      </c>
      <c r="H6" t="s">
        <v>14</v>
      </c>
      <c r="I6">
        <f>+C6+C9+C16-C35-C37-C46</f>
        <v>0.46337995494999973</v>
      </c>
      <c r="J6" t="s">
        <v>11</v>
      </c>
      <c r="U6" s="5" t="s">
        <v>14</v>
      </c>
      <c r="V6" s="6">
        <f t="shared" si="0"/>
        <v>1.0297332332222216E-2</v>
      </c>
      <c r="W6" s="7" t="s">
        <v>11</v>
      </c>
    </row>
    <row r="7" spans="1:48">
      <c r="B7" t="s">
        <v>16</v>
      </c>
      <c r="C7">
        <v>3.6603265155437097E-2</v>
      </c>
      <c r="D7" t="s">
        <v>11</v>
      </c>
      <c r="H7" t="s">
        <v>16</v>
      </c>
      <c r="I7">
        <f>+C7</f>
        <v>3.6603265155437097E-2</v>
      </c>
      <c r="J7" t="s">
        <v>11</v>
      </c>
      <c r="U7" s="5" t="s">
        <v>16</v>
      </c>
      <c r="V7" s="6">
        <f t="shared" si="0"/>
        <v>8.1340589234304658E-4</v>
      </c>
      <c r="W7" s="7" t="s">
        <v>11</v>
      </c>
    </row>
    <row r="8" spans="1:48">
      <c r="B8" t="s">
        <v>18</v>
      </c>
      <c r="C8">
        <v>37.991744790394698</v>
      </c>
      <c r="D8" t="s">
        <v>11</v>
      </c>
      <c r="H8" t="s">
        <v>18</v>
      </c>
      <c r="I8">
        <f>+C8-C36</f>
        <v>5.5525290886778009</v>
      </c>
      <c r="J8" t="s">
        <v>11</v>
      </c>
      <c r="U8" s="5" t="s">
        <v>18</v>
      </c>
      <c r="V8" s="6">
        <f t="shared" si="0"/>
        <v>0.12338953530395114</v>
      </c>
      <c r="W8" s="7" t="s">
        <v>11</v>
      </c>
    </row>
    <row r="9" spans="1:48">
      <c r="B9" t="s">
        <v>14</v>
      </c>
      <c r="C9">
        <v>205.56757708944301</v>
      </c>
      <c r="D9" t="s">
        <v>11</v>
      </c>
      <c r="H9" t="s">
        <v>19</v>
      </c>
      <c r="I9">
        <f>+C10-C41</f>
        <v>0.67823204615601185</v>
      </c>
      <c r="J9" t="s">
        <v>11</v>
      </c>
      <c r="U9" s="5" t="s">
        <v>19</v>
      </c>
      <c r="V9" s="6">
        <f t="shared" si="0"/>
        <v>1.5071823247911374E-2</v>
      </c>
      <c r="W9" s="7" t="s">
        <v>11</v>
      </c>
    </row>
    <row r="10" spans="1:48">
      <c r="B10" t="s">
        <v>19</v>
      </c>
      <c r="C10">
        <v>158.58415943877901</v>
      </c>
      <c r="D10" t="s">
        <v>11</v>
      </c>
      <c r="H10" t="s">
        <v>20</v>
      </c>
      <c r="I10">
        <f>+C11+C15-C40</f>
        <v>6.3275303440605057E-2</v>
      </c>
      <c r="J10" t="s">
        <v>11</v>
      </c>
      <c r="U10" s="5" t="s">
        <v>20</v>
      </c>
      <c r="V10" s="6">
        <f t="shared" si="0"/>
        <v>1.406117854235668E-3</v>
      </c>
      <c r="W10" s="7" t="s">
        <v>11</v>
      </c>
    </row>
    <row r="11" spans="1:48">
      <c r="B11" t="s">
        <v>20</v>
      </c>
      <c r="C11">
        <v>15.3023634829746</v>
      </c>
      <c r="D11" t="s">
        <v>11</v>
      </c>
      <c r="H11" t="s">
        <v>1</v>
      </c>
      <c r="I11">
        <f>+C12+C25+2.11</f>
        <v>658.48811965343202</v>
      </c>
      <c r="J11" t="s">
        <v>11</v>
      </c>
      <c r="U11" s="5" t="s">
        <v>1</v>
      </c>
      <c r="V11" s="6">
        <f t="shared" si="0"/>
        <v>14.633069325631823</v>
      </c>
      <c r="W11" s="7" t="s">
        <v>11</v>
      </c>
    </row>
    <row r="12" spans="1:48">
      <c r="B12" t="s">
        <v>1</v>
      </c>
      <c r="C12">
        <v>496.97850002906802</v>
      </c>
      <c r="D12" t="s">
        <v>11</v>
      </c>
      <c r="H12" t="s">
        <v>22</v>
      </c>
      <c r="I12">
        <f>+C13-C38</f>
        <v>0.15766776897598334</v>
      </c>
      <c r="J12" t="s">
        <v>11</v>
      </c>
      <c r="U12" s="5" t="s">
        <v>22</v>
      </c>
      <c r="V12" s="6">
        <f t="shared" si="0"/>
        <v>3.5037281994662961E-3</v>
      </c>
      <c r="W12" s="7" t="s">
        <v>11</v>
      </c>
    </row>
    <row r="13" spans="1:48">
      <c r="B13" t="s">
        <v>22</v>
      </c>
      <c r="C13">
        <v>157.667768976129</v>
      </c>
      <c r="D13" t="s">
        <v>11</v>
      </c>
      <c r="H13" t="s">
        <v>23</v>
      </c>
      <c r="I13">
        <f>+C14-C39</f>
        <v>1.6521752005849919</v>
      </c>
      <c r="J13" t="s">
        <v>11</v>
      </c>
      <c r="U13" s="5" t="s">
        <v>23</v>
      </c>
      <c r="V13" s="6">
        <f t="shared" si="0"/>
        <v>3.6715004457444265E-2</v>
      </c>
      <c r="W13" s="7" t="s">
        <v>11</v>
      </c>
    </row>
    <row r="14" spans="1:48">
      <c r="B14" t="s">
        <v>23</v>
      </c>
      <c r="C14">
        <v>131.90486155731199</v>
      </c>
      <c r="D14" t="s">
        <v>11</v>
      </c>
      <c r="H14" t="s">
        <v>24</v>
      </c>
      <c r="I14">
        <f>+C17-C44</f>
        <v>1.5605501959797152E-2</v>
      </c>
      <c r="J14" t="s">
        <v>11</v>
      </c>
      <c r="U14" s="5" t="s">
        <v>24</v>
      </c>
      <c r="V14" s="6">
        <f t="shared" si="0"/>
        <v>3.4678893243993673E-4</v>
      </c>
      <c r="W14" s="7" t="s">
        <v>11</v>
      </c>
    </row>
    <row r="15" spans="1:48">
      <c r="B15" t="s">
        <v>25</v>
      </c>
      <c r="C15">
        <v>16.8</v>
      </c>
      <c r="D15" t="s">
        <v>11</v>
      </c>
      <c r="H15" t="s">
        <v>26</v>
      </c>
      <c r="I15">
        <f>+C18+C21-C43</f>
        <v>2.0161519928601592</v>
      </c>
      <c r="J15" t="s">
        <v>11</v>
      </c>
      <c r="U15" s="5" t="s">
        <v>26</v>
      </c>
      <c r="V15" s="6">
        <f t="shared" si="0"/>
        <v>4.4803377619114647E-2</v>
      </c>
      <c r="W15" s="7" t="s">
        <v>11</v>
      </c>
    </row>
    <row r="16" spans="1:48">
      <c r="B16" t="s">
        <v>14</v>
      </c>
      <c r="C16">
        <v>102.783788544722</v>
      </c>
      <c r="D16" t="s">
        <v>11</v>
      </c>
      <c r="H16" t="s">
        <v>27</v>
      </c>
      <c r="I16">
        <f>+C19+C20+C22-C45</f>
        <v>5.059355609546401E-3</v>
      </c>
      <c r="J16" t="s">
        <v>11</v>
      </c>
      <c r="U16" s="5" t="s">
        <v>27</v>
      </c>
      <c r="V16" s="6">
        <f t="shared" si="0"/>
        <v>1.1243012465658668E-4</v>
      </c>
      <c r="W16" s="7" t="s">
        <v>11</v>
      </c>
    </row>
    <row r="17" spans="2:25">
      <c r="B17" t="s">
        <v>24</v>
      </c>
      <c r="C17">
        <v>89.687554273214602</v>
      </c>
      <c r="D17" t="s">
        <v>11</v>
      </c>
      <c r="H17" t="s">
        <v>28</v>
      </c>
      <c r="I17">
        <f>+C23-C42</f>
        <v>9.9999999999695888E-3</v>
      </c>
      <c r="J17" t="s">
        <v>11</v>
      </c>
      <c r="U17" s="5" t="s">
        <v>28</v>
      </c>
      <c r="V17" s="6">
        <f t="shared" si="0"/>
        <v>2.2222222222154642E-4</v>
      </c>
      <c r="W17" s="7" t="s">
        <v>11</v>
      </c>
    </row>
    <row r="18" spans="2:25">
      <c r="B18" t="s">
        <v>29</v>
      </c>
      <c r="C18">
        <v>1644.0942674405901</v>
      </c>
      <c r="D18" t="s">
        <v>11</v>
      </c>
      <c r="H18" t="s">
        <v>30</v>
      </c>
      <c r="I18">
        <v>100</v>
      </c>
      <c r="J18" t="s">
        <v>11</v>
      </c>
      <c r="U18" s="5" t="s">
        <v>30</v>
      </c>
      <c r="V18" s="6">
        <f t="shared" si="0"/>
        <v>2.2222222222222223</v>
      </c>
      <c r="W18" s="7" t="s">
        <v>11</v>
      </c>
    </row>
    <row r="19" spans="2:25">
      <c r="B19" t="s">
        <v>27</v>
      </c>
      <c r="C19">
        <v>709.52711419256298</v>
      </c>
      <c r="D19" t="s">
        <v>11</v>
      </c>
      <c r="U19" s="5"/>
      <c r="V19" s="6"/>
      <c r="W19" s="7"/>
    </row>
    <row r="20" spans="2:25">
      <c r="B20" t="s">
        <v>27</v>
      </c>
      <c r="C20">
        <v>70.952711419256303</v>
      </c>
      <c r="D20" t="s">
        <v>11</v>
      </c>
      <c r="H20" s="1" t="s">
        <v>31</v>
      </c>
      <c r="K20" s="1"/>
      <c r="U20" s="2" t="s">
        <v>31</v>
      </c>
      <c r="V20" s="8"/>
      <c r="W20" s="9"/>
      <c r="X20" s="1"/>
      <c r="Y20" s="10"/>
    </row>
    <row r="21" spans="2:25">
      <c r="B21" t="s">
        <v>26</v>
      </c>
      <c r="C21">
        <v>1644.0942674405901</v>
      </c>
      <c r="D21" t="s">
        <v>11</v>
      </c>
      <c r="H21" t="s">
        <v>7</v>
      </c>
      <c r="I21">
        <v>0</v>
      </c>
      <c r="J21" t="s">
        <v>33</v>
      </c>
      <c r="U21" s="5" t="s">
        <v>7</v>
      </c>
      <c r="V21" s="6">
        <f>+I21/$C$5/1000</f>
        <v>0</v>
      </c>
      <c r="W21" s="7" t="s">
        <v>13</v>
      </c>
    </row>
    <row r="22" spans="2:25">
      <c r="B22" t="s">
        <v>27</v>
      </c>
      <c r="C22">
        <v>35.476355709628201</v>
      </c>
      <c r="D22" t="s">
        <v>11</v>
      </c>
      <c r="H22" t="s">
        <v>8</v>
      </c>
      <c r="I22">
        <v>2383876.20653072</v>
      </c>
      <c r="J22" t="s">
        <v>33</v>
      </c>
      <c r="U22" s="5" t="s">
        <v>8</v>
      </c>
      <c r="V22" s="6">
        <f>+I22/$C$5/1000</f>
        <v>52.975026811793782</v>
      </c>
      <c r="W22" s="7" t="s">
        <v>13</v>
      </c>
      <c r="Y22" t="s">
        <v>35</v>
      </c>
    </row>
    <row r="23" spans="2:25">
      <c r="B23" t="s">
        <v>28</v>
      </c>
      <c r="C23">
        <v>10</v>
      </c>
      <c r="D23" t="s">
        <v>11</v>
      </c>
      <c r="H23" t="s">
        <v>36</v>
      </c>
      <c r="I23">
        <f>+SUM(C29:C32)</f>
        <v>221.05754309402201</v>
      </c>
      <c r="J23" t="s">
        <v>37</v>
      </c>
      <c r="U23" s="5" t="s">
        <v>36</v>
      </c>
      <c r="V23" s="6">
        <f>+I23/$I$5</f>
        <v>4.9123898465338227</v>
      </c>
      <c r="W23" s="7" t="s">
        <v>37</v>
      </c>
    </row>
    <row r="24" spans="2:25">
      <c r="B24" t="s">
        <v>30</v>
      </c>
      <c r="C24">
        <v>100</v>
      </c>
      <c r="D24" t="s">
        <v>11</v>
      </c>
      <c r="U24" s="5"/>
      <c r="V24" s="6"/>
      <c r="W24" s="7"/>
    </row>
    <row r="25" spans="2:25">
      <c r="B25" t="s">
        <v>1</v>
      </c>
      <c r="C25">
        <v>159.39961962436399</v>
      </c>
      <c r="D25" t="s">
        <v>11</v>
      </c>
      <c r="H25" s="1" t="s">
        <v>38</v>
      </c>
      <c r="U25" s="2" t="s">
        <v>38</v>
      </c>
      <c r="V25" s="3"/>
      <c r="W25" s="4"/>
      <c r="Y25" t="s">
        <v>39</v>
      </c>
    </row>
    <row r="26" spans="2:25">
      <c r="B26" s="1" t="s">
        <v>31</v>
      </c>
      <c r="E26" s="1"/>
      <c r="H26" t="s">
        <v>40</v>
      </c>
      <c r="I26">
        <v>1.86303827960913</v>
      </c>
      <c r="J26" t="s">
        <v>11</v>
      </c>
      <c r="U26" s="5" t="s">
        <v>40</v>
      </c>
      <c r="V26" s="6">
        <f>+C68/$I$5</f>
        <v>4.1400850657980666E-2</v>
      </c>
      <c r="W26" s="7" t="s">
        <v>11</v>
      </c>
    </row>
    <row r="27" spans="2:25">
      <c r="B27" t="s">
        <v>7</v>
      </c>
      <c r="C27">
        <v>429040.06921173597</v>
      </c>
      <c r="D27" t="s">
        <v>33</v>
      </c>
      <c r="H27" t="s">
        <v>73</v>
      </c>
      <c r="I27">
        <v>20.079711037410299</v>
      </c>
      <c r="J27" t="s">
        <v>11</v>
      </c>
      <c r="U27" s="5" t="s">
        <v>73</v>
      </c>
      <c r="V27" s="6">
        <f>+C69/$I$5</f>
        <v>0.57638364849520218</v>
      </c>
      <c r="W27" s="7" t="s">
        <v>11</v>
      </c>
    </row>
    <row r="28" spans="2:25">
      <c r="B28" t="s">
        <v>8</v>
      </c>
      <c r="C28">
        <v>2831901.1104132799</v>
      </c>
      <c r="D28" t="s">
        <v>33</v>
      </c>
      <c r="H28" t="s">
        <v>74</v>
      </c>
      <c r="I28">
        <v>4.1542946138711097</v>
      </c>
      <c r="J28" t="s">
        <v>11</v>
      </c>
      <c r="U28" s="5" t="s">
        <v>74</v>
      </c>
      <c r="V28" s="6">
        <f>+C70/$I$5</f>
        <v>0.22851106049383554</v>
      </c>
      <c r="W28" s="7" t="s">
        <v>11</v>
      </c>
    </row>
    <row r="29" spans="2:25">
      <c r="B29" t="s">
        <v>36</v>
      </c>
      <c r="C29">
        <v>2.0206508400000001</v>
      </c>
      <c r="D29" t="s">
        <v>37</v>
      </c>
      <c r="H29" t="s">
        <v>43</v>
      </c>
      <c r="I29">
        <v>8.8326200271363806</v>
      </c>
      <c r="J29" t="s">
        <v>11</v>
      </c>
      <c r="U29" s="5" t="s">
        <v>43</v>
      </c>
      <c r="V29" s="6">
        <f>+C71/$I$5</f>
        <v>0.19628044504747513</v>
      </c>
      <c r="W29" s="7" t="s">
        <v>11</v>
      </c>
    </row>
    <row r="30" spans="2:25">
      <c r="B30" t="s">
        <v>36</v>
      </c>
      <c r="C30">
        <v>13.944479400000001</v>
      </c>
      <c r="D30" t="s">
        <v>37</v>
      </c>
      <c r="U30" s="5"/>
      <c r="V30" s="6"/>
      <c r="W30" s="7"/>
    </row>
    <row r="31" spans="2:25">
      <c r="B31" t="s">
        <v>36</v>
      </c>
      <c r="C31">
        <v>205.09172799999999</v>
      </c>
      <c r="D31" t="s">
        <v>37</v>
      </c>
      <c r="H31" s="1" t="s">
        <v>44</v>
      </c>
      <c r="U31" s="2" t="s">
        <v>44</v>
      </c>
      <c r="V31" s="3"/>
      <c r="W31" s="4"/>
    </row>
    <row r="32" spans="2:25">
      <c r="B32" t="s">
        <v>36</v>
      </c>
      <c r="C32">
        <v>6.8485402199999995E-4</v>
      </c>
      <c r="D32" t="s">
        <v>37</v>
      </c>
      <c r="H32" t="s">
        <v>45</v>
      </c>
      <c r="I32">
        <v>14.117679379206299</v>
      </c>
      <c r="J32" t="s">
        <v>11</v>
      </c>
      <c r="U32" s="5" t="s">
        <v>45</v>
      </c>
      <c r="V32" s="6">
        <f t="shared" ref="V32:V37" si="1">+I32/$I$5</f>
        <v>0.31372620842680665</v>
      </c>
      <c r="W32" s="7" t="s">
        <v>11</v>
      </c>
    </row>
    <row r="33" spans="2:25">
      <c r="H33" t="s">
        <v>75</v>
      </c>
      <c r="I33">
        <v>23.297788509346699</v>
      </c>
      <c r="J33" t="s">
        <v>11</v>
      </c>
      <c r="U33" s="5" t="s">
        <v>75</v>
      </c>
      <c r="V33" s="6">
        <f t="shared" si="1"/>
        <v>0.51772863354103771</v>
      </c>
      <c r="W33" s="7" t="s">
        <v>11</v>
      </c>
    </row>
    <row r="34" spans="2:25">
      <c r="B34" s="1" t="s">
        <v>47</v>
      </c>
      <c r="H34" t="s">
        <v>46</v>
      </c>
      <c r="I34">
        <v>1.4143626124006801</v>
      </c>
      <c r="J34" t="s">
        <v>11</v>
      </c>
      <c r="U34" s="5" t="s">
        <v>46</v>
      </c>
      <c r="V34" s="6">
        <f t="shared" si="1"/>
        <v>3.1430280275570668E-2</v>
      </c>
      <c r="W34" s="7" t="s">
        <v>11</v>
      </c>
    </row>
    <row r="35" spans="2:25">
      <c r="B35" t="s">
        <v>14</v>
      </c>
      <c r="C35">
        <v>205.36200951235401</v>
      </c>
      <c r="D35" t="s">
        <v>11</v>
      </c>
      <c r="H35" t="s">
        <v>48</v>
      </c>
      <c r="I35">
        <v>0.92040237717002604</v>
      </c>
      <c r="J35" t="s">
        <v>11</v>
      </c>
      <c r="U35" s="5" t="s">
        <v>48</v>
      </c>
      <c r="V35" s="6">
        <f t="shared" si="1"/>
        <v>2.0453386159333911E-2</v>
      </c>
      <c r="W35" s="7" t="s">
        <v>11</v>
      </c>
    </row>
    <row r="36" spans="2:25">
      <c r="B36" t="s">
        <v>18</v>
      </c>
      <c r="C36">
        <v>32.439215701716897</v>
      </c>
      <c r="D36" t="s">
        <v>11</v>
      </c>
      <c r="H36" t="s">
        <v>49</v>
      </c>
      <c r="I36">
        <v>115.039018525941</v>
      </c>
      <c r="J36" t="s">
        <v>11</v>
      </c>
      <c r="U36" s="5" t="s">
        <v>49</v>
      </c>
      <c r="V36" s="6">
        <f t="shared" si="1"/>
        <v>2.5564226339098002</v>
      </c>
      <c r="W36" s="7" t="s">
        <v>11</v>
      </c>
    </row>
    <row r="37" spans="2:25">
      <c r="B37" t="s">
        <v>14</v>
      </c>
      <c r="C37">
        <v>256.70165898394299</v>
      </c>
      <c r="D37" t="s">
        <v>11</v>
      </c>
      <c r="H37" t="s">
        <v>1</v>
      </c>
      <c r="I37">
        <v>3.9622492294592799</v>
      </c>
      <c r="J37" t="s">
        <v>11</v>
      </c>
      <c r="U37" s="5" t="s">
        <v>1</v>
      </c>
      <c r="V37" s="6">
        <f t="shared" si="1"/>
        <v>8.8049982876872893E-2</v>
      </c>
      <c r="W37" s="7" t="s">
        <v>11</v>
      </c>
    </row>
    <row r="38" spans="2:25">
      <c r="B38" t="s">
        <v>22</v>
      </c>
      <c r="C38">
        <v>157.51010120715301</v>
      </c>
      <c r="D38" t="s">
        <v>11</v>
      </c>
      <c r="U38" s="5"/>
      <c r="V38" s="6"/>
      <c r="W38" s="7"/>
    </row>
    <row r="39" spans="2:25">
      <c r="B39" t="s">
        <v>23</v>
      </c>
      <c r="C39">
        <v>130.252686356727</v>
      </c>
      <c r="D39" t="s">
        <v>11</v>
      </c>
      <c r="H39" s="1" t="s">
        <v>50</v>
      </c>
      <c r="U39" s="2" t="s">
        <v>50</v>
      </c>
      <c r="V39" s="3"/>
      <c r="W39" s="4"/>
      <c r="Y39" t="s">
        <v>51</v>
      </c>
    </row>
    <row r="40" spans="2:25">
      <c r="B40" t="s">
        <v>20</v>
      </c>
      <c r="C40">
        <v>32.039088179533998</v>
      </c>
      <c r="D40" t="s">
        <v>11</v>
      </c>
      <c r="H40" t="s">
        <v>1</v>
      </c>
      <c r="I40">
        <v>13.5330168102734</v>
      </c>
      <c r="J40" t="s">
        <v>11</v>
      </c>
      <c r="U40" s="5" t="s">
        <v>1</v>
      </c>
      <c r="V40" s="6">
        <f t="shared" ref="V40:V47" si="2">+I40/$I$5</f>
        <v>0.30073370689496443</v>
      </c>
      <c r="W40" s="7" t="s">
        <v>11</v>
      </c>
    </row>
    <row r="41" spans="2:25">
      <c r="B41" t="s">
        <v>19</v>
      </c>
      <c r="C41">
        <v>157.905927392623</v>
      </c>
      <c r="D41" t="s">
        <v>11</v>
      </c>
      <c r="H41" t="s">
        <v>52</v>
      </c>
      <c r="I41">
        <v>4.1663945400985799E-3</v>
      </c>
      <c r="J41" t="s">
        <v>11</v>
      </c>
      <c r="U41" s="5" t="s">
        <v>52</v>
      </c>
      <c r="V41" s="6">
        <f t="shared" si="2"/>
        <v>9.2586545335523996E-5</v>
      </c>
      <c r="W41" s="7" t="s">
        <v>11</v>
      </c>
    </row>
    <row r="42" spans="2:25">
      <c r="B42" t="s">
        <v>28</v>
      </c>
      <c r="C42">
        <v>9.9900000000000304</v>
      </c>
      <c r="D42" t="s">
        <v>11</v>
      </c>
      <c r="H42" t="s">
        <v>53</v>
      </c>
      <c r="I42">
        <v>4.8672157289013601E-4</v>
      </c>
      <c r="J42" t="s">
        <v>11</v>
      </c>
      <c r="U42" s="5" t="s">
        <v>53</v>
      </c>
      <c r="V42" s="6">
        <f t="shared" si="2"/>
        <v>1.0816034953114133E-5</v>
      </c>
      <c r="W42" s="7" t="s">
        <v>11</v>
      </c>
    </row>
    <row r="43" spans="2:25">
      <c r="B43" t="s">
        <v>26</v>
      </c>
      <c r="C43">
        <v>3286.17238288832</v>
      </c>
      <c r="D43" t="s">
        <v>11</v>
      </c>
      <c r="H43" t="s">
        <v>49</v>
      </c>
      <c r="I43">
        <v>2.3431290174768901E-2</v>
      </c>
      <c r="J43" t="s">
        <v>11</v>
      </c>
      <c r="U43" s="5" t="s">
        <v>49</v>
      </c>
      <c r="V43" s="6">
        <f t="shared" si="2"/>
        <v>5.2069533721708667E-4</v>
      </c>
      <c r="W43" s="7" t="s">
        <v>11</v>
      </c>
    </row>
    <row r="44" spans="2:25">
      <c r="B44" t="s">
        <v>24</v>
      </c>
      <c r="C44">
        <v>89.671948771254804</v>
      </c>
      <c r="D44" t="s">
        <v>11</v>
      </c>
      <c r="H44" t="s">
        <v>45</v>
      </c>
      <c r="I44">
        <v>0.45059345839311798</v>
      </c>
      <c r="J44" t="s">
        <v>11</v>
      </c>
      <c r="U44" s="5" t="s">
        <v>45</v>
      </c>
      <c r="V44" s="6">
        <f t="shared" si="2"/>
        <v>1.0013187964291511E-2</v>
      </c>
      <c r="W44" s="7" t="s">
        <v>11</v>
      </c>
    </row>
    <row r="45" spans="2:25">
      <c r="B45" t="s">
        <v>27</v>
      </c>
      <c r="C45">
        <v>815.95112196583796</v>
      </c>
      <c r="D45" t="s">
        <v>11</v>
      </c>
      <c r="H45" t="s">
        <v>54</v>
      </c>
      <c r="I45" s="11">
        <v>9.0186171759872801E-6</v>
      </c>
      <c r="J45" t="s">
        <v>11</v>
      </c>
      <c r="U45" s="5" t="s">
        <v>54</v>
      </c>
      <c r="V45" s="6">
        <f t="shared" si="2"/>
        <v>2.0041371502193957E-7</v>
      </c>
      <c r="W45" s="7" t="s">
        <v>11</v>
      </c>
    </row>
    <row r="46" spans="2:25">
      <c r="B46" t="s">
        <v>14</v>
      </c>
      <c r="C46">
        <v>102.783788544722</v>
      </c>
      <c r="D46" t="s">
        <v>11</v>
      </c>
      <c r="H46" t="s">
        <v>18</v>
      </c>
      <c r="I46">
        <v>3.2416406747058E-3</v>
      </c>
      <c r="J46" t="s">
        <v>11</v>
      </c>
      <c r="U46" s="5" t="s">
        <v>18</v>
      </c>
      <c r="V46" s="6">
        <f t="shared" si="2"/>
        <v>7.2036459437906664E-5</v>
      </c>
      <c r="W46" s="7" t="s">
        <v>11</v>
      </c>
    </row>
    <row r="47" spans="2:25">
      <c r="B47" t="s">
        <v>55</v>
      </c>
      <c r="C47">
        <v>1.4712591225852599E-2</v>
      </c>
      <c r="D47" t="s">
        <v>11</v>
      </c>
      <c r="H47" t="s">
        <v>14</v>
      </c>
      <c r="I47" s="11">
        <v>9.0608190741852096E-13</v>
      </c>
      <c r="J47" t="s">
        <v>11</v>
      </c>
      <c r="U47" s="5" t="s">
        <v>14</v>
      </c>
      <c r="V47" s="6">
        <f t="shared" si="2"/>
        <v>2.0135153498189354E-14</v>
      </c>
      <c r="W47" s="7" t="s">
        <v>11</v>
      </c>
    </row>
    <row r="48" spans="2:25">
      <c r="B48" t="s">
        <v>55</v>
      </c>
      <c r="C48">
        <v>1.6347323584280701E-3</v>
      </c>
      <c r="D48" t="s">
        <v>11</v>
      </c>
      <c r="U48" s="5"/>
      <c r="V48" s="6"/>
      <c r="W48" s="7"/>
    </row>
    <row r="49" spans="2:23">
      <c r="B49" t="s">
        <v>57</v>
      </c>
      <c r="C49">
        <v>2.6232308535737898</v>
      </c>
      <c r="D49" t="s">
        <v>11</v>
      </c>
      <c r="H49" s="1" t="s">
        <v>56</v>
      </c>
      <c r="U49" s="2" t="s">
        <v>56</v>
      </c>
      <c r="V49" s="3"/>
      <c r="W49" s="4"/>
    </row>
    <row r="50" spans="2:23">
      <c r="B50" t="s">
        <v>58</v>
      </c>
      <c r="C50">
        <v>0.111745254937268</v>
      </c>
      <c r="D50" t="s">
        <v>11</v>
      </c>
      <c r="H50" t="s">
        <v>20</v>
      </c>
      <c r="I50" s="11">
        <v>2.17083006092826E-5</v>
      </c>
      <c r="J50" t="s">
        <v>11</v>
      </c>
      <c r="U50" s="5" t="s">
        <v>20</v>
      </c>
      <c r="V50" s="6">
        <f>+I50/$I$5</f>
        <v>4.8240668020627996E-7</v>
      </c>
      <c r="W50" s="7" t="s">
        <v>11</v>
      </c>
    </row>
    <row r="51" spans="2:23">
      <c r="B51" t="s">
        <v>60</v>
      </c>
      <c r="C51">
        <v>7.9376418382473197</v>
      </c>
      <c r="D51" t="s">
        <v>11</v>
      </c>
      <c r="H51" t="s">
        <v>59</v>
      </c>
      <c r="I51">
        <v>8.9871672056466504E-4</v>
      </c>
      <c r="J51" t="s">
        <v>11</v>
      </c>
      <c r="U51" s="5" t="s">
        <v>59</v>
      </c>
      <c r="V51" s="6">
        <f>+I51/$I$5</f>
        <v>1.9971482679214779E-5</v>
      </c>
      <c r="W51" s="7" t="s">
        <v>11</v>
      </c>
    </row>
    <row r="52" spans="2:23">
      <c r="B52" t="s">
        <v>61</v>
      </c>
      <c r="C52">
        <v>76.698841776305002</v>
      </c>
      <c r="D52" t="s">
        <v>11</v>
      </c>
      <c r="H52" t="s">
        <v>1</v>
      </c>
      <c r="I52">
        <v>8.9871672056466504E-4</v>
      </c>
      <c r="J52" t="s">
        <v>11</v>
      </c>
      <c r="U52" s="5" t="s">
        <v>1</v>
      </c>
      <c r="V52" s="6">
        <f>+I52/$I$5</f>
        <v>1.9971482679214779E-5</v>
      </c>
      <c r="W52" s="7" t="s">
        <v>11</v>
      </c>
    </row>
    <row r="53" spans="2:23">
      <c r="B53" t="s">
        <v>63</v>
      </c>
      <c r="C53">
        <v>13.662446925862101</v>
      </c>
      <c r="D53" t="s">
        <v>11</v>
      </c>
      <c r="H53" t="s">
        <v>62</v>
      </c>
      <c r="I53">
        <v>9.9999999999978093E-3</v>
      </c>
      <c r="J53" t="s">
        <v>11</v>
      </c>
      <c r="U53" s="12" t="s">
        <v>28</v>
      </c>
      <c r="V53" s="13">
        <f>+I53/$I$5</f>
        <v>2.2222222222217355E-4</v>
      </c>
      <c r="W53" s="14" t="s">
        <v>11</v>
      </c>
    </row>
    <row r="54" spans="2:23">
      <c r="B54" t="s">
        <v>64</v>
      </c>
      <c r="C54">
        <v>3.9576059729842998</v>
      </c>
      <c r="D54" t="s">
        <v>11</v>
      </c>
    </row>
    <row r="55" spans="2:23">
      <c r="B55" t="s">
        <v>52</v>
      </c>
      <c r="C55">
        <v>1.9922765891947601E-4</v>
      </c>
      <c r="D55" t="s">
        <v>11</v>
      </c>
    </row>
    <row r="56" spans="2:23">
      <c r="B56" t="s">
        <v>53</v>
      </c>
      <c r="C56">
        <v>2.5400778372867798E-3</v>
      </c>
      <c r="D56" t="s">
        <v>11</v>
      </c>
    </row>
    <row r="57" spans="2:23">
      <c r="B57" t="s">
        <v>49</v>
      </c>
      <c r="C57">
        <v>9.4581011054382901E-3</v>
      </c>
      <c r="D57" t="s">
        <v>11</v>
      </c>
    </row>
    <row r="58" spans="2:23">
      <c r="B58" t="s">
        <v>55</v>
      </c>
      <c r="C58">
        <v>0.10092244103616201</v>
      </c>
      <c r="D58" t="s">
        <v>11</v>
      </c>
    </row>
    <row r="59" spans="2:23">
      <c r="B59" t="s">
        <v>65</v>
      </c>
      <c r="C59">
        <v>3.2071159338865798E-2</v>
      </c>
      <c r="D59" t="s">
        <v>11</v>
      </c>
    </row>
    <row r="60" spans="2:23">
      <c r="B60" t="s">
        <v>66</v>
      </c>
      <c r="C60" s="11">
        <v>2.17083006092826E-5</v>
      </c>
      <c r="D60" t="s">
        <v>11</v>
      </c>
    </row>
    <row r="61" spans="2:23">
      <c r="B61" t="s">
        <v>67</v>
      </c>
      <c r="C61">
        <v>8.9871672056466504E-4</v>
      </c>
      <c r="D61" t="s">
        <v>11</v>
      </c>
    </row>
    <row r="62" spans="2:23">
      <c r="B62" t="s">
        <v>64</v>
      </c>
      <c r="C62">
        <v>3.5461267959023499</v>
      </c>
      <c r="D62" t="s">
        <v>11</v>
      </c>
    </row>
    <row r="63" spans="2:23">
      <c r="B63" t="s">
        <v>68</v>
      </c>
      <c r="C63" s="11">
        <v>9.0186171759872801E-6</v>
      </c>
      <c r="D63" t="s">
        <v>11</v>
      </c>
    </row>
    <row r="64" spans="2:23">
      <c r="B64" t="s">
        <v>69</v>
      </c>
      <c r="C64">
        <v>3.2416406747058099E-3</v>
      </c>
      <c r="D64" t="s">
        <v>11</v>
      </c>
    </row>
    <row r="65" spans="2:4">
      <c r="B65" t="s">
        <v>70</v>
      </c>
      <c r="C65" s="11">
        <v>9.0608190741852096E-13</v>
      </c>
      <c r="D65" t="s">
        <v>11</v>
      </c>
    </row>
    <row r="66" spans="2:4">
      <c r="B66" t="s">
        <v>62</v>
      </c>
      <c r="C66">
        <v>9.9999999999978093E-3</v>
      </c>
      <c r="D66" t="s">
        <v>11</v>
      </c>
    </row>
    <row r="68" spans="2:4">
      <c r="B68" t="s">
        <v>40</v>
      </c>
      <c r="C68">
        <v>1.86303827960913</v>
      </c>
      <c r="D68" t="s">
        <v>11</v>
      </c>
    </row>
    <row r="69" spans="2:4">
      <c r="B69" t="s">
        <v>41</v>
      </c>
      <c r="C69">
        <v>25.9372641822841</v>
      </c>
      <c r="D69" t="s">
        <v>11</v>
      </c>
    </row>
    <row r="70" spans="2:4">
      <c r="B70" t="s">
        <v>42</v>
      </c>
      <c r="C70">
        <v>10.2829977222226</v>
      </c>
      <c r="D70" t="s">
        <v>11</v>
      </c>
    </row>
    <row r="71" spans="2:4">
      <c r="B71" t="s">
        <v>43</v>
      </c>
      <c r="C71">
        <v>8.8326200271363806</v>
      </c>
      <c r="D71" t="s">
        <v>11</v>
      </c>
    </row>
  </sheetData>
  <mergeCells count="1">
    <mergeCell ref="U3:W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Normal="100" workbookViewId="0">
      <selection activeCell="C11" sqref="C11"/>
    </sheetView>
  </sheetViews>
  <sheetFormatPr defaultRowHeight="14.4"/>
  <cols>
    <col min="1" max="1025" width="8.5546875" customWidth="1"/>
  </cols>
  <sheetData>
    <row r="1" spans="1:5">
      <c r="A1" t="s">
        <v>76</v>
      </c>
      <c r="B1" t="s">
        <v>77</v>
      </c>
      <c r="C1" t="s">
        <v>78</v>
      </c>
      <c r="D1" t="s">
        <v>79</v>
      </c>
      <c r="E1" t="s">
        <v>80</v>
      </c>
    </row>
    <row r="2" spans="1:5">
      <c r="A2" t="str">
        <f>New!U6</f>
        <v>Dioxane</v>
      </c>
      <c r="B2">
        <f>New!V6</f>
        <v>1.0297332332222216E-2</v>
      </c>
      <c r="C2" t="s">
        <v>81</v>
      </c>
      <c r="D2" s="6" t="s">
        <v>82</v>
      </c>
      <c r="E2" t="s">
        <v>83</v>
      </c>
    </row>
    <row r="3" spans="1:5">
      <c r="A3" t="str">
        <f>New!U7</f>
        <v>HCl 30%</v>
      </c>
      <c r="B3">
        <f>New!V7</f>
        <v>8.1340589234304658E-4</v>
      </c>
      <c r="C3" s="15" t="s">
        <v>84</v>
      </c>
      <c r="D3" s="6" t="s">
        <v>82</v>
      </c>
      <c r="E3" t="s">
        <v>83</v>
      </c>
    </row>
    <row r="4" spans="1:5">
      <c r="A4" t="str">
        <f>New!U8</f>
        <v>Propionaldehyde</v>
      </c>
      <c r="B4">
        <f>New!V8</f>
        <v>0.12338953530395114</v>
      </c>
      <c r="C4" s="15" t="s">
        <v>85</v>
      </c>
      <c r="D4" s="6" t="s">
        <v>86</v>
      </c>
      <c r="E4" t="s">
        <v>83</v>
      </c>
    </row>
    <row r="5" spans="1:5">
      <c r="A5" t="str">
        <f>New!U9</f>
        <v>Methanol</v>
      </c>
      <c r="B5">
        <f>New!V9</f>
        <v>1.5071823247911374E-2</v>
      </c>
      <c r="C5" t="s">
        <v>87</v>
      </c>
      <c r="D5" s="6" t="s">
        <v>86</v>
      </c>
      <c r="E5" t="s">
        <v>83</v>
      </c>
    </row>
    <row r="6" spans="1:5">
      <c r="A6" t="str">
        <f>New!U10</f>
        <v>Bicarbonate</v>
      </c>
      <c r="B6">
        <f>New!V10</f>
        <v>1.406117854235668E-3</v>
      </c>
      <c r="C6" s="15" t="s">
        <v>88</v>
      </c>
      <c r="D6" s="6" t="s">
        <v>86</v>
      </c>
      <c r="E6" t="s">
        <v>83</v>
      </c>
    </row>
    <row r="7" spans="1:5">
      <c r="A7" t="str">
        <f>New!U11</f>
        <v>Water</v>
      </c>
      <c r="B7">
        <f>New!V11</f>
        <v>14.633069325631823</v>
      </c>
      <c r="C7" s="15" t="s">
        <v>89</v>
      </c>
      <c r="D7" s="6" t="s">
        <v>90</v>
      </c>
      <c r="E7" t="s">
        <v>83</v>
      </c>
    </row>
    <row r="8" spans="1:5">
      <c r="A8" t="str">
        <f>New!U12</f>
        <v>Acetone</v>
      </c>
      <c r="B8">
        <f>New!V12</f>
        <v>3.5037281994662961E-3</v>
      </c>
      <c r="C8" s="15" t="s">
        <v>91</v>
      </c>
      <c r="D8" s="6" t="s">
        <v>82</v>
      </c>
      <c r="E8" t="s">
        <v>83</v>
      </c>
    </row>
    <row r="9" spans="1:5">
      <c r="A9" t="str">
        <f>New!U13</f>
        <v>Dichloromethane</v>
      </c>
      <c r="B9">
        <f>New!V13</f>
        <v>3.6715004457444265E-2</v>
      </c>
      <c r="C9" t="s">
        <v>92</v>
      </c>
      <c r="D9" s="6" t="s">
        <v>82</v>
      </c>
      <c r="E9" t="s">
        <v>83</v>
      </c>
    </row>
    <row r="10" spans="1:5">
      <c r="A10" t="str">
        <f>New!U14</f>
        <v>Ethylacetate</v>
      </c>
      <c r="B10">
        <f>New!V14</f>
        <v>3.4678893243993673E-4</v>
      </c>
      <c r="C10" s="15" t="s">
        <v>93</v>
      </c>
      <c r="D10" s="6" t="s">
        <v>86</v>
      </c>
      <c r="E10" t="s">
        <v>83</v>
      </c>
    </row>
    <row r="11" spans="1:5">
      <c r="A11" t="str">
        <f>New!U15</f>
        <v>Hexanes</v>
      </c>
      <c r="B11">
        <f>New!V15</f>
        <v>4.4803377619114647E-2</v>
      </c>
      <c r="C11" s="15" t="s">
        <v>94</v>
      </c>
      <c r="D11" s="6" t="s">
        <v>86</v>
      </c>
      <c r="E11" t="s">
        <v>83</v>
      </c>
    </row>
    <row r="12" spans="1:5">
      <c r="A12" t="str">
        <f>New!U16</f>
        <v>Diethyl ether</v>
      </c>
      <c r="B12">
        <f>New!V16</f>
        <v>1.1243012465658668E-4</v>
      </c>
      <c r="C12" t="s">
        <v>95</v>
      </c>
      <c r="D12" s="6" t="s">
        <v>82</v>
      </c>
      <c r="E12" t="s">
        <v>83</v>
      </c>
    </row>
    <row r="13" spans="1:5">
      <c r="A13" t="str">
        <f>New!U17</f>
        <v>Activated carbon</v>
      </c>
      <c r="B13">
        <f>New!V17</f>
        <v>2.2222222222154642E-4</v>
      </c>
      <c r="C13" s="15" t="s">
        <v>96</v>
      </c>
      <c r="D13" s="6" t="s">
        <v>86</v>
      </c>
      <c r="E13" t="s">
        <v>83</v>
      </c>
    </row>
    <row r="14" spans="1:5">
      <c r="A14" t="str">
        <f>New!U18</f>
        <v>Air</v>
      </c>
      <c r="B14">
        <f>New!V18</f>
        <v>2.2222222222222223</v>
      </c>
      <c r="C14" s="15" t="s">
        <v>97</v>
      </c>
      <c r="D14" s="6" t="s">
        <v>90</v>
      </c>
      <c r="E14" t="s">
        <v>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Normal="100" workbookViewId="0">
      <selection activeCell="A8" sqref="A8:D15"/>
    </sheetView>
  </sheetViews>
  <sheetFormatPr defaultRowHeight="14.4"/>
  <cols>
    <col min="1" max="1025" width="8.5546875" customWidth="1"/>
  </cols>
  <sheetData>
    <row r="1" spans="1:5">
      <c r="A1" t="s">
        <v>76</v>
      </c>
      <c r="B1" t="s">
        <v>77</v>
      </c>
      <c r="C1" t="s">
        <v>99</v>
      </c>
      <c r="D1" t="s">
        <v>80</v>
      </c>
      <c r="E1" t="s">
        <v>100</v>
      </c>
    </row>
    <row r="2" spans="1:5">
      <c r="A2" s="5" t="s">
        <v>45</v>
      </c>
      <c r="B2" s="6">
        <v>0.31372620842680699</v>
      </c>
      <c r="C2" s="6" t="s">
        <v>101</v>
      </c>
      <c r="D2" s="7" t="s">
        <v>11</v>
      </c>
      <c r="E2" s="15" t="s">
        <v>102</v>
      </c>
    </row>
    <row r="3" spans="1:5">
      <c r="A3" s="5" t="s">
        <v>75</v>
      </c>
      <c r="B3" s="6">
        <v>0.51772863354103804</v>
      </c>
      <c r="C3" s="6" t="s">
        <v>101</v>
      </c>
      <c r="D3" s="7" t="s">
        <v>11</v>
      </c>
    </row>
    <row r="4" spans="1:5">
      <c r="A4" s="5" t="s">
        <v>103</v>
      </c>
      <c r="B4" s="6">
        <v>3.1430280275570703E-2</v>
      </c>
      <c r="C4" s="6" t="s">
        <v>101</v>
      </c>
      <c r="D4" s="7" t="s">
        <v>11</v>
      </c>
      <c r="E4" s="15" t="s">
        <v>104</v>
      </c>
    </row>
    <row r="5" spans="1:5">
      <c r="A5" s="5" t="s">
        <v>48</v>
      </c>
      <c r="B5" s="6">
        <v>2.0453386159333901E-2</v>
      </c>
      <c r="C5" s="6" t="s">
        <v>101</v>
      </c>
      <c r="D5" s="7" t="s">
        <v>11</v>
      </c>
    </row>
    <row r="6" spans="1:5">
      <c r="A6" s="5" t="s">
        <v>49</v>
      </c>
      <c r="B6" s="6">
        <v>2.5564226339098002</v>
      </c>
      <c r="C6" s="6" t="s">
        <v>101</v>
      </c>
      <c r="D6" s="7" t="s">
        <v>11</v>
      </c>
      <c r="E6" s="15"/>
    </row>
    <row r="7" spans="1:5">
      <c r="A7" s="5" t="s">
        <v>1</v>
      </c>
      <c r="B7" s="6">
        <v>8.8049982876872906E-2</v>
      </c>
      <c r="C7" s="6" t="s">
        <v>101</v>
      </c>
      <c r="D7" s="7" t="s">
        <v>11</v>
      </c>
    </row>
    <row r="8" spans="1:5">
      <c r="A8" s="16" t="s">
        <v>105</v>
      </c>
      <c r="B8" s="6">
        <v>0.30073370689496398</v>
      </c>
      <c r="C8" s="6" t="s">
        <v>64</v>
      </c>
      <c r="D8" s="7" t="s">
        <v>11</v>
      </c>
      <c r="E8" s="17" t="s">
        <v>106</v>
      </c>
    </row>
    <row r="9" spans="1:5">
      <c r="A9" s="5" t="s">
        <v>107</v>
      </c>
      <c r="B9" s="6">
        <v>9.2586545335523996E-5</v>
      </c>
      <c r="C9" s="6" t="s">
        <v>64</v>
      </c>
      <c r="D9" s="7" t="s">
        <v>11</v>
      </c>
      <c r="E9" s="15" t="s">
        <v>108</v>
      </c>
    </row>
    <row r="10" spans="1:5">
      <c r="A10" s="5" t="s">
        <v>53</v>
      </c>
      <c r="B10" s="6">
        <v>1.0816034953114101E-5</v>
      </c>
      <c r="C10" s="6" t="s">
        <v>64</v>
      </c>
      <c r="D10" s="7" t="s">
        <v>11</v>
      </c>
    </row>
    <row r="11" spans="1:5">
      <c r="A11" s="5" t="s">
        <v>49</v>
      </c>
      <c r="B11" s="6">
        <v>5.2069533721708699E-4</v>
      </c>
      <c r="C11" s="6" t="s">
        <v>64</v>
      </c>
      <c r="D11" s="7" t="s">
        <v>11</v>
      </c>
    </row>
    <row r="12" spans="1:5">
      <c r="A12" s="5" t="s">
        <v>45</v>
      </c>
      <c r="B12" s="6">
        <v>1.0013187964291501E-2</v>
      </c>
      <c r="C12" s="6" t="s">
        <v>64</v>
      </c>
      <c r="D12" s="7" t="s">
        <v>11</v>
      </c>
    </row>
    <row r="13" spans="1:5">
      <c r="A13" s="5" t="s">
        <v>54</v>
      </c>
      <c r="B13" s="6">
        <v>2.0041371502193999E-7</v>
      </c>
      <c r="C13" s="6" t="s">
        <v>64</v>
      </c>
      <c r="D13" s="7" t="s">
        <v>11</v>
      </c>
    </row>
    <row r="14" spans="1:5">
      <c r="A14" s="5" t="s">
        <v>18</v>
      </c>
      <c r="B14" s="6">
        <v>7.2036459437906705E-5</v>
      </c>
      <c r="C14" s="6" t="s">
        <v>64</v>
      </c>
      <c r="D14" s="7" t="s">
        <v>11</v>
      </c>
      <c r="E14" s="15" t="s">
        <v>109</v>
      </c>
    </row>
    <row r="15" spans="1:5">
      <c r="A15" s="5" t="s">
        <v>14</v>
      </c>
      <c r="B15" s="6">
        <v>2.0135153498189399E-14</v>
      </c>
      <c r="C15" s="6" t="s">
        <v>64</v>
      </c>
      <c r="D15" s="7" t="s">
        <v>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A7" sqref="A7"/>
    </sheetView>
  </sheetViews>
  <sheetFormatPr defaultRowHeight="14.4"/>
  <cols>
    <col min="1" max="1025" width="8.5546875" customWidth="1"/>
  </cols>
  <sheetData>
    <row r="1" spans="1:3">
      <c r="A1" s="2" t="s">
        <v>110</v>
      </c>
      <c r="B1" s="8" t="s">
        <v>77</v>
      </c>
      <c r="C1" s="9" t="s">
        <v>80</v>
      </c>
    </row>
    <row r="2" spans="1:3">
      <c r="A2" s="5" t="s">
        <v>7</v>
      </c>
      <c r="B2" s="6">
        <v>0</v>
      </c>
      <c r="C2" s="7" t="s">
        <v>13</v>
      </c>
    </row>
    <row r="3" spans="1:3">
      <c r="A3" s="5" t="s">
        <v>8</v>
      </c>
      <c r="B3" s="6">
        <v>52.975026811793803</v>
      </c>
      <c r="C3" s="7" t="s">
        <v>13</v>
      </c>
    </row>
    <row r="4" spans="1:3">
      <c r="A4" s="5" t="s">
        <v>36</v>
      </c>
      <c r="B4" s="6">
        <v>4.91238984653382</v>
      </c>
      <c r="C4" s="7" t="s">
        <v>111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zoomScale="96" zoomScaleNormal="96" workbookViewId="0">
      <selection activeCell="E19" sqref="E19"/>
    </sheetView>
  </sheetViews>
  <sheetFormatPr defaultRowHeight="14.4"/>
  <cols>
    <col min="1" max="1" width="18.21875" customWidth="1"/>
    <col min="5" max="5" width="18.88671875" customWidth="1"/>
  </cols>
  <sheetData>
    <row r="1" spans="1:13">
      <c r="A1" t="s">
        <v>6</v>
      </c>
    </row>
    <row r="2" spans="1:13">
      <c r="A2" t="s">
        <v>10</v>
      </c>
      <c r="B2">
        <v>1</v>
      </c>
      <c r="C2" t="s">
        <v>11</v>
      </c>
      <c r="E2" t="s">
        <v>112</v>
      </c>
      <c r="F2">
        <v>1.74165187126053</v>
      </c>
      <c r="G2" t="s">
        <v>113</v>
      </c>
      <c r="H2">
        <v>0.30940000000000001</v>
      </c>
      <c r="I2" t="s">
        <v>114</v>
      </c>
    </row>
    <row r="3" spans="1:13">
      <c r="A3" t="s">
        <v>14</v>
      </c>
      <c r="B3">
        <v>1.0297332332222216E-2</v>
      </c>
      <c r="C3" t="s">
        <v>11</v>
      </c>
      <c r="E3" t="s">
        <v>115</v>
      </c>
      <c r="F3">
        <v>102.448813237313</v>
      </c>
      <c r="G3" t="s">
        <v>113</v>
      </c>
      <c r="H3">
        <v>4.3999999999999997E-2</v>
      </c>
      <c r="I3" t="s">
        <v>114</v>
      </c>
      <c r="M3" t="s">
        <v>128</v>
      </c>
    </row>
    <row r="4" spans="1:13">
      <c r="A4" t="s">
        <v>16</v>
      </c>
      <c r="B4">
        <v>8.1340589234304658E-4</v>
      </c>
      <c r="C4" t="s">
        <v>11</v>
      </c>
      <c r="E4" t="s">
        <v>116</v>
      </c>
      <c r="F4">
        <v>102.27244342756499</v>
      </c>
      <c r="G4" t="s">
        <v>113</v>
      </c>
      <c r="H4">
        <v>1.0989</v>
      </c>
      <c r="I4" t="s">
        <v>114</v>
      </c>
    </row>
    <row r="5" spans="1:13">
      <c r="A5" t="s">
        <v>18</v>
      </c>
      <c r="B5">
        <v>0.123389535303951</v>
      </c>
      <c r="C5" t="s">
        <v>11</v>
      </c>
      <c r="E5" t="s">
        <v>117</v>
      </c>
      <c r="F5">
        <v>56.063553273614403</v>
      </c>
      <c r="G5" t="s">
        <v>113</v>
      </c>
      <c r="H5">
        <v>4.7000000000000002E-3</v>
      </c>
      <c r="I5" t="s">
        <v>114</v>
      </c>
    </row>
    <row r="6" spans="1:13">
      <c r="A6" t="s">
        <v>19</v>
      </c>
      <c r="B6">
        <v>1.5071823247911374E-2</v>
      </c>
      <c r="C6" t="s">
        <v>11</v>
      </c>
      <c r="E6" t="s">
        <v>118</v>
      </c>
      <c r="F6">
        <v>18.761338511933101</v>
      </c>
      <c r="G6" t="s">
        <v>113</v>
      </c>
      <c r="H6">
        <v>9.8100000000000007E-2</v>
      </c>
      <c r="I6" t="s">
        <v>114</v>
      </c>
    </row>
    <row r="7" spans="1:13">
      <c r="A7" t="s">
        <v>20</v>
      </c>
      <c r="B7">
        <v>1.406117854235668E-3</v>
      </c>
      <c r="C7" t="s">
        <v>11</v>
      </c>
    </row>
    <row r="8" spans="1:13">
      <c r="A8" t="s">
        <v>1</v>
      </c>
      <c r="B8">
        <v>14.633069325631823</v>
      </c>
      <c r="C8" t="s">
        <v>11</v>
      </c>
      <c r="E8" t="s">
        <v>119</v>
      </c>
    </row>
    <row r="9" spans="1:13">
      <c r="A9" t="s">
        <v>22</v>
      </c>
      <c r="B9">
        <v>3.5037281994662961E-3</v>
      </c>
      <c r="C9" t="s">
        <v>11</v>
      </c>
      <c r="E9" t="s">
        <v>120</v>
      </c>
      <c r="F9">
        <v>3.83049656444084</v>
      </c>
      <c r="G9" t="s">
        <v>121</v>
      </c>
      <c r="H9">
        <v>540.78195000000005</v>
      </c>
      <c r="I9" t="s">
        <v>122</v>
      </c>
      <c r="J9">
        <f>H9/N18</f>
        <v>14.637706917293235</v>
      </c>
      <c r="K9" t="s">
        <v>130</v>
      </c>
    </row>
    <row r="10" spans="1:13">
      <c r="A10" t="s">
        <v>23</v>
      </c>
      <c r="B10">
        <v>3.6715004457444265E-2</v>
      </c>
      <c r="C10" t="s">
        <v>11</v>
      </c>
      <c r="E10" t="s">
        <v>123</v>
      </c>
      <c r="F10">
        <v>4.62</v>
      </c>
      <c r="G10" t="s">
        <v>124</v>
      </c>
      <c r="H10">
        <v>297.62405000000001</v>
      </c>
      <c r="I10" t="s">
        <v>125</v>
      </c>
    </row>
    <row r="11" spans="1:13">
      <c r="A11" t="s">
        <v>24</v>
      </c>
      <c r="B11">
        <v>3.4678893243993673E-4</v>
      </c>
      <c r="C11" t="s">
        <v>11</v>
      </c>
      <c r="E11" t="s">
        <v>126</v>
      </c>
      <c r="F11">
        <v>1168.4499895798499</v>
      </c>
      <c r="G11" t="s">
        <v>127</v>
      </c>
      <c r="H11">
        <v>10.3</v>
      </c>
      <c r="I11" t="s">
        <v>114</v>
      </c>
      <c r="J11">
        <f>H11*2.75</f>
        <v>28.325000000000003</v>
      </c>
    </row>
    <row r="12" spans="1:13">
      <c r="A12" t="s">
        <v>26</v>
      </c>
      <c r="B12">
        <v>4.4803377619114647E-2</v>
      </c>
      <c r="C12" t="s">
        <v>11</v>
      </c>
    </row>
    <row r="13" spans="1:13">
      <c r="A13" t="s">
        <v>27</v>
      </c>
      <c r="B13">
        <v>1.1243012465658668E-4</v>
      </c>
      <c r="C13" t="s">
        <v>11</v>
      </c>
    </row>
    <row r="14" spans="1:13">
      <c r="A14" t="s">
        <v>28</v>
      </c>
      <c r="B14">
        <v>2.2222222222154642E-4</v>
      </c>
      <c r="C14" t="s">
        <v>11</v>
      </c>
    </row>
    <row r="15" spans="1:13">
      <c r="A15" t="s">
        <v>30</v>
      </c>
      <c r="B15">
        <v>2.2222222222222223</v>
      </c>
      <c r="C15" t="s">
        <v>11</v>
      </c>
    </row>
    <row r="16" spans="1:13">
      <c r="A16" t="s">
        <v>8</v>
      </c>
      <c r="B16">
        <v>52.975026811793803</v>
      </c>
      <c r="C16" t="s">
        <v>13</v>
      </c>
    </row>
    <row r="17" spans="1:15">
      <c r="A17" t="s">
        <v>36</v>
      </c>
      <c r="B17">
        <v>4.9123898465338227</v>
      </c>
      <c r="C17" t="s">
        <v>111</v>
      </c>
    </row>
    <row r="18" spans="1:15">
      <c r="A18" t="s">
        <v>44</v>
      </c>
      <c r="N18">
        <f>(76+190)/2/3.6</f>
        <v>36.944444444444443</v>
      </c>
      <c r="O18" t="s">
        <v>129</v>
      </c>
    </row>
    <row r="19" spans="1:15">
      <c r="A19" t="s">
        <v>45</v>
      </c>
      <c r="B19">
        <v>0.31372620842680665</v>
      </c>
      <c r="C19" t="s">
        <v>11</v>
      </c>
      <c r="N19">
        <f>(2+2.3)/2/3.6</f>
        <v>0.59722222222222221</v>
      </c>
      <c r="O19" t="s">
        <v>129</v>
      </c>
    </row>
    <row r="20" spans="1:15">
      <c r="A20" t="s">
        <v>75</v>
      </c>
      <c r="B20">
        <v>0.51772863354103771</v>
      </c>
      <c r="C20" t="s">
        <v>11</v>
      </c>
    </row>
    <row r="21" spans="1:15">
      <c r="A21" t="s">
        <v>46</v>
      </c>
      <c r="B21">
        <v>3.1430280275570703E-2</v>
      </c>
      <c r="C21" t="s">
        <v>11</v>
      </c>
    </row>
    <row r="24" spans="1:15">
      <c r="E24" t="s">
        <v>64</v>
      </c>
      <c r="F24" t="s">
        <v>114</v>
      </c>
      <c r="G24">
        <v>0.55545</v>
      </c>
      <c r="H24" t="s">
        <v>113</v>
      </c>
      <c r="I24" t="s">
        <v>131</v>
      </c>
      <c r="J24" t="s">
        <v>132</v>
      </c>
      <c r="K24">
        <v>-0.15368999999999999</v>
      </c>
    </row>
    <row r="25" spans="1:15">
      <c r="E25" t="s">
        <v>133</v>
      </c>
      <c r="F25" t="s">
        <v>134</v>
      </c>
      <c r="G25">
        <v>4.62</v>
      </c>
      <c r="H25" t="s">
        <v>124</v>
      </c>
      <c r="I25" t="s">
        <v>131</v>
      </c>
      <c r="J25" t="s">
        <v>132</v>
      </c>
      <c r="K25">
        <v>-0.30291000000000001</v>
      </c>
    </row>
    <row r="26" spans="1:15">
      <c r="E26" t="s">
        <v>135</v>
      </c>
      <c r="F26" t="s">
        <v>114</v>
      </c>
      <c r="G26">
        <v>7.8819499999999998</v>
      </c>
      <c r="H26" t="s">
        <v>113</v>
      </c>
      <c r="I26" t="s">
        <v>131</v>
      </c>
      <c r="J26" t="s">
        <v>132</v>
      </c>
      <c r="K26">
        <v>-3.6089999999999997E-2</v>
      </c>
    </row>
    <row r="27" spans="1:15">
      <c r="E27" t="s">
        <v>136</v>
      </c>
      <c r="F27" t="s">
        <v>130</v>
      </c>
      <c r="G27">
        <v>0.42488999999999999</v>
      </c>
      <c r="H27" t="s">
        <v>137</v>
      </c>
      <c r="I27" t="s">
        <v>131</v>
      </c>
      <c r="J27" t="s">
        <v>132</v>
      </c>
      <c r="K27">
        <v>-0.45861000000000002</v>
      </c>
    </row>
    <row r="28" spans="1:15">
      <c r="E28" t="s">
        <v>138</v>
      </c>
      <c r="F28" t="s">
        <v>114</v>
      </c>
      <c r="G28">
        <v>135.17133000000001</v>
      </c>
      <c r="H28" t="s">
        <v>113</v>
      </c>
      <c r="I28" t="s">
        <v>131</v>
      </c>
      <c r="J28" t="s">
        <v>132</v>
      </c>
      <c r="K28">
        <v>-1.01501</v>
      </c>
    </row>
    <row r="29" spans="1:15">
      <c r="E29" t="s">
        <v>131</v>
      </c>
      <c r="F29" t="s">
        <v>114</v>
      </c>
      <c r="G29">
        <v>268.3</v>
      </c>
      <c r="H29" t="s">
        <v>113</v>
      </c>
      <c r="I29" t="s">
        <v>131</v>
      </c>
      <c r="J29" t="s">
        <v>132</v>
      </c>
      <c r="K29">
        <v>1</v>
      </c>
    </row>
    <row r="30" spans="1:15">
      <c r="E30" t="s">
        <v>139</v>
      </c>
      <c r="F30" t="s">
        <v>114</v>
      </c>
      <c r="G30">
        <v>3.8300000000000001E-3</v>
      </c>
      <c r="H30" t="s">
        <v>113</v>
      </c>
      <c r="I30" t="s">
        <v>131</v>
      </c>
      <c r="J30" t="s">
        <v>132</v>
      </c>
      <c r="K30">
        <v>-83.224509999999995</v>
      </c>
      <c r="L30">
        <f>K30/N18</f>
        <v>-2.2526935037593985</v>
      </c>
    </row>
    <row r="35" spans="5:12">
      <c r="E35" t="s">
        <v>139</v>
      </c>
      <c r="F35" t="s">
        <v>114</v>
      </c>
      <c r="G35">
        <v>3.8300000000000001E-3</v>
      </c>
      <c r="H35" t="s">
        <v>113</v>
      </c>
      <c r="I35" t="s">
        <v>140</v>
      </c>
      <c r="J35" t="s">
        <v>141</v>
      </c>
      <c r="K35">
        <v>-122.25887</v>
      </c>
      <c r="L35">
        <f>K35/N18</f>
        <v>-3.3092626466165416</v>
      </c>
    </row>
    <row r="36" spans="5:12">
      <c r="E36" t="s">
        <v>136</v>
      </c>
      <c r="F36" t="s">
        <v>130</v>
      </c>
      <c r="G36">
        <v>0.42488999999999999</v>
      </c>
      <c r="H36" t="s">
        <v>137</v>
      </c>
      <c r="I36" t="s">
        <v>140</v>
      </c>
      <c r="J36" t="s">
        <v>141</v>
      </c>
      <c r="K36">
        <v>-6.7630800000000004</v>
      </c>
    </row>
    <row r="37" spans="5:12">
      <c r="E37" t="s">
        <v>133</v>
      </c>
      <c r="F37" t="s">
        <v>134</v>
      </c>
      <c r="G37">
        <v>4.62</v>
      </c>
      <c r="H37" t="s">
        <v>124</v>
      </c>
      <c r="I37" t="s">
        <v>140</v>
      </c>
      <c r="J37" t="s">
        <v>141</v>
      </c>
      <c r="K37">
        <v>-0.13500999999999999</v>
      </c>
    </row>
    <row r="38" spans="5:12">
      <c r="E38" t="s">
        <v>142</v>
      </c>
      <c r="F38" t="s">
        <v>130</v>
      </c>
      <c r="G38">
        <v>0.80135000000000001</v>
      </c>
      <c r="H38" t="s">
        <v>137</v>
      </c>
      <c r="I38" t="s">
        <v>140</v>
      </c>
      <c r="J38" t="s">
        <v>141</v>
      </c>
      <c r="K38">
        <v>-1.3674900000000001</v>
      </c>
    </row>
    <row r="39" spans="5:12">
      <c r="E39" t="s">
        <v>143</v>
      </c>
      <c r="F39" t="s">
        <v>114</v>
      </c>
      <c r="G39">
        <v>185.68934999999999</v>
      </c>
      <c r="H39" t="s">
        <v>113</v>
      </c>
      <c r="I39" t="s">
        <v>140</v>
      </c>
      <c r="J39" t="s">
        <v>141</v>
      </c>
      <c r="K39">
        <v>-1.2407999999999999</v>
      </c>
    </row>
    <row r="40" spans="5:12">
      <c r="E40" t="s">
        <v>140</v>
      </c>
      <c r="F40" t="s">
        <v>114</v>
      </c>
      <c r="G40">
        <v>-999</v>
      </c>
      <c r="H40" t="s">
        <v>113</v>
      </c>
      <c r="I40" t="s">
        <v>140</v>
      </c>
      <c r="J40" t="s">
        <v>141</v>
      </c>
      <c r="K40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C15" sqref="C15"/>
    </sheetView>
  </sheetViews>
  <sheetFormatPr defaultRowHeight="14.4"/>
  <cols>
    <col min="2" max="2" width="27.33203125" customWidth="1"/>
    <col min="3" max="3" width="25" customWidth="1"/>
  </cols>
  <sheetData>
    <row r="1" spans="1:13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L1" s="11"/>
      <c r="M1" s="11"/>
    </row>
    <row r="2" spans="1:13">
      <c r="A2" t="s">
        <v>144</v>
      </c>
      <c r="B2">
        <v>1</v>
      </c>
      <c r="C2" t="s">
        <v>83</v>
      </c>
      <c r="D2" t="s">
        <v>140</v>
      </c>
      <c r="E2" t="s">
        <v>145</v>
      </c>
      <c r="F2" t="s">
        <v>140</v>
      </c>
      <c r="G2" t="s">
        <v>145</v>
      </c>
      <c r="H2" t="s">
        <v>146</v>
      </c>
      <c r="I2" t="s">
        <v>147</v>
      </c>
      <c r="J2" s="11">
        <v>2.3286032639219599E-15</v>
      </c>
      <c r="K2" s="11">
        <v>1.6201949631752E-15</v>
      </c>
      <c r="L2">
        <v>2.3651649800189198</v>
      </c>
    </row>
    <row r="3" spans="1:13">
      <c r="A3" t="s">
        <v>148</v>
      </c>
      <c r="B3">
        <v>1</v>
      </c>
      <c r="C3" t="s">
        <v>83</v>
      </c>
      <c r="D3" t="s">
        <v>140</v>
      </c>
      <c r="E3" t="s">
        <v>149</v>
      </c>
      <c r="F3" t="s">
        <v>140</v>
      </c>
      <c r="G3" t="s">
        <v>149</v>
      </c>
      <c r="H3" t="s">
        <v>146</v>
      </c>
      <c r="I3" t="s">
        <v>147</v>
      </c>
      <c r="J3" s="11">
        <v>1.0783557948244101E-14</v>
      </c>
      <c r="K3" s="11">
        <v>4.9156667582587799E-15</v>
      </c>
      <c r="L3">
        <v>2.5805173790540699</v>
      </c>
    </row>
    <row r="4" spans="1:13">
      <c r="A4" t="s">
        <v>150</v>
      </c>
      <c r="B4">
        <v>1</v>
      </c>
      <c r="C4" t="s">
        <v>83</v>
      </c>
      <c r="D4" t="s">
        <v>131</v>
      </c>
      <c r="E4" t="s">
        <v>145</v>
      </c>
      <c r="F4" t="s">
        <v>131</v>
      </c>
      <c r="G4" t="s">
        <v>145</v>
      </c>
      <c r="H4" t="s">
        <v>146</v>
      </c>
      <c r="I4" t="s">
        <v>147</v>
      </c>
      <c r="J4" s="11">
        <v>1.3584228959675101E-16</v>
      </c>
      <c r="K4" s="11">
        <v>3.2011714372202798E-15</v>
      </c>
      <c r="L4">
        <v>0.66123947482683798</v>
      </c>
    </row>
    <row r="5" spans="1:13">
      <c r="A5" t="s">
        <v>151</v>
      </c>
      <c r="B5">
        <v>1</v>
      </c>
      <c r="C5" t="s">
        <v>83</v>
      </c>
      <c r="D5" t="s">
        <v>131</v>
      </c>
      <c r="E5" t="s">
        <v>149</v>
      </c>
      <c r="F5" t="s">
        <v>131</v>
      </c>
      <c r="G5" t="s">
        <v>149</v>
      </c>
      <c r="H5" t="s">
        <v>146</v>
      </c>
      <c r="I5" t="s">
        <v>147</v>
      </c>
      <c r="J5" s="11">
        <v>4.2208223532288101E-14</v>
      </c>
      <c r="K5" s="11">
        <v>1.95996754524766E-14</v>
      </c>
      <c r="L5">
        <v>2.9168955936242602</v>
      </c>
    </row>
    <row r="6" spans="1:13">
      <c r="A6" t="s">
        <v>152</v>
      </c>
      <c r="B6">
        <v>1</v>
      </c>
      <c r="C6" t="s">
        <v>83</v>
      </c>
      <c r="D6" t="s">
        <v>152</v>
      </c>
      <c r="E6" t="s">
        <v>153</v>
      </c>
      <c r="F6" s="11" t="s">
        <v>154</v>
      </c>
      <c r="G6" s="11" t="s">
        <v>153</v>
      </c>
      <c r="H6" t="s">
        <v>86</v>
      </c>
      <c r="I6" t="s">
        <v>155</v>
      </c>
      <c r="J6" s="11">
        <v>2.6256178516859298E-16</v>
      </c>
      <c r="K6" s="11">
        <v>9.6604807103481301E-17</v>
      </c>
      <c r="L6">
        <v>1.9404761920003299</v>
      </c>
    </row>
    <row r="7" spans="1:13">
      <c r="A7" t="s">
        <v>156</v>
      </c>
      <c r="B7">
        <v>1</v>
      </c>
      <c r="C7" t="s">
        <v>83</v>
      </c>
      <c r="D7" t="s">
        <v>157</v>
      </c>
      <c r="E7" t="s">
        <v>157</v>
      </c>
      <c r="F7" t="s">
        <v>146</v>
      </c>
      <c r="G7" t="s">
        <v>158</v>
      </c>
      <c r="H7" s="11">
        <v>3.9745044318671899E-18</v>
      </c>
      <c r="I7" s="11">
        <v>4.6484487633032999E-16</v>
      </c>
      <c r="J7">
        <v>8.7282984465104907E-2</v>
      </c>
    </row>
    <row r="8" spans="1:13">
      <c r="A8" t="s">
        <v>159</v>
      </c>
      <c r="B8">
        <v>1</v>
      </c>
      <c r="C8" t="s">
        <v>83</v>
      </c>
      <c r="D8" t="s">
        <v>160</v>
      </c>
      <c r="E8" t="s">
        <v>160</v>
      </c>
      <c r="F8" t="s">
        <v>146</v>
      </c>
      <c r="G8" t="s">
        <v>158</v>
      </c>
      <c r="H8" s="11">
        <v>6.2048260438235096E-15</v>
      </c>
      <c r="I8" s="11">
        <v>2.8817391255044201E-15</v>
      </c>
      <c r="J8">
        <v>2.2598804078400099E-2</v>
      </c>
    </row>
    <row r="10" spans="1:13">
      <c r="A10" t="s">
        <v>173</v>
      </c>
    </row>
    <row r="11" spans="1:13">
      <c r="B11" t="s">
        <v>174</v>
      </c>
      <c r="C11" t="s">
        <v>178</v>
      </c>
      <c r="D11" t="s">
        <v>179</v>
      </c>
    </row>
    <row r="12" spans="1:13">
      <c r="A12" t="s">
        <v>171</v>
      </c>
      <c r="B12">
        <f>1.3605*J7</f>
        <v>0.11874850036477523</v>
      </c>
      <c r="C12">
        <v>0</v>
      </c>
      <c r="D12">
        <f>L2-B12</f>
        <v>2.2464164796541448</v>
      </c>
      <c r="F12" s="18">
        <f>(B12+C12)/SUM(B12:D12)</f>
        <v>5.0207279985950627E-2</v>
      </c>
    </row>
    <row r="13" spans="1:13">
      <c r="A13" t="s">
        <v>172</v>
      </c>
      <c r="B13">
        <f>1.3605*J8</f>
        <v>3.0745672948663337E-2</v>
      </c>
      <c r="C13">
        <f>0.3035</f>
        <v>0.30349999999999999</v>
      </c>
      <c r="D13">
        <f>L3-B13-C13</f>
        <v>2.2462717061054063</v>
      </c>
      <c r="F13" s="18">
        <f t="shared" ref="F13:F25" si="0">(B13+C13)/SUM(B13:D13)</f>
        <v>0.12952661185765255</v>
      </c>
    </row>
    <row r="14" spans="1:13">
      <c r="A14" t="s">
        <v>175</v>
      </c>
      <c r="B14">
        <f>2.6*2.561*1.015*J7</f>
        <v>0.58990021756473765</v>
      </c>
      <c r="C14">
        <v>0</v>
      </c>
      <c r="D14">
        <f>L4-B14</f>
        <v>7.1339257262100331E-2</v>
      </c>
      <c r="F14" s="18">
        <f>(B14)/SUM(B14:D14)</f>
        <v>0.89211282753380339</v>
      </c>
    </row>
    <row r="15" spans="1:13">
      <c r="A15" t="s">
        <v>176</v>
      </c>
      <c r="B15">
        <f>2.6*2.561*1.015*J8</f>
        <v>0.15273354278898141</v>
      </c>
      <c r="C15">
        <f>1.0325*2.561*1.015</f>
        <v>2.6838959874999997</v>
      </c>
      <c r="D15">
        <f>L5-C15-B15</f>
        <v>8.0266063335279109E-2</v>
      </c>
      <c r="F15" s="18">
        <f>(B15)/SUM(B15,D15)</f>
        <v>0.65550987544385553</v>
      </c>
    </row>
    <row r="16" spans="1:13">
      <c r="A16" t="s">
        <v>177</v>
      </c>
      <c r="B16">
        <v>0</v>
      </c>
      <c r="C16">
        <v>0</v>
      </c>
      <c r="D16">
        <f>L6</f>
        <v>1.9404761920003299</v>
      </c>
      <c r="F16" s="18">
        <f t="shared" si="0"/>
        <v>0</v>
      </c>
    </row>
    <row r="17" spans="1:6">
      <c r="A17" t="s">
        <v>175</v>
      </c>
      <c r="B17" s="18">
        <f>(B14+D14-D$16)/D$16</f>
        <v>-0.65923855311762281</v>
      </c>
      <c r="F17" s="18"/>
    </row>
    <row r="18" spans="1:6">
      <c r="A18" t="s">
        <v>176</v>
      </c>
      <c r="B18" s="18">
        <f>(B15+D15-D$16)/D$16</f>
        <v>-0.87992658344131802</v>
      </c>
      <c r="F18" s="18"/>
    </row>
    <row r="19" spans="1:6">
      <c r="F19" s="18"/>
    </row>
    <row r="20" spans="1:6">
      <c r="A20" t="s">
        <v>180</v>
      </c>
      <c r="F20" s="18"/>
    </row>
    <row r="21" spans="1:6">
      <c r="A21" t="s">
        <v>171</v>
      </c>
      <c r="B21" s="11">
        <f>1.3605*(H7+I7)</f>
        <v>6.3782876752696936E-16</v>
      </c>
      <c r="D21" s="11">
        <f>J2+K2-B21</f>
        <v>3.3109694595701907E-15</v>
      </c>
      <c r="F21" s="18">
        <f t="shared" si="0"/>
        <v>0.16152478066620535</v>
      </c>
    </row>
    <row r="22" spans="1:6">
      <c r="A22" t="s">
        <v>172</v>
      </c>
      <c r="B22" s="11">
        <f>1.3605*(H8+I8)</f>
        <v>1.2362271912870648E-14</v>
      </c>
      <c r="D22" s="11">
        <f>J3+K3-B22</f>
        <v>3.3369527936322321E-15</v>
      </c>
      <c r="F22" s="18">
        <f t="shared" si="0"/>
        <v>0.78744473972335649</v>
      </c>
    </row>
    <row r="23" spans="1:6">
      <c r="A23" t="s">
        <v>175</v>
      </c>
      <c r="B23" s="11">
        <f>2.6*2.561*1.015*(H7+I7)</f>
        <v>3.1685059396743135E-15</v>
      </c>
      <c r="D23" s="11">
        <f>J4+K4-B23</f>
        <v>1.6850778714271746E-16</v>
      </c>
      <c r="F23" s="18">
        <f t="shared" si="0"/>
        <v>0.94950341804453808</v>
      </c>
    </row>
    <row r="24" spans="1:6">
      <c r="A24" t="s">
        <v>176</v>
      </c>
      <c r="B24" s="11">
        <f>2.6*2.561*1.015*(H8+I8)</f>
        <v>6.1411359879034247E-14</v>
      </c>
      <c r="D24" s="11">
        <f>J5+K5-B24</f>
        <v>3.9653910573046084E-16</v>
      </c>
      <c r="F24" s="18">
        <f t="shared" si="0"/>
        <v>0.99358432963676369</v>
      </c>
    </row>
    <row r="25" spans="1:6">
      <c r="A25" t="s">
        <v>177</v>
      </c>
      <c r="B25">
        <v>0</v>
      </c>
      <c r="D25" s="11">
        <f>J6+K6-B25</f>
        <v>3.5916659227207427E-16</v>
      </c>
      <c r="F25" s="18">
        <f t="shared" si="0"/>
        <v>0</v>
      </c>
    </row>
    <row r="27" spans="1:6">
      <c r="A27" t="s">
        <v>181</v>
      </c>
    </row>
    <row r="28" spans="1:6">
      <c r="A28" t="s">
        <v>171</v>
      </c>
      <c r="B28">
        <v>1.3634999999999999</v>
      </c>
    </row>
    <row r="29" spans="1:6">
      <c r="A29" t="s">
        <v>172</v>
      </c>
      <c r="B29">
        <v>1.3634999999999999</v>
      </c>
    </row>
    <row r="30" spans="1:6">
      <c r="A30" t="s">
        <v>175</v>
      </c>
      <c r="B30">
        <v>6.758</v>
      </c>
      <c r="C30">
        <f>B29/B30</f>
        <v>0.2017608759988162</v>
      </c>
    </row>
    <row r="31" spans="1:6">
      <c r="A31" t="s">
        <v>176</v>
      </c>
      <c r="B31">
        <v>6.758</v>
      </c>
    </row>
    <row r="32" spans="1:6">
      <c r="A32" t="s">
        <v>177</v>
      </c>
      <c r="B32">
        <v>0</v>
      </c>
    </row>
    <row r="36" spans="1:3">
      <c r="A36" t="s">
        <v>175</v>
      </c>
      <c r="B36" s="19">
        <f>B23*1000000000000000</f>
        <v>3.1685059396743136</v>
      </c>
      <c r="C36" s="11">
        <f>D23*1000000000000000</f>
        <v>0.16850778714271747</v>
      </c>
    </row>
    <row r="37" spans="1:3">
      <c r="A37" t="s">
        <v>176</v>
      </c>
      <c r="B37" s="19">
        <f>B24*1000000000000000</f>
        <v>61.411359879034244</v>
      </c>
      <c r="C37" s="11">
        <f>D24*1000000000000000</f>
        <v>0.39653910573046086</v>
      </c>
    </row>
    <row r="38" spans="1:3">
      <c r="A38" t="s">
        <v>171</v>
      </c>
      <c r="B38" s="19">
        <f>B21*1000000000000000</f>
        <v>0.63782876752696938</v>
      </c>
      <c r="C38" s="11">
        <f>D21*1000000000000000</f>
        <v>3.3109694595701908</v>
      </c>
    </row>
    <row r="39" spans="1:3">
      <c r="A39" t="s">
        <v>172</v>
      </c>
      <c r="B39" s="19">
        <f>B22*1000000000000000</f>
        <v>12.362271912870648</v>
      </c>
      <c r="C39" s="11">
        <f>D22*1000000000000000</f>
        <v>3.3369527936322321</v>
      </c>
    </row>
    <row r="40" spans="1:3">
      <c r="C40" s="11">
        <f>D25*1000000000000000</f>
        <v>0.35916659227207426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4.4"/>
  <sheetData>
    <row r="1" spans="1:7">
      <c r="A1" t="s">
        <v>139</v>
      </c>
      <c r="B1" t="s">
        <v>114</v>
      </c>
      <c r="C1">
        <v>3.8300000000000001E-3</v>
      </c>
      <c r="D1" t="s">
        <v>113</v>
      </c>
      <c r="E1" t="s">
        <v>140</v>
      </c>
      <c r="F1" t="s">
        <v>141</v>
      </c>
      <c r="G1">
        <v>-122.25887</v>
      </c>
    </row>
    <row r="2" spans="1:7">
      <c r="A2" t="s">
        <v>136</v>
      </c>
      <c r="B2" t="s">
        <v>130</v>
      </c>
      <c r="C2">
        <v>0.42488999999999999</v>
      </c>
      <c r="D2" t="s">
        <v>137</v>
      </c>
      <c r="E2" t="s">
        <v>140</v>
      </c>
      <c r="F2" t="s">
        <v>141</v>
      </c>
      <c r="G2">
        <v>-6.7630800000000004</v>
      </c>
    </row>
    <row r="3" spans="1:7">
      <c r="A3" t="s">
        <v>133</v>
      </c>
      <c r="B3" t="s">
        <v>134</v>
      </c>
      <c r="C3">
        <v>4.62</v>
      </c>
      <c r="D3" t="s">
        <v>124</v>
      </c>
      <c r="E3" t="s">
        <v>140</v>
      </c>
      <c r="F3" t="s">
        <v>141</v>
      </c>
      <c r="G3">
        <v>-0.13500999999999999</v>
      </c>
    </row>
    <row r="4" spans="1:7">
      <c r="A4" t="s">
        <v>142</v>
      </c>
      <c r="B4" t="s">
        <v>130</v>
      </c>
      <c r="C4">
        <v>0.80135000000000001</v>
      </c>
      <c r="D4" t="s">
        <v>137</v>
      </c>
      <c r="E4" t="s">
        <v>140</v>
      </c>
      <c r="F4" t="s">
        <v>141</v>
      </c>
      <c r="G4">
        <v>-1.3674900000000001</v>
      </c>
    </row>
    <row r="5" spans="1:7">
      <c r="A5" t="s">
        <v>143</v>
      </c>
      <c r="B5" t="s">
        <v>114</v>
      </c>
      <c r="C5">
        <v>185.68934999999999</v>
      </c>
      <c r="D5" t="s">
        <v>113</v>
      </c>
      <c r="E5" t="s">
        <v>140</v>
      </c>
      <c r="F5" t="s">
        <v>141</v>
      </c>
      <c r="G5">
        <v>-1.2407999999999999</v>
      </c>
    </row>
    <row r="6" spans="1:7">
      <c r="A6" t="s">
        <v>140</v>
      </c>
      <c r="B6" t="s">
        <v>114</v>
      </c>
      <c r="C6">
        <v>-999</v>
      </c>
      <c r="D6" t="s">
        <v>113</v>
      </c>
      <c r="E6" t="s">
        <v>140</v>
      </c>
      <c r="F6" t="s">
        <v>141</v>
      </c>
      <c r="G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8"/>
    </sheetView>
  </sheetViews>
  <sheetFormatPr defaultRowHeight="14.4"/>
  <cols>
    <col min="1" max="1" width="13.6640625" bestFit="1" customWidth="1"/>
  </cols>
  <sheetData>
    <row r="1" spans="1:7">
      <c r="A1" t="s">
        <v>64</v>
      </c>
      <c r="B1" t="s">
        <v>114</v>
      </c>
      <c r="C1">
        <v>0.55545</v>
      </c>
      <c r="D1" t="s">
        <v>113</v>
      </c>
      <c r="E1" t="s">
        <v>131</v>
      </c>
      <c r="F1" t="s">
        <v>132</v>
      </c>
      <c r="G1">
        <v>-0.15368999999999999</v>
      </c>
    </row>
    <row r="2" spans="1:7">
      <c r="A2" t="s">
        <v>133</v>
      </c>
      <c r="B2" t="s">
        <v>134</v>
      </c>
      <c r="C2">
        <v>4.62</v>
      </c>
      <c r="D2" t="s">
        <v>124</v>
      </c>
      <c r="E2" t="s">
        <v>131</v>
      </c>
      <c r="F2" t="s">
        <v>132</v>
      </c>
      <c r="G2">
        <v>-0.30291000000000001</v>
      </c>
    </row>
    <row r="3" spans="1:7">
      <c r="A3" t="s">
        <v>135</v>
      </c>
      <c r="B3" t="s">
        <v>114</v>
      </c>
      <c r="C3">
        <v>7.8819499999999998</v>
      </c>
      <c r="D3" t="s">
        <v>113</v>
      </c>
      <c r="E3" t="s">
        <v>131</v>
      </c>
      <c r="F3" t="s">
        <v>132</v>
      </c>
      <c r="G3">
        <v>-3.6089999999999997E-2</v>
      </c>
    </row>
    <row r="4" spans="1:7">
      <c r="A4" t="s">
        <v>136</v>
      </c>
      <c r="B4" t="s">
        <v>130</v>
      </c>
      <c r="C4">
        <v>0.42488999999999999</v>
      </c>
      <c r="D4" t="s">
        <v>137</v>
      </c>
      <c r="E4" t="s">
        <v>131</v>
      </c>
      <c r="F4" t="s">
        <v>132</v>
      </c>
      <c r="G4">
        <v>-0.45861000000000002</v>
      </c>
    </row>
    <row r="5" spans="1:7">
      <c r="A5" t="s">
        <v>138</v>
      </c>
      <c r="B5" t="s">
        <v>114</v>
      </c>
      <c r="C5">
        <v>135.17133000000001</v>
      </c>
      <c r="D5" t="s">
        <v>113</v>
      </c>
      <c r="E5" t="s">
        <v>131</v>
      </c>
      <c r="F5" t="s">
        <v>132</v>
      </c>
      <c r="G5">
        <v>-1.01501</v>
      </c>
    </row>
    <row r="6" spans="1:7">
      <c r="A6" t="s">
        <v>131</v>
      </c>
      <c r="B6" t="s">
        <v>114</v>
      </c>
      <c r="C6">
        <v>268.3</v>
      </c>
      <c r="D6" t="s">
        <v>113</v>
      </c>
      <c r="E6" t="s">
        <v>131</v>
      </c>
      <c r="F6" t="s">
        <v>132</v>
      </c>
      <c r="G6">
        <v>1</v>
      </c>
    </row>
    <row r="7" spans="1:7">
      <c r="A7" t="s">
        <v>139</v>
      </c>
      <c r="B7" t="s">
        <v>114</v>
      </c>
      <c r="C7">
        <v>3.8300000000000001E-3</v>
      </c>
      <c r="D7" t="s">
        <v>113</v>
      </c>
      <c r="E7" t="s">
        <v>131</v>
      </c>
      <c r="F7" t="s">
        <v>132</v>
      </c>
      <c r="G7">
        <v>-83.224509999999995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Old</vt:lpstr>
      <vt:lpstr>New</vt:lpstr>
      <vt:lpstr>Inputs</vt:lpstr>
      <vt:lpstr>Emissions</vt:lpstr>
      <vt:lpstr>Energy</vt:lpstr>
      <vt:lpstr>Sheet1</vt:lpstr>
      <vt:lpstr>Sheet4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Jing Huo</cp:lastModifiedBy>
  <cp:revision>5</cp:revision>
  <dcterms:created xsi:type="dcterms:W3CDTF">2015-06-05T18:17:20Z</dcterms:created>
  <dcterms:modified xsi:type="dcterms:W3CDTF">2024-02-12T16:05:04Z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