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minsi\polybox - Armin Siegrist\ETH working folder\Modular LCA\"/>
    </mc:Choice>
  </mc:AlternateContent>
  <xr:revisionPtr revIDLastSave="0" documentId="13_ncr:1_{A189E7F4-CBEA-4853-B865-1C02C92403C3}" xr6:coauthVersionLast="47" xr6:coauthVersionMax="47" xr10:uidLastSave="{00000000-0000-0000-0000-000000000000}"/>
  <bookViews>
    <workbookView xWindow="-38520" yWindow="-5565" windowWidth="38640" windowHeight="21120" activeTab="10" xr2:uid="{00000000-000D-0000-FFFF-FFFF00000000}"/>
  </bookViews>
  <sheets>
    <sheet name="README" sheetId="32" r:id="rId1"/>
    <sheet name="Data sources overview" sheetId="25" r:id="rId2"/>
    <sheet name="Energy consumption machinery" sheetId="1" r:id="rId3"/>
    <sheet name="Cleaning and dehulling" sheetId="10" r:id="rId4"/>
    <sheet name="Milling" sheetId="9" r:id="rId5"/>
    <sheet name="Defatting" sheetId="11" r:id="rId6"/>
    <sheet name="SPI" sheetId="6" r:id="rId7"/>
    <sheet name="PPI" sheetId="2" r:id="rId8"/>
    <sheet name="PPC" sheetId="3" r:id="rId9"/>
    <sheet name="SPC" sheetId="7" r:id="rId10"/>
    <sheet name="Gluten HP" sheetId="5" r:id="rId11"/>
    <sheet name="General_parameters" sheetId="28" r:id="rId12"/>
    <sheet name="Formulas_SPI" sheetId="31" r:id="rId13"/>
    <sheet name="Formulas_PPI" sheetId="19" r:id="rId14"/>
    <sheet name="Formulas_PPC" sheetId="20" r:id="rId15"/>
    <sheet name="Formulas_SPC" sheetId="24" r:id="rId16"/>
    <sheet name="Formulas_gluten" sheetId="3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1" l="1"/>
  <c r="G20" i="28" s="1"/>
  <c r="C53" i="11"/>
  <c r="B53" i="11"/>
  <c r="E20" i="28" s="1"/>
  <c r="I52" i="6"/>
  <c r="I56" i="6"/>
  <c r="I50" i="6"/>
  <c r="E56" i="7"/>
  <c r="E63" i="5"/>
  <c r="L31" i="2"/>
  <c r="B64" i="11"/>
  <c r="B37" i="9"/>
  <c r="G97" i="28"/>
  <c r="I51" i="6"/>
  <c r="E58" i="2"/>
  <c r="F51" i="6"/>
  <c r="G80" i="28"/>
  <c r="G79" i="28"/>
  <c r="B64" i="5"/>
  <c r="F47" i="6"/>
  <c r="N12" i="6"/>
  <c r="I48" i="6" s="1"/>
  <c r="F46" i="6"/>
  <c r="I55" i="6"/>
  <c r="J10" i="6"/>
  <c r="N10" i="6"/>
  <c r="N9" i="6"/>
  <c r="N8" i="6"/>
  <c r="N7" i="6"/>
  <c r="N6" i="6"/>
  <c r="F60" i="6"/>
  <c r="G103" i="28"/>
  <c r="F50" i="6"/>
  <c r="I49" i="6"/>
  <c r="F57" i="6"/>
  <c r="J9" i="6"/>
  <c r="J8" i="6"/>
  <c r="J7" i="6"/>
  <c r="J6" i="6"/>
  <c r="J5" i="6"/>
  <c r="N18" i="6"/>
  <c r="M18" i="6"/>
  <c r="J18" i="6"/>
  <c r="M10" i="6"/>
  <c r="G38" i="6"/>
  <c r="H38" i="6"/>
  <c r="F38" i="6"/>
  <c r="G33" i="6"/>
  <c r="H33" i="6"/>
  <c r="F33" i="6"/>
  <c r="G18" i="6"/>
  <c r="H18" i="6"/>
  <c r="F18" i="6"/>
  <c r="G10" i="6"/>
  <c r="H10" i="6" s="1"/>
  <c r="F10" i="6"/>
  <c r="R26" i="5"/>
  <c r="M16" i="5"/>
  <c r="E67" i="5"/>
  <c r="P4" i="5"/>
  <c r="Q4" i="5"/>
  <c r="R4" i="5"/>
  <c r="E61" i="5"/>
  <c r="M20" i="5"/>
  <c r="M19" i="5"/>
  <c r="M9" i="5"/>
  <c r="M17" i="5"/>
  <c r="M15" i="5"/>
  <c r="M14" i="5"/>
  <c r="E69" i="5"/>
  <c r="M13" i="5"/>
  <c r="M10" i="5"/>
  <c r="F150" i="28"/>
  <c r="G150" i="28"/>
  <c r="E150" i="28"/>
  <c r="M6" i="5"/>
  <c r="E68" i="5"/>
  <c r="M7" i="5"/>
  <c r="B63" i="5"/>
  <c r="K26" i="5"/>
  <c r="I26" i="5"/>
  <c r="J32" i="5"/>
  <c r="K32" i="5"/>
  <c r="J28" i="5"/>
  <c r="K28" i="5"/>
  <c r="J29" i="5"/>
  <c r="K29" i="5"/>
  <c r="J30" i="5"/>
  <c r="K30" i="5"/>
  <c r="I32" i="5"/>
  <c r="I30" i="5"/>
  <c r="I29" i="5"/>
  <c r="I28" i="5"/>
  <c r="E60" i="5"/>
  <c r="F130" i="28"/>
  <c r="G130" i="28"/>
  <c r="E130" i="28"/>
  <c r="G71" i="28"/>
  <c r="D53" i="5"/>
  <c r="F66" i="28"/>
  <c r="G66" i="28"/>
  <c r="E66" i="28"/>
  <c r="F65" i="28"/>
  <c r="G65" i="28"/>
  <c r="E65" i="28"/>
  <c r="F64" i="28"/>
  <c r="G64" i="28"/>
  <c r="E64" i="28"/>
  <c r="F63" i="28"/>
  <c r="G63" i="28"/>
  <c r="E63" i="28"/>
  <c r="F62" i="28"/>
  <c r="G62" i="28"/>
  <c r="E62" i="28"/>
  <c r="F61" i="28"/>
  <c r="G61" i="28"/>
  <c r="E61" i="28"/>
  <c r="F60" i="28"/>
  <c r="G60" i="28"/>
  <c r="E60" i="28"/>
  <c r="G59" i="28"/>
  <c r="E2" i="28"/>
  <c r="F2" i="28"/>
  <c r="G2" i="28"/>
  <c r="E3" i="28"/>
  <c r="F3" i="28"/>
  <c r="G3" i="28"/>
  <c r="E4" i="28"/>
  <c r="F4" i="28"/>
  <c r="G4" i="28"/>
  <c r="E5" i="28"/>
  <c r="F5" i="28"/>
  <c r="G5" i="28"/>
  <c r="E6" i="28"/>
  <c r="F6" i="28"/>
  <c r="G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E19" i="28"/>
  <c r="F19" i="28"/>
  <c r="G19" i="28"/>
  <c r="F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27" i="28"/>
  <c r="F27" i="28"/>
  <c r="G27" i="28"/>
  <c r="E28" i="28"/>
  <c r="F28" i="28"/>
  <c r="G28" i="28"/>
  <c r="E29" i="28"/>
  <c r="F29" i="28"/>
  <c r="G29" i="28"/>
  <c r="E30" i="28"/>
  <c r="F30" i="28"/>
  <c r="G30" i="28"/>
  <c r="E31" i="28"/>
  <c r="F31" i="28"/>
  <c r="G31" i="28"/>
  <c r="E32" i="28"/>
  <c r="F32" i="28"/>
  <c r="G32" i="28"/>
  <c r="E33" i="28"/>
  <c r="F33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E48" i="28"/>
  <c r="F48" i="28"/>
  <c r="G48" i="28"/>
  <c r="E49" i="28"/>
  <c r="F49" i="28"/>
  <c r="G49" i="28"/>
  <c r="E50" i="28"/>
  <c r="F50" i="28"/>
  <c r="G50" i="28"/>
  <c r="E51" i="28"/>
  <c r="F51" i="28"/>
  <c r="G51" i="28"/>
  <c r="E52" i="28"/>
  <c r="F52" i="28"/>
  <c r="G52" i="28"/>
  <c r="G53" i="28"/>
  <c r="G55" i="28"/>
  <c r="G56" i="28"/>
  <c r="G57" i="28"/>
  <c r="E58" i="28"/>
  <c r="F58" i="28"/>
  <c r="E67" i="28"/>
  <c r="F67" i="28"/>
  <c r="G67" i="28"/>
  <c r="E68" i="28"/>
  <c r="F68" i="28"/>
  <c r="G68" i="28"/>
  <c r="E69" i="28"/>
  <c r="F69" i="28"/>
  <c r="E70" i="28"/>
  <c r="F70" i="28"/>
  <c r="G70" i="28"/>
  <c r="G73" i="28"/>
  <c r="E90" i="28"/>
  <c r="F90" i="28"/>
  <c r="G90" i="28"/>
  <c r="E91" i="28"/>
  <c r="F91" i="28"/>
  <c r="G91" i="28"/>
  <c r="E92" i="28"/>
  <c r="F92" i="28"/>
  <c r="G92" i="28"/>
  <c r="E93" i="28"/>
  <c r="F93" i="28"/>
  <c r="G93" i="28"/>
  <c r="E94" i="28"/>
  <c r="F94" i="28"/>
  <c r="G94" i="28"/>
  <c r="E109" i="28"/>
  <c r="F109" i="28"/>
  <c r="G109" i="28"/>
  <c r="E110" i="28"/>
  <c r="F110" i="28"/>
  <c r="G110" i="28"/>
  <c r="E111" i="28"/>
  <c r="F111" i="28"/>
  <c r="G111" i="28"/>
  <c r="E112" i="28"/>
  <c r="F112" i="28"/>
  <c r="G112" i="28"/>
  <c r="E113" i="28"/>
  <c r="F113" i="28"/>
  <c r="G113" i="28"/>
  <c r="E114" i="28"/>
  <c r="F114" i="28"/>
  <c r="G114" i="28"/>
  <c r="E115" i="28"/>
  <c r="F115" i="28"/>
  <c r="G115" i="28"/>
  <c r="E116" i="28"/>
  <c r="F116" i="28"/>
  <c r="G116" i="28"/>
  <c r="E117" i="28"/>
  <c r="F117" i="28"/>
  <c r="G117" i="28"/>
  <c r="G118" i="28"/>
  <c r="G119" i="28"/>
  <c r="G120" i="28"/>
  <c r="G121" i="28"/>
  <c r="G122" i="28"/>
  <c r="G123" i="28"/>
  <c r="G124" i="28"/>
  <c r="E125" i="28"/>
  <c r="F125" i="28"/>
  <c r="G125" i="28"/>
  <c r="E126" i="28"/>
  <c r="F126" i="28"/>
  <c r="G126" i="28"/>
  <c r="E127" i="28"/>
  <c r="F127" i="28"/>
  <c r="G127" i="28"/>
  <c r="E128" i="28"/>
  <c r="F128" i="28"/>
  <c r="G128" i="28"/>
  <c r="E129" i="28"/>
  <c r="F129" i="28"/>
  <c r="G129" i="28"/>
  <c r="E131" i="28"/>
  <c r="F131" i="28"/>
  <c r="G131" i="28"/>
  <c r="E132" i="28"/>
  <c r="F132" i="28"/>
  <c r="G132" i="28"/>
  <c r="E133" i="28"/>
  <c r="F133" i="28"/>
  <c r="G133" i="28"/>
  <c r="E134" i="28"/>
  <c r="F134" i="28"/>
  <c r="G134" i="28"/>
  <c r="E135" i="28"/>
  <c r="F135" i="28"/>
  <c r="G135" i="28"/>
  <c r="E136" i="28"/>
  <c r="F136" i="28"/>
  <c r="G136" i="28"/>
  <c r="E137" i="28"/>
  <c r="F137" i="28"/>
  <c r="G137" i="28"/>
  <c r="E138" i="28"/>
  <c r="F138" i="28"/>
  <c r="G138" i="28"/>
  <c r="E139" i="28"/>
  <c r="F139" i="28"/>
  <c r="G139" i="28"/>
  <c r="E140" i="28"/>
  <c r="F140" i="28"/>
  <c r="G140" i="28"/>
  <c r="E141" i="28"/>
  <c r="F141" i="28"/>
  <c r="G141" i="28"/>
  <c r="E142" i="28"/>
  <c r="F142" i="28"/>
  <c r="G142" i="28"/>
  <c r="E143" i="28"/>
  <c r="F143" i="28"/>
  <c r="G143" i="28"/>
  <c r="E144" i="28"/>
  <c r="F144" i="28"/>
  <c r="G144" i="28"/>
  <c r="E145" i="28"/>
  <c r="F145" i="28"/>
  <c r="G145" i="28"/>
  <c r="E146" i="28"/>
  <c r="F146" i="28"/>
  <c r="G146" i="28"/>
  <c r="E147" i="28"/>
  <c r="F147" i="28"/>
  <c r="G147" i="28"/>
  <c r="E148" i="28"/>
  <c r="F148" i="28"/>
  <c r="G148" i="28"/>
  <c r="E149" i="28"/>
  <c r="F149" i="28"/>
  <c r="G149" i="28"/>
  <c r="E62" i="2"/>
  <c r="C51" i="5"/>
  <c r="D51" i="5"/>
  <c r="B51" i="5"/>
  <c r="M27" i="5" l="1"/>
  <c r="M30" i="5"/>
  <c r="N17" i="5" l="1"/>
  <c r="B73" i="5" s="1"/>
  <c r="G85" i="28" s="1"/>
  <c r="G3" i="2"/>
  <c r="C18" i="1"/>
  <c r="B18" i="1"/>
  <c r="D17" i="1"/>
  <c r="C17" i="1"/>
  <c r="B17" i="1"/>
  <c r="C15" i="1"/>
  <c r="B15" i="1"/>
  <c r="C14" i="1"/>
  <c r="C8" i="1"/>
  <c r="B8" i="1"/>
  <c r="C5" i="1"/>
  <c r="B5" i="1"/>
  <c r="C3" i="1"/>
  <c r="B3" i="1"/>
  <c r="B2" i="1"/>
  <c r="C2" i="1"/>
  <c r="J10" i="5"/>
  <c r="I10" i="5"/>
  <c r="K10" i="5" l="1"/>
  <c r="J18" i="5"/>
  <c r="I18" i="5"/>
  <c r="N14" i="5"/>
  <c r="B71" i="5" s="1"/>
  <c r="G83" i="28" s="1"/>
  <c r="J31" i="5"/>
  <c r="I31" i="5"/>
  <c r="J20" i="5"/>
  <c r="K20" i="5"/>
  <c r="I20" i="5"/>
  <c r="J21" i="5"/>
  <c r="I21" i="5"/>
  <c r="B66" i="5"/>
  <c r="G77" i="28" s="1"/>
  <c r="C30" i="5"/>
  <c r="F57" i="28" s="1"/>
  <c r="B30" i="5"/>
  <c r="E57" i="28" s="1"/>
  <c r="C29" i="5"/>
  <c r="F56" i="28" s="1"/>
  <c r="B29" i="5"/>
  <c r="E56" i="28" s="1"/>
  <c r="C27" i="5"/>
  <c r="B27" i="5"/>
  <c r="C26" i="5"/>
  <c r="F54" i="28" s="1"/>
  <c r="D26" i="5"/>
  <c r="G54" i="28" s="1"/>
  <c r="B26" i="5"/>
  <c r="E54" i="28" s="1"/>
  <c r="B25" i="5"/>
  <c r="E53" i="28" s="1"/>
  <c r="C21" i="5"/>
  <c r="M28" i="5" s="1"/>
  <c r="E12" i="5"/>
  <c r="D12" i="5"/>
  <c r="C47" i="11"/>
  <c r="D44" i="11"/>
  <c r="D46" i="11"/>
  <c r="F32" i="2"/>
  <c r="E32" i="2"/>
  <c r="D51" i="11"/>
  <c r="B51" i="11"/>
  <c r="D50" i="11"/>
  <c r="B50" i="11"/>
  <c r="E62" i="7"/>
  <c r="K10" i="7"/>
  <c r="K9" i="7"/>
  <c r="K8" i="7"/>
  <c r="K7" i="7"/>
  <c r="L5" i="7"/>
  <c r="H22" i="7"/>
  <c r="G22" i="7"/>
  <c r="G19" i="7"/>
  <c r="H18" i="7"/>
  <c r="H13" i="7"/>
  <c r="I13" i="7"/>
  <c r="G13" i="7"/>
  <c r="H12" i="7"/>
  <c r="I12" i="7"/>
  <c r="G12" i="7"/>
  <c r="H11" i="7"/>
  <c r="I11" i="7"/>
  <c r="G11" i="7"/>
  <c r="H10" i="7"/>
  <c r="I10" i="7"/>
  <c r="G10" i="7"/>
  <c r="G9" i="7"/>
  <c r="H9" i="7"/>
  <c r="I9" i="7"/>
  <c r="I8" i="7"/>
  <c r="G8" i="7"/>
  <c r="H8" i="7"/>
  <c r="H7" i="7"/>
  <c r="G7" i="7"/>
  <c r="E53" i="7"/>
  <c r="E60" i="7"/>
  <c r="M8" i="5" l="1"/>
  <c r="B65" i="5"/>
  <c r="G76" i="28" s="1"/>
  <c r="M18" i="5"/>
  <c r="Q18" i="5" s="1"/>
  <c r="K31" i="5"/>
  <c r="K18" i="5"/>
  <c r="I7" i="7"/>
  <c r="K21" i="5"/>
  <c r="C106" i="7"/>
  <c r="C99" i="7"/>
  <c r="J78" i="7"/>
  <c r="J80" i="7" s="1"/>
  <c r="J84" i="7"/>
  <c r="J85" i="7"/>
  <c r="B45" i="7"/>
  <c r="C38" i="7"/>
  <c r="D38" i="7"/>
  <c r="B38" i="7"/>
  <c r="C37" i="7"/>
  <c r="D37" i="7"/>
  <c r="B37" i="7"/>
  <c r="C36" i="7"/>
  <c r="D36" i="7"/>
  <c r="B36" i="7"/>
  <c r="C35" i="7"/>
  <c r="D35" i="7"/>
  <c r="B35" i="7"/>
  <c r="C34" i="7"/>
  <c r="D34" i="7"/>
  <c r="B34" i="7"/>
  <c r="C33" i="7"/>
  <c r="D33" i="7"/>
  <c r="B33" i="7"/>
  <c r="C32" i="7"/>
  <c r="D32" i="7"/>
  <c r="B32" i="7"/>
  <c r="D28" i="7"/>
  <c r="D27" i="7"/>
  <c r="C27" i="7"/>
  <c r="B27" i="7"/>
  <c r="C10" i="7"/>
  <c r="C26" i="7" s="1"/>
  <c r="C9" i="7"/>
  <c r="B26" i="7" s="1"/>
  <c r="C8" i="7"/>
  <c r="B10" i="7"/>
  <c r="C28" i="7" s="1"/>
  <c r="B9" i="7"/>
  <c r="B28" i="7" s="1"/>
  <c r="F16" i="6"/>
  <c r="N15" i="5" l="1"/>
  <c r="B72" i="5" s="1"/>
  <c r="G84" i="28" s="1"/>
  <c r="R18" i="5"/>
  <c r="P18" i="5"/>
  <c r="P10" i="5"/>
  <c r="Q10" i="5"/>
  <c r="R10" i="5" s="1"/>
  <c r="M29" i="5"/>
  <c r="D26" i="7"/>
  <c r="J86" i="7"/>
  <c r="B47" i="7" s="1"/>
  <c r="C47" i="7"/>
  <c r="J87" i="7"/>
  <c r="D47" i="7"/>
  <c r="J79" i="7"/>
  <c r="J81" i="7"/>
  <c r="J88" i="7"/>
  <c r="G17" i="6"/>
  <c r="F17" i="6"/>
  <c r="H16" i="6"/>
  <c r="G16" i="6"/>
  <c r="H41" i="6"/>
  <c r="G41" i="6"/>
  <c r="F41" i="6"/>
  <c r="G37" i="6"/>
  <c r="H37" i="6"/>
  <c r="F37" i="6"/>
  <c r="C55" i="6"/>
  <c r="G26" i="6" s="1"/>
  <c r="F87" i="28" s="1"/>
  <c r="C54" i="6"/>
  <c r="F26" i="6" s="1"/>
  <c r="E87" i="28" s="1"/>
  <c r="B55" i="6"/>
  <c r="G28" i="6" s="1"/>
  <c r="F89" i="28" s="1"/>
  <c r="B54" i="6"/>
  <c r="F28" i="6" s="1"/>
  <c r="E89" i="28" s="1"/>
  <c r="B53" i="6"/>
  <c r="H28" i="6" s="1"/>
  <c r="G89" i="28" s="1"/>
  <c r="E26" i="2"/>
  <c r="F26" i="2"/>
  <c r="D26" i="2"/>
  <c r="F22" i="6"/>
  <c r="G22" i="6"/>
  <c r="E22" i="6"/>
  <c r="G27" i="6"/>
  <c r="F88" i="28" s="1"/>
  <c r="H27" i="6"/>
  <c r="G88" i="28" s="1"/>
  <c r="F27" i="6"/>
  <c r="E88" i="28" s="1"/>
  <c r="G12" i="6"/>
  <c r="H12" i="6"/>
  <c r="F12" i="6"/>
  <c r="G6" i="6"/>
  <c r="H6" i="6"/>
  <c r="G7" i="6"/>
  <c r="H7" i="6"/>
  <c r="G8" i="6"/>
  <c r="H8" i="6"/>
  <c r="G9" i="6"/>
  <c r="H9" i="6"/>
  <c r="F9" i="6"/>
  <c r="F8" i="6"/>
  <c r="F7" i="6"/>
  <c r="F6" i="6"/>
  <c r="C53" i="6"/>
  <c r="J27" i="5"/>
  <c r="K27" i="5"/>
  <c r="I27" i="5"/>
  <c r="J26" i="5"/>
  <c r="J17" i="5"/>
  <c r="K17" i="5"/>
  <c r="J19" i="5"/>
  <c r="K19" i="5"/>
  <c r="I19" i="5"/>
  <c r="I17" i="5"/>
  <c r="I15" i="5"/>
  <c r="J16" i="5"/>
  <c r="I16" i="5"/>
  <c r="J15" i="5"/>
  <c r="K15" i="5"/>
  <c r="J14" i="5"/>
  <c r="I14" i="5"/>
  <c r="J13" i="5"/>
  <c r="K13" i="5"/>
  <c r="I13" i="5"/>
  <c r="J9" i="5"/>
  <c r="I9" i="5"/>
  <c r="J6" i="5"/>
  <c r="I6" i="5"/>
  <c r="J5" i="5"/>
  <c r="K5" i="5"/>
  <c r="I5" i="5"/>
  <c r="J4" i="5"/>
  <c r="I4" i="5"/>
  <c r="J3" i="5"/>
  <c r="I3" i="5"/>
  <c r="C49" i="5"/>
  <c r="D49" i="5"/>
  <c r="C47" i="5"/>
  <c r="D47" i="5"/>
  <c r="B47" i="5"/>
  <c r="C46" i="5"/>
  <c r="D46" i="5"/>
  <c r="C45" i="5"/>
  <c r="D45" i="5"/>
  <c r="C44" i="5"/>
  <c r="D44" i="5"/>
  <c r="B44" i="5"/>
  <c r="C43" i="5"/>
  <c r="D43" i="5"/>
  <c r="B43" i="5"/>
  <c r="C42" i="5"/>
  <c r="D42" i="5"/>
  <c r="B42" i="5"/>
  <c r="C41" i="5"/>
  <c r="D41" i="5"/>
  <c r="B41" i="5"/>
  <c r="C31" i="5"/>
  <c r="F59" i="28" s="1"/>
  <c r="B31" i="5"/>
  <c r="E59" i="28" s="1"/>
  <c r="C28" i="5"/>
  <c r="F55" i="28" s="1"/>
  <c r="B28" i="5"/>
  <c r="E55" i="28" s="1"/>
  <c r="F21" i="5"/>
  <c r="M3" i="5" s="1"/>
  <c r="B62" i="5" s="1"/>
  <c r="G75" i="28" s="1"/>
  <c r="C25" i="5"/>
  <c r="F53" i="28" s="1"/>
  <c r="D37" i="3"/>
  <c r="C37" i="3"/>
  <c r="B37" i="3"/>
  <c r="D36" i="3"/>
  <c r="C36" i="3"/>
  <c r="B36" i="3"/>
  <c r="D6" i="3"/>
  <c r="C6" i="3"/>
  <c r="B6" i="3"/>
  <c r="C5" i="3"/>
  <c r="B5" i="3"/>
  <c r="C33" i="3"/>
  <c r="B33" i="3"/>
  <c r="B34" i="3"/>
  <c r="C34" i="3"/>
  <c r="C32" i="3"/>
  <c r="B32" i="3"/>
  <c r="F28" i="3"/>
  <c r="D32" i="3" s="1"/>
  <c r="C19" i="3"/>
  <c r="D33" i="3" s="1"/>
  <c r="B19" i="3"/>
  <c r="D34" i="3" s="1"/>
  <c r="G36" i="2"/>
  <c r="G35" i="2"/>
  <c r="F35" i="2"/>
  <c r="E35" i="2"/>
  <c r="B41" i="2"/>
  <c r="B17" i="2"/>
  <c r="L30" i="2" s="1"/>
  <c r="I16" i="2" s="1"/>
  <c r="G31" i="2"/>
  <c r="F31" i="2"/>
  <c r="E31" i="2"/>
  <c r="G30" i="2"/>
  <c r="F30" i="2"/>
  <c r="E30" i="2"/>
  <c r="F15" i="2"/>
  <c r="E15" i="2"/>
  <c r="F16" i="2"/>
  <c r="E16" i="2"/>
  <c r="F14" i="2"/>
  <c r="G14" i="2"/>
  <c r="E14" i="2"/>
  <c r="E13" i="2"/>
  <c r="F13" i="2"/>
  <c r="G13" i="2"/>
  <c r="F9" i="2"/>
  <c r="G9" i="2"/>
  <c r="E9" i="2"/>
  <c r="F7" i="2"/>
  <c r="G7" i="2"/>
  <c r="E7" i="2"/>
  <c r="F6" i="2"/>
  <c r="G6" i="2"/>
  <c r="E6" i="2"/>
  <c r="F5" i="2"/>
  <c r="E5" i="2"/>
  <c r="F4" i="2"/>
  <c r="E4" i="2"/>
  <c r="F3" i="2"/>
  <c r="E3" i="2"/>
  <c r="J5" i="2"/>
  <c r="B67" i="11"/>
  <c r="B66" i="11"/>
  <c r="B65" i="11"/>
  <c r="B60" i="11"/>
  <c r="B58" i="11"/>
  <c r="D49" i="11"/>
  <c r="B49" i="11"/>
  <c r="D47" i="11"/>
  <c r="B47" i="11"/>
  <c r="B46" i="11"/>
  <c r="B44" i="11"/>
  <c r="B38" i="9"/>
  <c r="B33" i="9"/>
  <c r="B32" i="9"/>
  <c r="B31" i="9"/>
  <c r="B36" i="9" s="1"/>
  <c r="B14" i="9"/>
  <c r="B35" i="10"/>
  <c r="B32" i="10"/>
  <c r="B34" i="10" s="1"/>
  <c r="B18" i="10"/>
  <c r="K6" i="5" l="1"/>
  <c r="K16" i="5"/>
  <c r="P14" i="5"/>
  <c r="K3" i="5"/>
  <c r="Q6" i="5"/>
  <c r="P6" i="5"/>
  <c r="A17" i="5"/>
  <c r="M4" i="5"/>
  <c r="P3" i="5"/>
  <c r="G16" i="2"/>
  <c r="K4" i="5"/>
  <c r="K14" i="5"/>
  <c r="K9" i="5"/>
  <c r="B63" i="11"/>
  <c r="I47" i="6"/>
  <c r="H26" i="6"/>
  <c r="G87" i="28" s="1"/>
  <c r="G5" i="2"/>
  <c r="J83" i="7"/>
  <c r="J82" i="7"/>
  <c r="D46" i="7"/>
  <c r="C46" i="7"/>
  <c r="B46" i="7"/>
  <c r="H17" i="6"/>
  <c r="E20" i="2"/>
  <c r="E21" i="2"/>
  <c r="G4" i="2"/>
  <c r="D5" i="3"/>
  <c r="G15" i="2"/>
  <c r="G96" i="28" l="1"/>
  <c r="J17" i="6"/>
  <c r="M17" i="6" s="1"/>
  <c r="I58" i="6" s="1"/>
  <c r="G72" i="28"/>
  <c r="E70" i="5"/>
  <c r="N19" i="5"/>
  <c r="B74" i="5" s="1"/>
  <c r="G86" i="28" s="1"/>
  <c r="N9" i="5"/>
  <c r="B69" i="5" s="1"/>
  <c r="G81" i="28" s="1"/>
  <c r="N4" i="5"/>
  <c r="Q3" i="5"/>
  <c r="F49" i="6"/>
  <c r="B15" i="10"/>
  <c r="B14" i="10"/>
  <c r="F58" i="6" l="1"/>
  <c r="G104" i="28" s="1"/>
  <c r="J16" i="6"/>
  <c r="M32" i="5"/>
  <c r="M31" i="5"/>
  <c r="M5" i="5"/>
  <c r="P13" i="5"/>
  <c r="Q31" i="5"/>
  <c r="R31" i="5" s="1"/>
  <c r="Q20" i="5"/>
  <c r="R20" i="5" s="1"/>
  <c r="Q32" i="5"/>
  <c r="R32" i="5" s="1"/>
  <c r="G95" i="28"/>
  <c r="B17" i="10"/>
  <c r="I6" i="2"/>
  <c r="I7" i="2" s="1"/>
  <c r="B40" i="7"/>
  <c r="I22" i="7"/>
  <c r="C43" i="7"/>
  <c r="D43" i="7"/>
  <c r="B43" i="7"/>
  <c r="G98" i="28"/>
  <c r="E57" i="2"/>
  <c r="F53" i="6" l="1"/>
  <c r="G99" i="28" s="1"/>
  <c r="B67" i="5"/>
  <c r="G78" i="28" s="1"/>
  <c r="M26" i="5"/>
  <c r="Q26" i="5" s="1"/>
  <c r="P5" i="5"/>
  <c r="N13" i="5"/>
  <c r="B70" i="5" s="1"/>
  <c r="G82" i="28" s="1"/>
  <c r="N5" i="5"/>
  <c r="P20" i="5"/>
  <c r="F45" i="2"/>
  <c r="G45" i="2"/>
  <c r="Q22" i="11"/>
  <c r="Q23" i="11"/>
  <c r="Q24" i="11"/>
  <c r="B41" i="7"/>
  <c r="C41" i="7"/>
  <c r="D41" i="7"/>
  <c r="B42" i="7"/>
  <c r="C42" i="7"/>
  <c r="D42" i="7"/>
  <c r="C40" i="7"/>
  <c r="D40" i="7"/>
  <c r="G34" i="6"/>
  <c r="H34" i="6"/>
  <c r="F34" i="6"/>
  <c r="G32" i="6"/>
  <c r="H32" i="6"/>
  <c r="F32" i="6"/>
  <c r="B49" i="5"/>
  <c r="B46" i="5"/>
  <c r="B45" i="5"/>
  <c r="E45" i="2"/>
  <c r="F43" i="2"/>
  <c r="G43" i="2"/>
  <c r="E43" i="2"/>
  <c r="F41" i="2"/>
  <c r="G41" i="2"/>
  <c r="E41" i="2"/>
  <c r="E36" i="2"/>
  <c r="F36" i="2"/>
  <c r="E37" i="2"/>
  <c r="F37" i="2"/>
  <c r="G37" i="2"/>
  <c r="E38" i="2"/>
  <c r="F38" i="2"/>
  <c r="G38" i="2"/>
  <c r="E39" i="2"/>
  <c r="F39" i="2"/>
  <c r="G39" i="2"/>
  <c r="F54" i="6" l="1"/>
  <c r="G100" i="28" s="1"/>
  <c r="K7" i="5"/>
  <c r="K8" i="5"/>
  <c r="J36" i="11"/>
  <c r="C50" i="11" s="1"/>
  <c r="J37" i="11"/>
  <c r="C51" i="11" s="1"/>
  <c r="O5" i="5" l="1"/>
  <c r="R3" i="5"/>
  <c r="P8" i="5"/>
  <c r="J15" i="11"/>
  <c r="B45" i="11" s="1"/>
  <c r="F15" i="11"/>
  <c r="J16" i="11"/>
  <c r="J17" i="11"/>
  <c r="D45" i="11" s="1"/>
  <c r="F17" i="11"/>
  <c r="D48" i="11" s="1"/>
  <c r="F16" i="11"/>
  <c r="C48" i="11" s="1"/>
  <c r="B19" i="11"/>
  <c r="C46" i="11" s="1"/>
  <c r="Q5" i="5" l="1"/>
  <c r="B59" i="11"/>
  <c r="O4" i="5"/>
  <c r="C45" i="11"/>
  <c r="B48" i="11"/>
  <c r="C49" i="11"/>
  <c r="Q30" i="5"/>
  <c r="R30" i="5" s="1"/>
  <c r="P16" i="5"/>
  <c r="Q8" i="5"/>
  <c r="R8" i="5" s="1"/>
  <c r="R5" i="5" l="1"/>
  <c r="Q27" i="5"/>
  <c r="R27" i="5" s="1"/>
  <c r="Q16" i="5"/>
  <c r="R16" i="5" s="1"/>
  <c r="O14" i="5"/>
  <c r="P15" i="5"/>
  <c r="Q29" i="5"/>
  <c r="R29" i="5" s="1"/>
  <c r="Q28" i="5"/>
  <c r="R28" i="5" s="1"/>
  <c r="R6" i="5"/>
  <c r="P17" i="5"/>
  <c r="E62" i="5" l="1"/>
  <c r="P9" i="5"/>
  <c r="P7" i="5"/>
  <c r="Q14" i="5"/>
  <c r="R14" i="5" s="1"/>
  <c r="O15" i="5"/>
  <c r="O17" i="5"/>
  <c r="O13" i="5"/>
  <c r="Q7" i="5"/>
  <c r="R7" i="5" s="1"/>
  <c r="G115" i="7"/>
  <c r="G111" i="7"/>
  <c r="G99" i="7"/>
  <c r="P19" i="5" l="1"/>
  <c r="O9" i="5"/>
  <c r="Q13" i="5"/>
  <c r="Q17" i="5"/>
  <c r="R17" i="5" s="1"/>
  <c r="Q15" i="5"/>
  <c r="R15" i="5" s="1"/>
  <c r="G102" i="7"/>
  <c r="C107" i="7"/>
  <c r="J74" i="7"/>
  <c r="G75" i="7" s="1"/>
  <c r="G72" i="7"/>
  <c r="G74" i="7" s="1"/>
  <c r="G79" i="7" s="1"/>
  <c r="G71" i="7"/>
  <c r="G73" i="7" s="1"/>
  <c r="B60" i="5" l="1"/>
  <c r="G74" i="28" s="1"/>
  <c r="E71" i="5"/>
  <c r="O19" i="5"/>
  <c r="Q9" i="5"/>
  <c r="R9" i="5" s="1"/>
  <c r="R13" i="5"/>
  <c r="H20" i="7"/>
  <c r="C88" i="7"/>
  <c r="G87" i="7"/>
  <c r="G84" i="7"/>
  <c r="C80" i="7"/>
  <c r="C73" i="7"/>
  <c r="C74" i="7" s="1"/>
  <c r="G70" i="7"/>
  <c r="K18" i="7"/>
  <c r="K6" i="7"/>
  <c r="K5" i="7"/>
  <c r="L42" i="2"/>
  <c r="I5" i="2"/>
  <c r="I13" i="2" s="1"/>
  <c r="E65" i="2" s="1"/>
  <c r="I4" i="2"/>
  <c r="E61" i="2" s="1"/>
  <c r="I3" i="2"/>
  <c r="E60" i="2" s="1"/>
  <c r="Q19" i="5" l="1"/>
  <c r="R19" i="5" s="1"/>
  <c r="I32" i="3"/>
  <c r="L4" i="2"/>
  <c r="M4" i="2" s="1"/>
  <c r="L3" i="2"/>
  <c r="M3" i="2" s="1"/>
  <c r="M9" i="2" s="1"/>
  <c r="K5" i="2"/>
  <c r="G103" i="7"/>
  <c r="G114" i="7"/>
  <c r="G116" i="7"/>
  <c r="G104" i="7"/>
  <c r="L18" i="7"/>
  <c r="K12" i="7"/>
  <c r="L12" i="7" s="1"/>
  <c r="M12" i="7" s="1"/>
  <c r="L6" i="7"/>
  <c r="M6" i="7" s="1"/>
  <c r="I14" i="2"/>
  <c r="E66" i="2" s="1"/>
  <c r="I15" i="2"/>
  <c r="E67" i="2" s="1"/>
  <c r="R21" i="5" l="1"/>
  <c r="I37" i="3"/>
  <c r="G5" i="3"/>
  <c r="H5" i="3" s="1"/>
  <c r="L5" i="2"/>
  <c r="M5" i="2" s="1"/>
  <c r="L16" i="2"/>
  <c r="G117" i="7"/>
  <c r="G118" i="7" s="1"/>
  <c r="C87" i="7" s="1"/>
  <c r="G6" i="3"/>
  <c r="H6" i="3" s="1"/>
  <c r="L35" i="2"/>
  <c r="L37" i="2" s="1"/>
  <c r="L34" i="2"/>
  <c r="L36" i="2" s="1"/>
  <c r="L41" i="2"/>
  <c r="L43" i="2"/>
  <c r="L13" i="2"/>
  <c r="M13" i="2" s="1"/>
  <c r="G105" i="7"/>
  <c r="G106" i="7" s="1"/>
  <c r="L15" i="2"/>
  <c r="M15" i="2" s="1"/>
  <c r="L14" i="2"/>
  <c r="M14" i="2" s="1"/>
  <c r="F55" i="6" l="1"/>
  <c r="K6" i="6"/>
  <c r="F62" i="6" s="1"/>
  <c r="G105" i="28" s="1"/>
  <c r="K7" i="6"/>
  <c r="I33" i="3"/>
  <c r="M16" i="2"/>
  <c r="L33" i="2" s="1"/>
  <c r="J7" i="2"/>
  <c r="K7" i="2" s="1"/>
  <c r="J6" i="2"/>
  <c r="K6" i="2" s="1"/>
  <c r="N17" i="6"/>
  <c r="G20" i="7"/>
  <c r="F63" i="6" l="1"/>
  <c r="G106" i="28" s="1"/>
  <c r="L7" i="6"/>
  <c r="G101" i="28"/>
  <c r="F56" i="6"/>
  <c r="G102" i="28" s="1"/>
  <c r="L6" i="6"/>
  <c r="K21" i="7"/>
  <c r="L21" i="7" s="1"/>
  <c r="L7" i="7"/>
  <c r="L7" i="2"/>
  <c r="E64" i="2"/>
  <c r="L6" i="2"/>
  <c r="M6" i="2" s="1"/>
  <c r="E63" i="2"/>
  <c r="K19" i="7"/>
  <c r="I20" i="7"/>
  <c r="M5" i="6"/>
  <c r="M16" i="6"/>
  <c r="N16" i="6" s="1"/>
  <c r="M7" i="6" l="1"/>
  <c r="M6" i="6"/>
  <c r="M7" i="7"/>
  <c r="K22" i="7"/>
  <c r="L22" i="7" s="1"/>
  <c r="K8" i="6"/>
  <c r="E22" i="2"/>
  <c r="L44" i="2" s="1"/>
  <c r="M7" i="2"/>
  <c r="K9" i="6"/>
  <c r="L32" i="2"/>
  <c r="K11" i="7"/>
  <c r="L10" i="7"/>
  <c r="M10" i="7" s="1"/>
  <c r="L19" i="7"/>
  <c r="L9" i="7"/>
  <c r="M9" i="7" s="1"/>
  <c r="K20" i="7"/>
  <c r="L20" i="7" s="1"/>
  <c r="L8" i="7"/>
  <c r="L9" i="6" l="1"/>
  <c r="M9" i="6" s="1"/>
  <c r="F65" i="6"/>
  <c r="G108" i="28" s="1"/>
  <c r="L8" i="6"/>
  <c r="M8" i="6" s="1"/>
  <c r="F64" i="6"/>
  <c r="G107" i="28" s="1"/>
  <c r="M22" i="7"/>
  <c r="M20" i="7"/>
  <c r="M8" i="7"/>
  <c r="L11" i="7"/>
  <c r="M11" i="7" l="1"/>
  <c r="M13" i="7" s="1"/>
  <c r="E54" i="7" l="1"/>
  <c r="G76" i="7"/>
  <c r="C100" i="7" l="1"/>
  <c r="C83" i="7"/>
  <c r="C81" i="7"/>
  <c r="C110" i="7"/>
  <c r="C102" i="7"/>
  <c r="H21" i="7" s="1"/>
  <c r="H19" i="7"/>
  <c r="G21" i="7"/>
  <c r="C45" i="7" l="1"/>
  <c r="I21" i="7"/>
  <c r="I19" i="7"/>
  <c r="M19" i="7" s="1"/>
  <c r="I18" i="7"/>
  <c r="M18" i="7" s="1"/>
  <c r="M21" i="7" l="1"/>
  <c r="E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H4" authorId="0" shapeId="0" xr:uid="{F93ED6A4-3BA1-488E-8EAE-631316D7E22C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H15" authorId="0" shapeId="0" xr:uid="{420A35C0-FA55-42E2-B8AD-8A7F80FC76C8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G2" authorId="0" shapeId="0" xr:uid="{E7E2C0B6-8246-4237-BE7A-7CD9DB5A99A9}">
      <text>
        <r>
          <rPr>
            <b/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M4" authorId="0" shapeId="0" xr:uid="{AAB64C33-75AD-4DFA-8A11-9280B4E01460}">
      <text>
        <r>
          <rPr>
            <b/>
            <sz val="9"/>
            <color indexed="81"/>
            <rFont val="Tahoma"/>
            <family val="2"/>
          </rPr>
          <t>15 hydrocyclones --&gt; energy * 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D4" authorId="0" shapeId="0" xr:uid="{AC7F49D3-11AF-49DF-8909-AA541A98F670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  <author>tc={6E055B4E-A101-4DB4-91F6-24B7BB573A9E}</author>
  </authors>
  <commentList>
    <comment ref="I4" authorId="0" shapeId="0" xr:uid="{303C0D3A-751C-42D4-90BC-0D575A7F728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I17" authorId="0" shapeId="0" xr:uid="{F529E143-48BE-4FC7-AE84-13508CA854D1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E53" authorId="1" shapeId="0" xr:uid="{6E055B4E-A101-4DB4-91F6-24B7BB573A9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 content of white flakes assumed as 52.5% fm. Could also be varied between 50-55%.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K2" authorId="0" shapeId="0" xr:uid="{5B16FC4F-DBA8-494E-925C-43FCCDB6982D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A7" authorId="0" shapeId="0" xr:uid="{E50C6E00-C8F2-4F57-995D-A7AD009C6347}">
      <text>
        <r>
          <rPr>
            <b/>
            <sz val="9"/>
            <color indexed="81"/>
            <rFont val="Tahoma"/>
            <family val="2"/>
          </rPr>
          <t>No information found for Gluten HP process but protein content probably similar to Alfa-lavel process</t>
        </r>
      </text>
    </comment>
    <comment ref="C7" authorId="0" shapeId="0" xr:uid="{A5C2A7DA-7166-444C-B409-05683DFB4587}">
      <text>
        <r>
          <rPr>
            <sz val="9"/>
            <color indexed="81"/>
            <rFont val="Tahoma"/>
            <family val="2"/>
          </rPr>
          <t>Calculated from 80-82.2%dm gluten content via 5% moisture content in gluten</t>
        </r>
      </text>
    </comment>
    <comment ref="C12" authorId="0" shapeId="0" xr:uid="{97152686-8FBF-40E9-AF1F-042999070F00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D12" authorId="0" shapeId="0" xr:uid="{E88BBF2E-5A16-4166-B502-F7CF7D1104AE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E12" authorId="0" shapeId="0" xr:uid="{F5732AD1-377B-4B53-B383-72351E923706}">
      <text>
        <r>
          <rPr>
            <b/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C21" authorId="0" shapeId="0" xr:uid="{9C296868-615F-437F-A02A-8E97430CE4AE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F21" authorId="0" shapeId="0" xr:uid="{7BFFE283-B9A4-4EFB-8698-9DA3EC5DB8D1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K25" authorId="0" shapeId="0" xr:uid="{03EC5416-C086-409A-A402-6819300F39E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D53" authorId="0" shapeId="0" xr:uid="{0BB2207C-5031-4523-B043-79C3907F698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sharedStrings.xml><?xml version="1.0" encoding="utf-8"?>
<sst xmlns="http://schemas.openxmlformats.org/spreadsheetml/2006/main" count="3114" uniqueCount="1075">
  <si>
    <t>Outputs</t>
  </si>
  <si>
    <t>Inputs</t>
  </si>
  <si>
    <t>Heat kJ</t>
  </si>
  <si>
    <t>-</t>
  </si>
  <si>
    <t>Agrifootprint</t>
  </si>
  <si>
    <t>Vibrating screen</t>
  </si>
  <si>
    <t>Output</t>
  </si>
  <si>
    <t>Input</t>
  </si>
  <si>
    <t>Mean</t>
  </si>
  <si>
    <t>Pea protein isolate</t>
  </si>
  <si>
    <t>Pea flour kg</t>
  </si>
  <si>
    <t>Pea protein isolate kg</t>
  </si>
  <si>
    <t>Pea fibers kg</t>
  </si>
  <si>
    <t>Pea starch kg</t>
  </si>
  <si>
    <t>Electricity kWh</t>
  </si>
  <si>
    <t>Water vapor m3</t>
  </si>
  <si>
    <t>Electricity consumption</t>
  </si>
  <si>
    <t>min</t>
  </si>
  <si>
    <t>max</t>
  </si>
  <si>
    <t>Unit</t>
  </si>
  <si>
    <t>Mixing</t>
  </si>
  <si>
    <t>kJ / kg</t>
  </si>
  <si>
    <t>mean</t>
  </si>
  <si>
    <t>kJ</t>
  </si>
  <si>
    <t>Vacuum drum filter</t>
  </si>
  <si>
    <t>Centrifugal decanter (fiber)</t>
  </si>
  <si>
    <t>Centrifugal decanter (whey)</t>
  </si>
  <si>
    <t>Ring dryer fiber</t>
  </si>
  <si>
    <t>Ring dryer starch</t>
  </si>
  <si>
    <t>Spray dryer protein</t>
  </si>
  <si>
    <t>sd</t>
  </si>
  <si>
    <t>Protein content (%)</t>
  </si>
  <si>
    <t>(without whey recovery)</t>
  </si>
  <si>
    <t>Heating (precipitation)</t>
  </si>
  <si>
    <t>Pea protein concentrate</t>
  </si>
  <si>
    <t>(dry fractionation)</t>
  </si>
  <si>
    <t>NaOH 10% (l)</t>
  </si>
  <si>
    <t>HCl 10% (l)</t>
  </si>
  <si>
    <t>Hydrocyclone (x15)</t>
  </si>
  <si>
    <t>Recovery (%): Patents roquette</t>
  </si>
  <si>
    <t xml:space="preserve">Recovery (%): </t>
  </si>
  <si>
    <t>Protein-rich fraction kg</t>
  </si>
  <si>
    <t>Starch-rich fraction kg</t>
  </si>
  <si>
    <t>kJ / l</t>
  </si>
  <si>
    <t>Input in kg per kg pea flour</t>
  </si>
  <si>
    <t>Wheat gluten</t>
  </si>
  <si>
    <t>Wheat flour kg</t>
  </si>
  <si>
    <t>Wheat A starch kg</t>
  </si>
  <si>
    <t>Wheat B starch kg</t>
  </si>
  <si>
    <t>Wheat gluten kg</t>
  </si>
  <si>
    <t xml:space="preserve">Gluten Recovery (%): </t>
  </si>
  <si>
    <t xml:space="preserve">A starch Recovery (%): </t>
  </si>
  <si>
    <t>B starch Recovery (%)</t>
  </si>
  <si>
    <t>Sayaslan</t>
  </si>
  <si>
    <t>(HP disintegration process)</t>
  </si>
  <si>
    <t>80-85</t>
  </si>
  <si>
    <t xml:space="preserve"> 8-12</t>
  </si>
  <si>
    <t>Barr patent</t>
  </si>
  <si>
    <t>Soy protein isolate</t>
  </si>
  <si>
    <t>(Isoelectric precipitation)</t>
  </si>
  <si>
    <t>White flakes kg</t>
  </si>
  <si>
    <t>NaOH (10%) l</t>
  </si>
  <si>
    <t>HCl (10%) l</t>
  </si>
  <si>
    <t xml:space="preserve">Protein Recovery (%): </t>
  </si>
  <si>
    <t>Soy protein concentrate</t>
  </si>
  <si>
    <t>(Alcohol wash)</t>
  </si>
  <si>
    <t>Molasses</t>
  </si>
  <si>
    <t>Protein concentrate</t>
  </si>
  <si>
    <t>Ethanol (95%) l</t>
  </si>
  <si>
    <t>62-69</t>
  </si>
  <si>
    <t>90-95</t>
  </si>
  <si>
    <t>59-61</t>
  </si>
  <si>
    <t>Protein content (%) (%dm)</t>
  </si>
  <si>
    <t>Water holding capacity SPC:</t>
  </si>
  <si>
    <t>2.6g/g</t>
  </si>
  <si>
    <t>Water</t>
  </si>
  <si>
    <t>Witt et al.</t>
  </si>
  <si>
    <t xml:space="preserve"> --&gt; based on material flows</t>
  </si>
  <si>
    <t>Decanting centrifuge</t>
  </si>
  <si>
    <t>Decanting centrifuge (flakes)</t>
  </si>
  <si>
    <t>Decanting centrifuge (whey)</t>
  </si>
  <si>
    <t>Decanting centrifuge (protein)</t>
  </si>
  <si>
    <t>Heating</t>
  </si>
  <si>
    <t>Input in kg per kg white flakes</t>
  </si>
  <si>
    <t>Extractor</t>
  </si>
  <si>
    <t>Evaporation (Ethanol)</t>
  </si>
  <si>
    <t>Evaporation (Water)</t>
  </si>
  <si>
    <t>Pressing</t>
  </si>
  <si>
    <t>Desolventization</t>
  </si>
  <si>
    <t>Solvent recovery</t>
  </si>
  <si>
    <t>Vacuum drying</t>
  </si>
  <si>
    <t>Grinding</t>
  </si>
  <si>
    <t>Soaking</t>
  </si>
  <si>
    <t>Heating soaking (50C)</t>
  </si>
  <si>
    <t>Molecular mass ethanol [g/mol]:</t>
  </si>
  <si>
    <t>Molecular mass water [g/mol]:</t>
  </si>
  <si>
    <t>Mass ratio [kg ethanol / kg water]:</t>
  </si>
  <si>
    <t>Molecular mass 60% ethanol [g/mol]:</t>
  </si>
  <si>
    <t>Molar mass hexane [g/mol]:</t>
  </si>
  <si>
    <t>Heat capacity hexane [J/(molK)]:</t>
  </si>
  <si>
    <t>Enthalpy of evaporation hexane [kJ/mol]:</t>
  </si>
  <si>
    <t>Enthalpy of evaporation hexane [kJ/kg]:</t>
  </si>
  <si>
    <t>Boiling point hexane [degrees C]:</t>
  </si>
  <si>
    <t>T (K)</t>
  </si>
  <si>
    <t>Cp</t>
  </si>
  <si>
    <t>Ethanol-Water Heat Capacity - SpringerMaterials</t>
  </si>
  <si>
    <t>Thermodynamic parameters</t>
  </si>
  <si>
    <t>Solvent per flaked beans</t>
  </si>
  <si>
    <t>kg</t>
  </si>
  <si>
    <t>Concentration solvent in meal</t>
  </si>
  <si>
    <t>Flaked beans:</t>
  </si>
  <si>
    <t>Hexane</t>
  </si>
  <si>
    <t>Miscella</t>
  </si>
  <si>
    <t>Meal</t>
  </si>
  <si>
    <t>Hexane in meal</t>
  </si>
  <si>
    <t>Hexane in miscella</t>
  </si>
  <si>
    <t>Heat capacity hexane [kJ/(kgK)]:</t>
  </si>
  <si>
    <t>Steam use evaporation</t>
  </si>
  <si>
    <t>kJ/kg hexane</t>
  </si>
  <si>
    <t>Electricity use evaporation</t>
  </si>
  <si>
    <t>Steam use desolventization</t>
  </si>
  <si>
    <t>Electricity use desolventization</t>
  </si>
  <si>
    <t>60% Ethanol</t>
  </si>
  <si>
    <t>Temperature difference process to boiling:</t>
  </si>
  <si>
    <t>degrees C</t>
  </si>
  <si>
    <t>Heat capacity water [kJ/(kgK)]</t>
  </si>
  <si>
    <t>Enthalpy of evaporation water [kJ/kg]</t>
  </si>
  <si>
    <t>kJ/kg water</t>
  </si>
  <si>
    <t>T difference boiling point ethanol and water</t>
  </si>
  <si>
    <t>kJ / kg solids</t>
  </si>
  <si>
    <t xml:space="preserve">T defference room to process </t>
  </si>
  <si>
    <t>Steam use heating</t>
  </si>
  <si>
    <t>kJ/kg 60% ethanol</t>
  </si>
  <si>
    <t>Flottweg</t>
  </si>
  <si>
    <t>DM content spray drier input (industry):</t>
  </si>
  <si>
    <t>Heat consumption</t>
  </si>
  <si>
    <t>Water consumption</t>
  </si>
  <si>
    <t>Literature mass flows:</t>
  </si>
  <si>
    <t>Geerts et al. 2018</t>
  </si>
  <si>
    <t>Patents Roquette</t>
  </si>
  <si>
    <t>Industry information:</t>
  </si>
  <si>
    <t>Alfa-laval</t>
  </si>
  <si>
    <t>GEA (spray drying)</t>
  </si>
  <si>
    <t>SiccaDania</t>
  </si>
  <si>
    <t>Allotey et al. 2022</t>
  </si>
  <si>
    <t>Schutyser et al. 2011</t>
  </si>
  <si>
    <t>Lie-Piang et al. 2021</t>
  </si>
  <si>
    <t>FAO website</t>
  </si>
  <si>
    <t>Allotey et al. 2024</t>
  </si>
  <si>
    <t>Patent Hayes et al. 1973</t>
  </si>
  <si>
    <t>Patent Campbell et al. 1981</t>
  </si>
  <si>
    <t>Crown iron works</t>
  </si>
  <si>
    <t>Desmet</t>
  </si>
  <si>
    <t>Experiment pressing:</t>
  </si>
  <si>
    <t>TS before:</t>
  </si>
  <si>
    <t>TS after sieving 1:</t>
  </si>
  <si>
    <t>TS after sieving 2:</t>
  </si>
  <si>
    <t>TS after sieving 3:</t>
  </si>
  <si>
    <t>TS after sieving mean:</t>
  </si>
  <si>
    <t>TS after sieving sd:</t>
  </si>
  <si>
    <t>TS after pressing 1:</t>
  </si>
  <si>
    <t>TS after pressing 2:</t>
  </si>
  <si>
    <t>TS after pressing 3:</t>
  </si>
  <si>
    <t>TS after pressing mean:</t>
  </si>
  <si>
    <t>TS after presssing sd:</t>
  </si>
  <si>
    <t>kJ/kg 60 %ethanol</t>
  </si>
  <si>
    <t>Molecular mass 80% ethanol [g/mol]:</t>
  </si>
  <si>
    <t>Molecular ratio 60% ethanol [mol ethanol / mol water]:</t>
  </si>
  <si>
    <t>Molecular ratio 80% ethanol [mol ethanol / mol water]:</t>
  </si>
  <si>
    <t>Boiling point 60% ethanol [degrees C]:</t>
  </si>
  <si>
    <t>Enthalpy of evaporation 80% ethanol [kJ/mol] ~:</t>
  </si>
  <si>
    <t>Enthalpy of evaporation 80% ethanol [kJ/kg]:</t>
  </si>
  <si>
    <t>Source:</t>
  </si>
  <si>
    <t>Evaporation for 80%EtOH because of conc in gaseous phase</t>
  </si>
  <si>
    <t>Kessler p. 230</t>
  </si>
  <si>
    <t>Heat capacity 60% ethanol 25-50 degrees [J/(Kmol)]:</t>
  </si>
  <si>
    <t>Heat capacity 60% ethanol (25-50 degrees) [kJ/(Kkg)]:</t>
  </si>
  <si>
    <t>Correction factor for losses in indirect steam use:</t>
  </si>
  <si>
    <t>(recovered heat)</t>
  </si>
  <si>
    <t>Mass soybeans:</t>
  </si>
  <si>
    <t>Mass hexane:</t>
  </si>
  <si>
    <t>Energy heating soybeans:</t>
  </si>
  <si>
    <t>Energy heating hexane:</t>
  </si>
  <si>
    <t>Heat capacity of solids (soybeans) [kJ/(kgK)] ~:</t>
  </si>
  <si>
    <t>Energy hexane evaporation:</t>
  </si>
  <si>
    <t>kJ/h</t>
  </si>
  <si>
    <t>kg/h</t>
  </si>
  <si>
    <t>Energy use desolventizer-toaster effectively reported:</t>
  </si>
  <si>
    <t>Desolvenitzation</t>
  </si>
  <si>
    <t>Energy use evaporators effectively reported:</t>
  </si>
  <si>
    <t>Mass oil:</t>
  </si>
  <si>
    <t>Energy heating oil:</t>
  </si>
  <si>
    <t>Heat capacity soybean oil [kJ/(kgK)]</t>
  </si>
  <si>
    <t>Pumping</t>
  </si>
  <si>
    <t>%</t>
  </si>
  <si>
    <t>Cleaning</t>
  </si>
  <si>
    <t>Dehulling</t>
  </si>
  <si>
    <t>Dehulled peas kg</t>
  </si>
  <si>
    <t>Hulls kg</t>
  </si>
  <si>
    <t>Losses kg</t>
  </si>
  <si>
    <t>Classifier mill (Micronization)</t>
  </si>
  <si>
    <t>Air classifier (Fractionation)</t>
  </si>
  <si>
    <t>Side streams kg</t>
  </si>
  <si>
    <t>Waste kg</t>
  </si>
  <si>
    <t>Wheat kg</t>
  </si>
  <si>
    <t>Wastewater m3</t>
  </si>
  <si>
    <t>Dehulled soy kg</t>
  </si>
  <si>
    <t>Dried soy kg</t>
  </si>
  <si>
    <t>Dried peas kg</t>
  </si>
  <si>
    <t>Mass balances - for 1 kg of soybean meal</t>
  </si>
  <si>
    <t>Source</t>
  </si>
  <si>
    <t>Soybeans</t>
  </si>
  <si>
    <t>Drying</t>
  </si>
  <si>
    <t>Cracking</t>
  </si>
  <si>
    <t>Conditioning</t>
  </si>
  <si>
    <t>Flaking</t>
  </si>
  <si>
    <t>Extraction</t>
  </si>
  <si>
    <t>Oil recovery</t>
  </si>
  <si>
    <t>Meal recovery</t>
  </si>
  <si>
    <t>Degumming</t>
  </si>
  <si>
    <t>Sheehan et al., 1998</t>
  </si>
  <si>
    <t>Dalgaard et al., 2008</t>
  </si>
  <si>
    <t>E.G. Castanheira et al., 2015</t>
  </si>
  <si>
    <t>Ming-Hsun Cheng et al., 2018</t>
  </si>
  <si>
    <t>OTI. (2010). Life Cycle Impact of Soybean Production and Soy Industrial Products (pp. 1–52).</t>
  </si>
  <si>
    <t>Crushing / defatting soy</t>
  </si>
  <si>
    <t>Hexane use - per 1 kg of soybean meal</t>
  </si>
  <si>
    <t>Netto (kg)</t>
  </si>
  <si>
    <t>FU</t>
  </si>
  <si>
    <t>kg soybean meal</t>
  </si>
  <si>
    <t xml:space="preserve">Energy balances </t>
  </si>
  <si>
    <t>Type of energy</t>
  </si>
  <si>
    <t>Cleaning (kJ/kg)</t>
  </si>
  <si>
    <t>Drying (kJ/kg)</t>
  </si>
  <si>
    <t>Cracking (kJ/kg)</t>
  </si>
  <si>
    <t>Dehulling (kJ/kg)</t>
  </si>
  <si>
    <t>Conditioning (kJ/kg)</t>
  </si>
  <si>
    <t>Flaking (kJ/kg)</t>
  </si>
  <si>
    <t xml:space="preserve"> Oil extraction (kJ/kg)</t>
  </si>
  <si>
    <t>Degumming (kJ/kg)</t>
  </si>
  <si>
    <t>Electricity</t>
  </si>
  <si>
    <t>Oil extraction includes, recovery of oil, meal and hexane</t>
  </si>
  <si>
    <t>Normalized to 1 kg Meal</t>
  </si>
  <si>
    <t>Percentage : Conditioning - Oil extraction</t>
  </si>
  <si>
    <t>Percentage: Cracking - Oil extraction</t>
  </si>
  <si>
    <t>Heat, natural gas</t>
  </si>
  <si>
    <t>Heat, from steam</t>
  </si>
  <si>
    <t>E.G. Castanheira et al., 2015 - Portugal</t>
  </si>
  <si>
    <t>data was collected from two extraction mills</t>
  </si>
  <si>
    <t>Heat(natural gas)</t>
  </si>
  <si>
    <t>Heat(fueloil)</t>
  </si>
  <si>
    <t>Heat</t>
  </si>
  <si>
    <t>Heat, oil</t>
  </si>
  <si>
    <t>Heat, gas</t>
  </si>
  <si>
    <t>Soybean oil kg</t>
  </si>
  <si>
    <t>Electricity demand kWh / kg wheat flour</t>
  </si>
  <si>
    <t>Electricity demand kWh / kg milled peas</t>
  </si>
  <si>
    <t>Hexane emissions kg</t>
  </si>
  <si>
    <t>Hexane kg</t>
  </si>
  <si>
    <t>OTI 2010</t>
  </si>
  <si>
    <t>Water use - per 1 kg of soybean meal</t>
  </si>
  <si>
    <t>Wastewater production - per 1 kg of soybean meal</t>
  </si>
  <si>
    <t>Not mentioned which starting point, but mass balance indicates that input is dehulled soybeans.</t>
  </si>
  <si>
    <t>Not mentioned, which starting point, but mass balance indicates that input is dehulled soybeans. Energy in cells G-I41/42 in green include energy for degumming. In J41/42 the energy for degumming is estimated based on Sheehan. --&gt; for results this is substracted from total energy.</t>
  </si>
  <si>
    <t>76-78</t>
  </si>
  <si>
    <t>Industry websites</t>
  </si>
  <si>
    <t>&gt;75</t>
  </si>
  <si>
    <t>up to 85%</t>
  </si>
  <si>
    <t>Pentosans/solubles kg</t>
  </si>
  <si>
    <t>Homogenisator</t>
  </si>
  <si>
    <t>Tricanter centrifuge</t>
  </si>
  <si>
    <t>Gluten wash</t>
  </si>
  <si>
    <t>Centrifugal sieve (B starch)</t>
  </si>
  <si>
    <t>Centrifugal sieve (A starch)</t>
  </si>
  <si>
    <t>Nozzle centrifuge (A starch)</t>
  </si>
  <si>
    <t>Hydrocyclones</t>
  </si>
  <si>
    <t>Flash drying fibers</t>
  </si>
  <si>
    <t>Input in kg per kg wheat flour</t>
  </si>
  <si>
    <t>Nozzle centrifuge (B starch)</t>
  </si>
  <si>
    <t>Deng et al. 2013</t>
  </si>
  <si>
    <t>Wheat is unique 1989</t>
  </si>
  <si>
    <t>Sayaslan et al. 2014</t>
  </si>
  <si>
    <t>Witt et al. 2000</t>
  </si>
  <si>
    <t>Maningat 2009</t>
  </si>
  <si>
    <t>Flottweg webpage</t>
  </si>
  <si>
    <t>median</t>
  </si>
  <si>
    <t>Electricity mixing (kJ/kg)</t>
  </si>
  <si>
    <t>Electricity hydrocyclone (kJ/kg)</t>
  </si>
  <si>
    <t>Heat ring dryer (kJ/kg)</t>
  </si>
  <si>
    <t>Heat spray dryer (kJ/kg)</t>
  </si>
  <si>
    <t>Number hydrocyclones (-)</t>
  </si>
  <si>
    <t>Protein content out (kg/kg)</t>
  </si>
  <si>
    <t>Protein content in (kg/kg)</t>
  </si>
  <si>
    <t>DM content spray drier input (gdm/g)</t>
  </si>
  <si>
    <t>Output starch (kg/kg)</t>
  </si>
  <si>
    <t>Output fiber (kg/kg)</t>
  </si>
  <si>
    <t>Output whey (kg/kg)</t>
  </si>
  <si>
    <t>Input mixing (kg/kg)</t>
  </si>
  <si>
    <t>Input hydrocyclone (kg/kg)</t>
  </si>
  <si>
    <t>Input ring dryer (starch) (kg/kg)</t>
  </si>
  <si>
    <t>Input ring dryer (fiber) (kg/kg)</t>
  </si>
  <si>
    <t>Input heating (kg/kg)</t>
  </si>
  <si>
    <t>Input spray dryer (kg/kg)</t>
  </si>
  <si>
    <t>Protein recovery (kg/kg)</t>
  </si>
  <si>
    <t>Side streams (kg/kg)</t>
  </si>
  <si>
    <t>Electricity (kJ/kg)</t>
  </si>
  <si>
    <t>Water (l/kg)</t>
  </si>
  <si>
    <t>Waste (kg/kg)</t>
  </si>
  <si>
    <t>Water vapor (l/kg)</t>
  </si>
  <si>
    <t>Electricity classifier mill (kJ/kg)</t>
  </si>
  <si>
    <t>Electricity air classifier (kJ/kg)</t>
  </si>
  <si>
    <t>Electricity pumping (kJ/kJ)</t>
  </si>
  <si>
    <t>Heat flash dryer (kJ/kg)</t>
  </si>
  <si>
    <t>Fiber kg</t>
  </si>
  <si>
    <t>Dm content input (kg/kg)</t>
  </si>
  <si>
    <t>Wastewater (l/kg)</t>
  </si>
  <si>
    <t>Input hydrocyclones (kg/kg)</t>
  </si>
  <si>
    <t>Electricity decanter centrifuge (kJ/kg)</t>
  </si>
  <si>
    <t>Spent flakes kg</t>
  </si>
  <si>
    <t>Protein isolate kg</t>
  </si>
  <si>
    <t>Output spent flakes (kg/kg)</t>
  </si>
  <si>
    <t>Electricity extractor (kJ/kg)</t>
  </si>
  <si>
    <t>Electricity pressing (kJ/kg)</t>
  </si>
  <si>
    <t>Electricity evaporation (kJ/kg)</t>
  </si>
  <si>
    <t>Electricity desolventization (kJ/kg)</t>
  </si>
  <si>
    <t>Electricity solvent recovery (kJ/kg)</t>
  </si>
  <si>
    <t>Electricity grinding (kJ/kg)</t>
  </si>
  <si>
    <t>Heat evaporation (ethanol) (kJ/kg)</t>
  </si>
  <si>
    <t>Heat evaporation (water) (kJ/kg)</t>
  </si>
  <si>
    <t>Heat desolventization (kJ/kg)</t>
  </si>
  <si>
    <t>Output molasses (kg/kg)</t>
  </si>
  <si>
    <t>Ethanol 95% (l/kg)</t>
  </si>
  <si>
    <t>Input soaking (kg/kg)</t>
  </si>
  <si>
    <t>Input extractor (flakes) (kg/kg)</t>
  </si>
  <si>
    <t>Input evaporator water (kg/kg)</t>
  </si>
  <si>
    <t>Input evaporator ethanol (kg/kg)</t>
  </si>
  <si>
    <t>TS after sieving (gTS/g)</t>
  </si>
  <si>
    <t>TS after pressing (gTS/g)</t>
  </si>
  <si>
    <t>Temperature change (C)</t>
  </si>
  <si>
    <t>Waste production - per 1 kg of soybean meal</t>
  </si>
  <si>
    <t>0.002-0.1</t>
  </si>
  <si>
    <t>Oil</t>
  </si>
  <si>
    <t>Economic allocation</t>
  </si>
  <si>
    <t>Castanheira 2015</t>
  </si>
  <si>
    <t>Hulls</t>
  </si>
  <si>
    <t>Allocation:</t>
  </si>
  <si>
    <t>TRIANGLE</t>
  </si>
  <si>
    <t>Float</t>
  </si>
  <si>
    <t>Heat_desolventization</t>
  </si>
  <si>
    <t>Heat_evaporation_water</t>
  </si>
  <si>
    <t>Heat_evaporation_ethanol</t>
  </si>
  <si>
    <t>Electricity_grinding</t>
  </si>
  <si>
    <t>NA</t>
  </si>
  <si>
    <t>FIXED</t>
  </si>
  <si>
    <t>Electricity_solvent_recovery</t>
  </si>
  <si>
    <t>Electricity_desolventization</t>
  </si>
  <si>
    <t>Electricity_evaporation</t>
  </si>
  <si>
    <t>Electricity_pressing</t>
  </si>
  <si>
    <t>Electricity_extractor</t>
  </si>
  <si>
    <t>Heat_flash_drier</t>
  </si>
  <si>
    <t>Electricity_nozzle_centrifuge</t>
  </si>
  <si>
    <t>Electricity_centrifugal_sieve</t>
  </si>
  <si>
    <t>Electricity_homogenisator</t>
  </si>
  <si>
    <t>Electricity_air_classifier</t>
  </si>
  <si>
    <t>Electricity_classifier_mill</t>
  </si>
  <si>
    <t>dm_content_spray_drier</t>
  </si>
  <si>
    <t>Heat_spray_drier</t>
  </si>
  <si>
    <t>Heat_ring_drier</t>
  </si>
  <si>
    <t>Electricity_pumping</t>
  </si>
  <si>
    <t>Electricity_centrifugal_decanter</t>
  </si>
  <si>
    <t>Electricity_vacuum_drum_filter</t>
  </si>
  <si>
    <t>Electricity_hydrocyclone</t>
  </si>
  <si>
    <t>Electricity_mixing</t>
  </si>
  <si>
    <t>SPC_ts_pressing</t>
  </si>
  <si>
    <t>SPC_ts_sieving</t>
  </si>
  <si>
    <t>SPC_dm_input</t>
  </si>
  <si>
    <t>SPC_protein_recovery</t>
  </si>
  <si>
    <t>SPC_protein_in</t>
  </si>
  <si>
    <t>SPC_protein_out</t>
  </si>
  <si>
    <t>SPI_temperature</t>
  </si>
  <si>
    <t>SPI_dm_input</t>
  </si>
  <si>
    <t>SPI_protein_recovery</t>
  </si>
  <si>
    <t>SPI_protein_in</t>
  </si>
  <si>
    <t>SPI_protein_out</t>
  </si>
  <si>
    <t>Wheat_gluten_temperature</t>
  </si>
  <si>
    <t>Wheat_gluten_num_hydrocyclones</t>
  </si>
  <si>
    <t>Wheat_gluten_protein_recovery</t>
  </si>
  <si>
    <t>Wheat_gluten_protein_in</t>
  </si>
  <si>
    <t>Wheat_gluten_protein_out</t>
  </si>
  <si>
    <t>PPC_protein_recovery</t>
  </si>
  <si>
    <t>PPC_protein_out</t>
  </si>
  <si>
    <t>PPC_protein_in</t>
  </si>
  <si>
    <t>PPI_temperature</t>
  </si>
  <si>
    <t>PPI_num_hydrocyclones</t>
  </si>
  <si>
    <t>PPI_protein_recovery</t>
  </si>
  <si>
    <t>PPI_protein_in</t>
  </si>
  <si>
    <t>PPI_protein_out</t>
  </si>
  <si>
    <t>Soy_defatting_heat</t>
  </si>
  <si>
    <t>Soy_defatting_electricity</t>
  </si>
  <si>
    <t>Soy_defatting_water</t>
  </si>
  <si>
    <t>Soy_defatting_input</t>
  </si>
  <si>
    <t>Soy_defatting_hexane</t>
  </si>
  <si>
    <t>Soy_defatting_wastewater</t>
  </si>
  <si>
    <t>Soy_defatting_oil_production</t>
  </si>
  <si>
    <t>Wheat_milling_waste</t>
  </si>
  <si>
    <t>Wheat_milling_wastewater</t>
  </si>
  <si>
    <t>Wheat_milling_water</t>
  </si>
  <si>
    <t>Wheat_milling_electricity</t>
  </si>
  <si>
    <t>Wheat_milling_side_streams</t>
  </si>
  <si>
    <t>Pea_milling_allocation</t>
  </si>
  <si>
    <t>Pea_milling_electricity</t>
  </si>
  <si>
    <t>Pea_milling_losses</t>
  </si>
  <si>
    <t>Soy_dehulling_electricity</t>
  </si>
  <si>
    <t>Pea_dehulling_electricity</t>
  </si>
  <si>
    <t>Pea_dehulling_losses</t>
  </si>
  <si>
    <t>Distribution</t>
  </si>
  <si>
    <t>Type</t>
  </si>
  <si>
    <t>Name</t>
  </si>
  <si>
    <t>Process</t>
  </si>
  <si>
    <t>Formula</t>
  </si>
  <si>
    <t>Energy consumption parameters</t>
  </si>
  <si>
    <t>Flow</t>
  </si>
  <si>
    <t>Pea_dehulling_hulls</t>
  </si>
  <si>
    <t>Soy_dehulling_price_ratio</t>
  </si>
  <si>
    <t>Price ratio peas:hulls</t>
  </si>
  <si>
    <t>Pea_dehulling_price_ratio</t>
  </si>
  <si>
    <t>Wheat_milling_price_ratio</t>
  </si>
  <si>
    <t>Price ratio protein:starch</t>
  </si>
  <si>
    <t>PPI_price_ratio</t>
  </si>
  <si>
    <t>PPC_price_ratio</t>
  </si>
  <si>
    <t>Wheat_gluten_price_ratio_A_starch</t>
  </si>
  <si>
    <t>SPC_price_ratio</t>
  </si>
  <si>
    <t>Crop</t>
  </si>
  <si>
    <t>Pea</t>
  </si>
  <si>
    <t>kWh</t>
  </si>
  <si>
    <t>electricity_mix</t>
  </si>
  <si>
    <t>input_crop</t>
  </si>
  <si>
    <t>dehulling_allocation</t>
  </si>
  <si>
    <t>milling_allocation</t>
  </si>
  <si>
    <t>dehulling</t>
  </si>
  <si>
    <t>milling</t>
  </si>
  <si>
    <t>protein_isolation</t>
  </si>
  <si>
    <t>tap_water</t>
  </si>
  <si>
    <t>heat_mix</t>
  </si>
  <si>
    <t>hydrochloric_acid</t>
  </si>
  <si>
    <t>sodium_hydroxide</t>
  </si>
  <si>
    <t>MJ</t>
  </si>
  <si>
    <t>m3</t>
  </si>
  <si>
    <t>protein_concentration</t>
  </si>
  <si>
    <t>Wheat</t>
  </si>
  <si>
    <t>isolation_allocation</t>
  </si>
  <si>
    <t>concentration_allocation</t>
  </si>
  <si>
    <t>gluten_allocation</t>
  </si>
  <si>
    <t>Soy</t>
  </si>
  <si>
    <t>defatting</t>
  </si>
  <si>
    <t>defatting_allocation</t>
  </si>
  <si>
    <t>hexane_emissions</t>
  </si>
  <si>
    <t>Pea flour (dry peas) protein content (%fs):</t>
  </si>
  <si>
    <t>Protein content (%fs)</t>
  </si>
  <si>
    <t>Protein content (%dm) wheat flour:</t>
  </si>
  <si>
    <t>Protein content (%fs) soy white flakes:</t>
  </si>
  <si>
    <t>52-54</t>
  </si>
  <si>
    <t>Protein content (%dm) soy white flakes:</t>
  </si>
  <si>
    <t>51-60</t>
  </si>
  <si>
    <t>PPI_starch_output</t>
  </si>
  <si>
    <t>PPI_fiber_output</t>
  </si>
  <si>
    <t>PPI_whey_output</t>
  </si>
  <si>
    <t>PPI_water_input</t>
  </si>
  <si>
    <t>PPI_HCl_input</t>
  </si>
  <si>
    <t>PPI_NaOH_input</t>
  </si>
  <si>
    <t>PPI_mass_flow_mixing</t>
  </si>
  <si>
    <t>PPI_mass_flow_vacuum_drum_filter</t>
  </si>
  <si>
    <t>PPI_mass_flow_hydrocyclone</t>
  </si>
  <si>
    <t>PPI_mass_flow_centrifugal_decanter_whey</t>
  </si>
  <si>
    <t>PPI_mass_flow_centrifugal_decanter_fiber</t>
  </si>
  <si>
    <t>PPI_mass_flow_heating</t>
  </si>
  <si>
    <t>PPI_mass_flow_ring_drier_starch</t>
  </si>
  <si>
    <t>PPI_mass_flow_ring_drier_fiber</t>
  </si>
  <si>
    <t>HCl 30% (l) (ecoinvent process)</t>
  </si>
  <si>
    <t>NaOH 50% (l) (ecoinvent process)</t>
  </si>
  <si>
    <t>HCl (30%) (l/kg)</t>
  </si>
  <si>
    <t>NaOH (50%) (l/kg)</t>
  </si>
  <si>
    <t>Wheat_gluten_fiber</t>
  </si>
  <si>
    <t>Wheat_gluten_pentosans</t>
  </si>
  <si>
    <t>Wheat_gluten_water_input</t>
  </si>
  <si>
    <t>Wheat_gluten_wastewater</t>
  </si>
  <si>
    <t>Wheat_gluten_mass_flow_mixing</t>
  </si>
  <si>
    <t>Wheat_gluten_mass_flow_centrifugal_sieve_B_starch</t>
  </si>
  <si>
    <t>Wheat_gluten_mass_flow_hydrocyclones</t>
  </si>
  <si>
    <t>Wheat_gluten_mass_flow_heating</t>
  </si>
  <si>
    <t>Soy_defatting_price_ratio</t>
  </si>
  <si>
    <t>SPI_price_ratio_spent_flakes</t>
  </si>
  <si>
    <t>SPI_spent_flakes</t>
  </si>
  <si>
    <t>SPI_whey</t>
  </si>
  <si>
    <t>SPI_HCl_input</t>
  </si>
  <si>
    <t>SPI_NaOH_input</t>
  </si>
  <si>
    <t>SPI_heating</t>
  </si>
  <si>
    <t>ethanol</t>
  </si>
  <si>
    <t>SPC_output_molasses</t>
  </si>
  <si>
    <t>SPC_water_input</t>
  </si>
  <si>
    <t>SPC_ethanol_input</t>
  </si>
  <si>
    <t>SPC_mass_flow_soaking</t>
  </si>
  <si>
    <t>SPC_mass_flow_extractor</t>
  </si>
  <si>
    <t>SPC_mass_flow_evaporator_ethanol</t>
  </si>
  <si>
    <t>SPC_mass_flow_evaporator_water</t>
  </si>
  <si>
    <t>Heat_vacuum_drier</t>
  </si>
  <si>
    <t>Heat vacuum drying (kJ/kg)</t>
  </si>
  <si>
    <t>Heating (kJ/kg)</t>
  </si>
  <si>
    <t>SPC_energy_heating</t>
  </si>
  <si>
    <t>hexane</t>
  </si>
  <si>
    <t>wastewater</t>
  </si>
  <si>
    <t>biowaste</t>
  </si>
  <si>
    <t>1/(1/params["Pea_dehulling_price_ratio"]*params["Pea_dehulling_hulls"]+1)</t>
  </si>
  <si>
    <t>(1+params["Pea_dehulling_hulls"])*(params["Pea_dehulling_losses"]+1)</t>
  </si>
  <si>
    <t>params["Pea_dehulling_electricity"]/3600</t>
  </si>
  <si>
    <t>params["Pea_milling_allocation"]</t>
  </si>
  <si>
    <t>params["Pea_milling_electricity"]/3600</t>
  </si>
  <si>
    <t>1/(1/params["Wheat_milling_price_ratio"]*params["Wheat_milling_side_streams"]+1)</t>
  </si>
  <si>
    <t>params["Wheat_milling_electricity"]/3600</t>
  </si>
  <si>
    <t>params["Soy_dehulling_price_ratio"]</t>
  </si>
  <si>
    <t>1/(1/params["Soy_defatting_price_ratio"]*params["Soy_defatting_oil_production"]+1)</t>
  </si>
  <si>
    <t>params["Soy_defatting_input"]</t>
  </si>
  <si>
    <t>params["Soy_defatting_hexane"]</t>
  </si>
  <si>
    <t>params["Soy_defatting_electricity"]/3600</t>
  </si>
  <si>
    <t>params["Soy_defatting_heat"]/1000</t>
  </si>
  <si>
    <t>1/(1/params["SPC_price_ratio"]*params["SPC_output_molasses"]*params["SPC_protein_out"]/params["SPC_protein_recovery"]/params["SPC_protein_in"]+1)</t>
  </si>
  <si>
    <t>params["SPC_ethanol_input"]*params["SPC_protein_out"]/params["SPC_protein_recovery"]/params["SPC_protein_in"]</t>
  </si>
  <si>
    <t>params["SPC_protein_out"]/params["SPC_protein_recovery"]/params["SPC_protein_in"]</t>
  </si>
  <si>
    <t>Pea_dehulling</t>
  </si>
  <si>
    <t>Pea_milling</t>
  </si>
  <si>
    <t>(1+params["Pea_milling_losses"])/(1/params["Pea_dehulling_price_ratio"]*params["Pea_dehulling_hulls"]+1)</t>
  </si>
  <si>
    <t>Wheat_milling</t>
  </si>
  <si>
    <t>Soy_dehulling</t>
  </si>
  <si>
    <t>Soy_defatting</t>
  </si>
  <si>
    <t>params["Soy_defatting_input"]*params["Soy_dehulling_price_ratio"]</t>
  </si>
  <si>
    <t>params["SPC_protein_out"]/params["SPC_protein_recovery"]/params["SPC_protein_in"]/(1/params["Soy_defatting_price_ratio"]*params["Soy_defatting_oil_production"]+1)</t>
  </si>
  <si>
    <t>protein_separation</t>
  </si>
  <si>
    <t>Products</t>
  </si>
  <si>
    <t>Pea_protein_isolation; Pea_protein_concentration</t>
  </si>
  <si>
    <t>Soy_protein_isolation; Soy_protein_concentration</t>
  </si>
  <si>
    <t>Pea_protein_isolation</t>
  </si>
  <si>
    <t>Pea_protein_concentration</t>
  </si>
  <si>
    <t>Wheat_protein_separation</t>
  </si>
  <si>
    <t>Soy_protein_isolation</t>
  </si>
  <si>
    <t>Soy_protein_concentration</t>
  </si>
  <si>
    <t>Pea_protein_isolation; Wheat_protein_separation</t>
  </si>
  <si>
    <t>Pea_protein_isolation; Wheat_protein_separation; Soy_protein_isolation</t>
  </si>
  <si>
    <t>Density</t>
  </si>
  <si>
    <t>Input in l per kg pea flour</t>
  </si>
  <si>
    <t>kg/l</t>
  </si>
  <si>
    <t>Density solids</t>
  </si>
  <si>
    <t>Wheat_gluten_price_ratio_B_starch</t>
  </si>
  <si>
    <t>SPI_mass_flow_centrifuge</t>
  </si>
  <si>
    <t>SPI_mass_flow_centrifuge_flakes</t>
  </si>
  <si>
    <t>SPI_mass_flow_centrifuge_whey</t>
  </si>
  <si>
    <t>SPI_mass_flow_centrifuge_protein</t>
  </si>
  <si>
    <t>params["Soy_dehulling_electricity"]/3600</t>
  </si>
  <si>
    <t>isolation_allocation_protein_FU</t>
  </si>
  <si>
    <t>concentration_allocation_protein_FU</t>
  </si>
  <si>
    <t>gluten_allocation_protein_FU</t>
  </si>
  <si>
    <t>1/(1/params["SPC_price_ratio"]*params["SPC_output_molasses"]*params["SPC_protein_out"]/params["SPC_protein_recovery"]/params["SPC_protein_in"]+1)/params["SPC_protein_out"]</t>
  </si>
  <si>
    <t>crop</t>
  </si>
  <si>
    <t>crop_allocation</t>
  </si>
  <si>
    <t>This is a placeholder.</t>
  </si>
  <si>
    <t>(params["Wheat_milling_side_streams"]+params["Wheat_milling_waste"]+1)</t>
  </si>
  <si>
    <t>(1+params["Pea_milling_losses"])</t>
  </si>
  <si>
    <t>Pea_dehulling_no_allocation</t>
  </si>
  <si>
    <t>Pea_milling_no_allocation</t>
  </si>
  <si>
    <t>Wheat_milling_no_allocation</t>
  </si>
  <si>
    <t>Soy_defatting_no_allocation</t>
  </si>
  <si>
    <t>Soy_dehulling_no_allocation</t>
  </si>
  <si>
    <t>protein_content_isolate</t>
  </si>
  <si>
    <t>params["PPI_protein_out"]</t>
  </si>
  <si>
    <t>protein_content_concentrate</t>
  </si>
  <si>
    <t>params["PPC_protein_out"]</t>
  </si>
  <si>
    <t>protein_content_gluten</t>
  </si>
  <si>
    <t>params["Wheat_gluten_protein_out"]</t>
  </si>
  <si>
    <t>params["SPC_protein_out"]</t>
  </si>
  <si>
    <t>(-1)*params["Pea_milling_losses"]</t>
  </si>
  <si>
    <t>(-1)*(1+params["Pea_dehulling_hulls"])*params["Pea_dehulling_losses"]</t>
  </si>
  <si>
    <t>(-1)*params["Wheat_milling_waste"]</t>
  </si>
  <si>
    <t>(-1)*params["Wheat_milling_wastewater"]/1000</t>
  </si>
  <si>
    <t>Min</t>
  </si>
  <si>
    <t>Max</t>
  </si>
  <si>
    <t>Median</t>
  </si>
  <si>
    <t>kJ/kg</t>
  </si>
  <si>
    <t>Comments</t>
  </si>
  <si>
    <t>Electricity_milling_pea</t>
  </si>
  <si>
    <t>Electricity_milling_wheat</t>
  </si>
  <si>
    <t>Electricity_defatting_soy</t>
  </si>
  <si>
    <t>Electricity_cleaning_pea</t>
  </si>
  <si>
    <t>Electricity_dehulling_soy</t>
  </si>
  <si>
    <t>Electricity_dehulling_pea</t>
  </si>
  <si>
    <t>Bühler (I)</t>
  </si>
  <si>
    <t>Data sources</t>
  </si>
  <si>
    <t>Median calculated as mean of means of provided ranges</t>
  </si>
  <si>
    <t>MJ/m3</t>
  </si>
  <si>
    <t>Median calculated from provided values</t>
  </si>
  <si>
    <t>Values from Desiderio allocation to unit processes based on Allotey et al.</t>
  </si>
  <si>
    <t>Median calculated as mean of means of provided ranges; conversion to kJ/kg via density in formulas</t>
  </si>
  <si>
    <t>Assumption that grinding dry soy white flakes requires same energy as grinding wheat</t>
  </si>
  <si>
    <t>Calculated based on hexane extraction of soybean oil --&gt; see tab SPC</t>
  </si>
  <si>
    <t>mean/mode</t>
  </si>
  <si>
    <t>Input centrifugal decanter (fiber) (l/kg)</t>
  </si>
  <si>
    <t>Input centrifugal decanter (whey) (l/kg)</t>
  </si>
  <si>
    <t>Input vacuum drum filter (l/kg)</t>
  </si>
  <si>
    <t>Electricity vacuum drum filter (kJ/l)</t>
  </si>
  <si>
    <t>Electricity centrifugal decanter (kJ/l)</t>
  </si>
  <si>
    <t>Input tricanter centrifuge (l/kg)</t>
  </si>
  <si>
    <t>Input centrifugal sieve (B starch) (l/kg)</t>
  </si>
  <si>
    <t>Input homogenisator (l/kg)</t>
  </si>
  <si>
    <t>Input decanting centrifuge (l/kg)</t>
  </si>
  <si>
    <t>Input decanting centrifuge (flakes) (l/kg)</t>
  </si>
  <si>
    <t>Input decanting centrifuge (whey) (l/kg)</t>
  </si>
  <si>
    <t>Input decanting centrifuge (protein) (l/kg)</t>
  </si>
  <si>
    <t xml:space="preserve"> --&gt; Table 10.5 in handbook of industrial drying: two-stage evaporation 1300 kJ/kg water</t>
  </si>
  <si>
    <t>data in Geerts et al. based on inaccessible industry report; conversion to kJ/kg via density in formulas</t>
  </si>
  <si>
    <t>Industry expert inputs</t>
  </si>
  <si>
    <t>Median based on industry expert judgment</t>
  </si>
  <si>
    <t>unit</t>
  </si>
  <si>
    <t>kg/kg</t>
  </si>
  <si>
    <t>Losses</t>
  </si>
  <si>
    <t>Electricity demand kWh / kg</t>
  </si>
  <si>
    <t>Electricity dehulling</t>
  </si>
  <si>
    <t>Electricity cleaning</t>
  </si>
  <si>
    <t>Saget et al. &amp; Allotey et al. (both P) reported 168 kJ/kg</t>
  </si>
  <si>
    <t>Saget et al. (P) reported 71 kJ/kg</t>
  </si>
  <si>
    <t>Parameters cleaning and dehulling pea</t>
  </si>
  <si>
    <t>Parameters cracking and dehulling soy</t>
  </si>
  <si>
    <t>No information found: assumption value of hulls negligible</t>
  </si>
  <si>
    <t>No information found --&gt; no losses assumed</t>
  </si>
  <si>
    <t>Price ratio peas:losses</t>
  </si>
  <si>
    <t>Assumption that losses have no value</t>
  </si>
  <si>
    <t>Allotey et al. (P) and Saget et al. (P) reported 180 and 658.3 respectively</t>
  </si>
  <si>
    <t>median/mode</t>
  </si>
  <si>
    <t>Parameters milling peas</t>
  </si>
  <si>
    <t>Parameters milling wheat</t>
  </si>
  <si>
    <t>Wastewater</t>
  </si>
  <si>
    <t>l/kg</t>
  </si>
  <si>
    <t>Price ratio flour:side streams</t>
  </si>
  <si>
    <t>Median/mode</t>
  </si>
  <si>
    <t>Because there were 4 values, the average of the middle two values were taken as the median.</t>
  </si>
  <si>
    <t>Price ratio meal:oil</t>
  </si>
  <si>
    <t>Soybean oil</t>
  </si>
  <si>
    <t>Hexane emissions</t>
  </si>
  <si>
    <t>Dehulled soybeans</t>
  </si>
  <si>
    <t>Electricity demand</t>
  </si>
  <si>
    <t>Heat demand</t>
  </si>
  <si>
    <t>Netto (l)</t>
  </si>
  <si>
    <t>no waste in the other studies --&gt; was neglected</t>
  </si>
  <si>
    <t>see formula</t>
  </si>
  <si>
    <t>Soybean meal / white flakes kg</t>
  </si>
  <si>
    <t>Electricity demand kWh</t>
  </si>
  <si>
    <t>Comment</t>
  </si>
  <si>
    <t>Input in kg/l median</t>
  </si>
  <si>
    <t>Input/evaporation in kg median</t>
  </si>
  <si>
    <t>median energy use</t>
  </si>
  <si>
    <t>Input/evaporation in kg per kg pea flour</t>
  </si>
  <si>
    <t>Input/evaporation in l per kg pea flour</t>
  </si>
  <si>
    <t>Protein content (%dm)</t>
  </si>
  <si>
    <t>Patents roquette</t>
  </si>
  <si>
    <t>Data sources:</t>
  </si>
  <si>
    <t>Mass flows:</t>
  </si>
  <si>
    <t>Energy consumption:</t>
  </si>
  <si>
    <t>see tab energy consumption</t>
  </si>
  <si>
    <t>Geerts et al. (I), Patents Roquette (I), Industry inputs</t>
  </si>
  <si>
    <t>DM content input spray drier:</t>
  </si>
  <si>
    <t>Industry inputs</t>
  </si>
  <si>
    <t>kg / kg pea flour</t>
  </si>
  <si>
    <t>l / kg pea flour</t>
  </si>
  <si>
    <t>kg (l) / kg pea flour</t>
  </si>
  <si>
    <t>Saget et al., Agrifootprint</t>
  </si>
  <si>
    <t>Data source mass flows:</t>
  </si>
  <si>
    <t>Data source</t>
  </si>
  <si>
    <t>See tab Energy consumption machinery</t>
  </si>
  <si>
    <t xml:space="preserve"> --&gt;</t>
  </si>
  <si>
    <t>Parameters pea protein isolation</t>
  </si>
  <si>
    <t>Mass balance factors PPI</t>
  </si>
  <si>
    <t>Patents roquette (I)</t>
  </si>
  <si>
    <t>Parameters pea protein concentration</t>
  </si>
  <si>
    <t>Input in kg median</t>
  </si>
  <si>
    <t>Parameters wheat gluten</t>
  </si>
  <si>
    <t>Mass balance factors wheat gluten</t>
  </si>
  <si>
    <t>data source</t>
  </si>
  <si>
    <t>comment</t>
  </si>
  <si>
    <t>Price ratio gluten:A starch</t>
  </si>
  <si>
    <t>Price ratio gluten:B starch</t>
  </si>
  <si>
    <t>Sayeslan, Maningat, Witt: &gt;11% protein durum wheat</t>
  </si>
  <si>
    <t>Input in kg (l) median</t>
  </si>
  <si>
    <t>dm content wheat flour</t>
  </si>
  <si>
    <t>dm content wheat flour (kg/kg)</t>
  </si>
  <si>
    <t>Alfa-laval process patent</t>
  </si>
  <si>
    <t>Electricity centrifugal sieve (kJ/l)</t>
  </si>
  <si>
    <t>Electricity centrifuge (kJ/l)</t>
  </si>
  <si>
    <t>Electricity homogenisator (kJ/l)</t>
  </si>
  <si>
    <t>Electricity nozzle centrifuge (kJ/l)</t>
  </si>
  <si>
    <t>Heated to 60C. Room temperature assumed to vary between 19-22C</t>
  </si>
  <si>
    <t>Heating water (to 30-40C)</t>
  </si>
  <si>
    <t>comments</t>
  </si>
  <si>
    <t>Mass balance factors SPI</t>
  </si>
  <si>
    <t>Parameters soy protein isolation</t>
  </si>
  <si>
    <t>Translated into %dm via 88% moisture content (see parameters)</t>
  </si>
  <si>
    <t>Allotey et al. (R )</t>
  </si>
  <si>
    <t>Desmet webinar</t>
  </si>
  <si>
    <t>Verfaille: Cultivation trials at research institute</t>
  </si>
  <si>
    <t>Price ratio protein:spent flakes (okara)</t>
  </si>
  <si>
    <t>Agrifootprint data adapted to match our mass balance</t>
  </si>
  <si>
    <t>Input in l per kg white flakes</t>
  </si>
  <si>
    <t>Input/evaporation in kg per kg white flakes</t>
  </si>
  <si>
    <t>Input/evaporation in l per kg white flakes</t>
  </si>
  <si>
    <t>Input/evaporation in kg (l) median</t>
  </si>
  <si>
    <t>Max up to 80C, most patents report 55-60C. Room temperature assumed to be 19-22C</t>
  </si>
  <si>
    <t>Dm content protein isolate (kg/kg)</t>
  </si>
  <si>
    <t>Shares of solids in spent flakes:whey obtained from FAO (I) (0.4:0.25); 20% TS estimated from water content of fresh okara</t>
  </si>
  <si>
    <t>Soy protein concentration overview</t>
  </si>
  <si>
    <t>Soy protein isolation overview</t>
  </si>
  <si>
    <t>Wheat gluten separation overview</t>
  </si>
  <si>
    <t>Pea protein concentration overview</t>
  </si>
  <si>
    <t>Pea protein isolation overview</t>
  </si>
  <si>
    <t>Price ratio spc:molasses</t>
  </si>
  <si>
    <t>Parameters soy protein concentration</t>
  </si>
  <si>
    <t>Mass balance factors SPC</t>
  </si>
  <si>
    <t>(average of middle two values of 4)</t>
  </si>
  <si>
    <t>in %fm --&gt; median, min, max translated in dm</t>
  </si>
  <si>
    <t>Heat capacity 60% ethanol</t>
  </si>
  <si>
    <t>In-house experiment</t>
  </si>
  <si>
    <t>White flakes saked in 60%EtH, sieved &amp; pressed</t>
  </si>
  <si>
    <t>Processes hexane based on Sheehan et al.</t>
  </si>
  <si>
    <t>Process run at approx. 50C; room temp 20C; 0 if recovered heat is used</t>
  </si>
  <si>
    <t>Total energy use calculated based on thermodynamic parameters:</t>
  </si>
  <si>
    <t>Ratio energy use reported : calculated:</t>
  </si>
  <si>
    <t>Calculation of energy use for evaporation &amp; desolventization based on hexane extraction and thermodynamic principles</t>
  </si>
  <si>
    <t>For comparison:</t>
  </si>
  <si>
    <t>Deshpande 1999</t>
  </si>
  <si>
    <t>Distillation / evaporation</t>
  </si>
  <si>
    <t>Worst case - two stage evaporator, no heat recovery, max loss desolventizing</t>
  </si>
  <si>
    <t>Best case - as efficient as hexan-based process in Sheehan et al. --&gt; three stage evaporator, heat recovery</t>
  </si>
  <si>
    <t>SPI_dm_output</t>
  </si>
  <si>
    <t>SPC_dm_output</t>
  </si>
  <si>
    <t>Dm content protein concentrate (kg/kg)</t>
  </si>
  <si>
    <t>UNIFORM</t>
  </si>
  <si>
    <t>Pea_cleaning_electricity</t>
  </si>
  <si>
    <t>Soy_dehulling_hulls</t>
  </si>
  <si>
    <t>Ratio solvent:flakes soaking (kg/kg)</t>
  </si>
  <si>
    <t>PPC_dm_output</t>
  </si>
  <si>
    <t>PPI_dm_output</t>
  </si>
  <si>
    <t>params["PPI_dm_output"]*params["PPI_protein_out"]/params["PPI_protein_recovery"]/params["PPI_protein_in"]*params["Pea_milling_allocation"]</t>
  </si>
  <si>
    <t>params["PPI_dm_output"]*params["PPI_protein_out"]/params["PPI_protein_recovery"]/params["PPI_protein_in"]</t>
  </si>
  <si>
    <t>params["PPI_dm_output"]*params["PPI_protein_out"]/params["PPI_protein_recovery"]/params["PPI_protein_in"]*(params["PPI_mass_flow_mixing"]*params["Electricity_mixing"]+params["PPI_mass_flow_hydrocyclone"]*params["Electricity_hydrocyclone"]*params["PPI_num_hydrocyclones"]+params["PPI_mass_flow_vacuum_drum_filter"]*params["Electricity_vacuum_drum_filter"]+params["PPI_mass_flow_centrifugal_decanter_fiber"]*params["Electricity_centrifugal_decanter"]+params["PPI_mass_flow_centrifugal_decanter_whey"]*params["Electricity_centrifugal_decanter"])*(1+params["Electricity_pumping"])/3600</t>
  </si>
  <si>
    <t>(params["PPI_dm_output"]*params["PPI_protein_out"]/params["PPI_protein_recovery"]/params["PPI_protein_in"]*(params["PPI_mass_flow_ring_drier_starch"]*params["Heat_ring_drier"]+params["PPI_mass_flow_ring_drier_fiber"]*params["Heat_ring_drier"]+params["PPI_mass_flow_heating"]*params["PPI_temperature"]*4.2)+(params["PPI_dm_output"]/params["dm_content_spray_drier"]-1)*params["Heat_spray_drier"])/1000</t>
  </si>
  <si>
    <t>params["PPI_HCl_input"]*params["PPI_dm_output"]*params["PPI_protein_out"]/params["PPI_protein_recovery"]/params["PPI_protein_in"]</t>
  </si>
  <si>
    <t>params["PPI_NaOH_input"]*params["PPI_dm_output"]*params["PPI_protein_out"]/params["PPI_protein_recovery"]/params["PPI_protein_in"]</t>
  </si>
  <si>
    <t>1/(1/params["PPI_price_ratio"]*params["PPI_starch_output"]*params["PPI_dm_output"]*params["PPI_protein_out"]/params["PPI_protein_recovery"]/params["PPI_protein_in"]+1)</t>
  </si>
  <si>
    <t>1/(1/params["PPI_price_ratio"]*params["PPI_starch_output"]*params["PPI_dm_output"]*params["PPI_protein_out"]/params["PPI_protein_recovery"]/params["PPI_protein_in"]+1)/params["PPI_protein_out"]</t>
  </si>
  <si>
    <t>params["PPC_dm_output"]*params["PPC_protein_out"]/params["PPC_protein_recovery"]/params["PPC_protein_in"]*params["Pea_milling_allocation"]</t>
  </si>
  <si>
    <t>params["PPC_dm_output"]*params["PPC_protein_out"]/params["PPC_protein_recovery"]/params["PPC_protein_in"]</t>
  </si>
  <si>
    <t>params["PPC_dm_output"]*params["PPC_protein_out"]/params["PPC_protein_recovery"]/params["PPC_protein_in"]*(params["Electricity_classifier_mill"]+params["Electricity_air_classifier"])/3600</t>
  </si>
  <si>
    <t>1/(1/params["PPC_price_ratio"]*(params["PPC_dm_output"]*params["PPC_protein_out"]/params["PPC_protein_recovery"]/params["PPC_protein_in"]-1)+1)</t>
  </si>
  <si>
    <t>1/(1/params["PPC_price_ratio"]*(params["PPC_dm_output"]*params["PPC_protein_out"]/params["PPC_protein_recovery"]/params["PPC_protein_in"]-1)+1)/params["PPC_protein_out"]</t>
  </si>
  <si>
    <t>(params["SPC_protein_out"]/params["SPC_protein_recovery"]/params["SPC_protein_in"]*(params["SPC_mass_flow_extractor"]*params["Electricity_extractor"]+params["SPC_mass_flow_evaporator_ethanol"]*params["Electricity_evaporation"]+params["SPC_mass_flow_evaporator_water"]*params["Electricity_evaporation"])+params["SPC_dm_output"]/params["SPC_ts_sieving"]*params["Electricity_pressing"]+(params["SPC_dm_output"]/params["SPC_ts_pressing"]-params["SPC_dm_output"])*params["Electricity_desolventization"]*0.6/0.8+((params["SPC_dm_output"]/params["SPC_ts_pressing"]-params["SPC_dm_output"])*0.6/0.8+params["SPC_protein_out"]/params["SPC_protein_recovery"]/params["SPC_protein_in"]*params["SPC_mass_flow_evaporator_ethanol"])*params["Electricity_solvent_recovery"]+params["Electricity_grinding"])*(1+params["Electricity_pumping"])/3600</t>
  </si>
  <si>
    <t>(params["SPC_protein_out"]/params["SPC_protein_recovery"]/params["SPC_protein_in"]*(params["SPC_mass_flow_evaporator_ethanol"]*params["Heat_evaporation_ethanol"]+params["SPC_mass_flow_evaporator_water"]*params["Heat_evaporation_water"]+params["SPC_energy_heating"]*params["SPC_mass_flow_soaking"])+(params["SPC_dm_output"]/params["SPC_ts_pressing"]-params["SPC_dm_output"])*params["Heat_desolventization"]*0.6/0.8+(params["SPC_dm_output"]/params["SPC_ts_pressing"]-(params["SPC_dm_output"]/params["SPC_ts_pressing"]-params["SPC_dm_output"])*0.6/0.8-1)*params["Heat_vacuum_drier"])/1000</t>
  </si>
  <si>
    <t>SPI_solvent_ratio</t>
  </si>
  <si>
    <t>I</t>
  </si>
  <si>
    <t>Industry scale data</t>
  </si>
  <si>
    <t>P</t>
  </si>
  <si>
    <t>Pilot scale data</t>
  </si>
  <si>
    <t>L</t>
  </si>
  <si>
    <t>Lab scale data</t>
  </si>
  <si>
    <t>R</t>
  </si>
  <si>
    <t>Review paper containing multiple values</t>
  </si>
  <si>
    <t>B</t>
  </si>
  <si>
    <t>Book</t>
  </si>
  <si>
    <t>Bühler</t>
  </si>
  <si>
    <t>GEA</t>
  </si>
  <si>
    <t>Machine specification sheets from the Bühler webpage: https://www.buhlergroup.com/global/en/homepage.html</t>
  </si>
  <si>
    <t>Machine specification sheets from the GEA webpage: https://www.gea.com/en/</t>
  </si>
  <si>
    <t>Machine specificiation sheets from the Flottweg webpage: https://www.flottweg.com/</t>
  </si>
  <si>
    <t>Hasokawa micron B.V.</t>
  </si>
  <si>
    <t>USDA</t>
  </si>
  <si>
    <t>Cleaning and dehulling pea overview</t>
  </si>
  <si>
    <t>Cracking and dehulling soy overview</t>
  </si>
  <si>
    <t>Milling Peas overview</t>
  </si>
  <si>
    <t>Milling Wheat overview</t>
  </si>
  <si>
    <t>Conditioning, flaking and defatting soy overview</t>
  </si>
  <si>
    <t>D</t>
  </si>
  <si>
    <t>Database</t>
  </si>
  <si>
    <t>Data sources glossary:</t>
  </si>
  <si>
    <t>Agrifootprint database: https://blonksustainability.nl/tools-and-databases/agri-footprint</t>
  </si>
  <si>
    <t>Allotey, D. K., Kwofie, E. M., Adewale, P., Lam, E. &amp; Ngadi, M. A meta-analysis of pulse-protein extraction technologies: Impact on recovery and purity. J. Food Eng. 327, 111048 (2022). https://doi.org/10.1016/j.jfoodeng.2022.111048</t>
  </si>
  <si>
    <t>Allotey, D. K. et al. Techno-eco-environmental assessment of dry fractionation of protein concentrates from yellow peas with different pre-treatment methods: An eco-efficiency approach. J. Clean. Prod. 457, 142298 (2024). https://doi.org/10.1016/j.jclepro.2024.142298</t>
  </si>
  <si>
    <t>Machine specification sheets from the Hasokawa Micron B.V. website: https://www.hosokawa-micron-bv.com/</t>
  </si>
  <si>
    <t>Barr, D. J. &amp; Zwitersloot, W. R. M. Method of separating wheat gluten and starch from wheat flour. (1979).</t>
  </si>
  <si>
    <t>Baker, C. G. J. &amp; McKenzie, K. A. Energy Consumption of Industrial Spray Dryers. Dry. Technol. 23, 365–386 (2005). https://doi.org/10.1081/DRT-200047665</t>
  </si>
  <si>
    <t>Aliu, S. A., Onochie, U. P., Itabor, N. A. &amp; Adingwupu, A. C. Energy Audit of a Flour mill plant: A case study of crown flour mill PLC. Niger. Res. J. Eng. Environ. Sci. 3, 345–358 (2018). http://rjees.com/abstract/energy-audit-of-a-flour-mill-plant-a-case-study-of-crown-flour-mill-plc</t>
  </si>
  <si>
    <t>Santonja, G. G., Karlis, P., Stubdrup, K. R., Brinkmann, T. &amp; Roudier, S. Best Available Techniques (BAT) Reference Document for the Food, Drink and Milk Industries. (2019) doi:10.2760/243911.</t>
  </si>
  <si>
    <t>Brasil, M., Meleiro, L. A. da C., Benincá, C. &amp; Zanoelo, E. F. Yield of Soybean Protein Isolate from Defatted Soybean Flakes Treated in an Industrial Plant and in Laboratory: Experiments and Modeling. J. Food Process Eng. 39, 636–644 (2016). https://doi.org/10.1111/jfpe.12256</t>
  </si>
  <si>
    <r>
      <t xml:space="preserve">Castanheira, É. G., Grisoli, R., Coelho, S., Anderi da Silva, G. &amp; Freire, F. Life-cycle assessment of soybean-based biodiesel in Europe: comparing grain, oil and biodiesel import from Brazil. </t>
    </r>
    <r>
      <rPr>
        <i/>
        <sz val="11"/>
        <color theme="1"/>
        <rFont val="Calibri"/>
        <family val="2"/>
        <scheme val="minor"/>
      </rPr>
      <t>J. Clean. Prod.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, 188–201 (2015). https://doi.org/10.1016/j.jclepro.2015.04.036</t>
    </r>
  </si>
  <si>
    <t>Crafts-Lighty, A. L., Beech, G. A. &amp; Ealden, T. N. An energy analysis of the manufacture of wheat starch and related products. J. Sci. Food Agric. 31, 299–307 (1980). https://doi.org/10.1002/jsfa.2740310315</t>
  </si>
  <si>
    <t>Dalgaard, R. et al. LCA of soybean meal. Int. J. Life Cycle Assess. 13, 240–254 (2008). https://doi.org/10.1065/lca2007.06.342</t>
  </si>
  <si>
    <t>Deng, Y., Achten, W. M. J., Van Acker, K. &amp; Duflou, J. R. Life cycle assessment of wheat gluten powder and derived packaging film. Biofuels, Bioprod. Biorefining 7, 429–458 (2013). https://doi.org/10.1002/bbb.1406</t>
  </si>
  <si>
    <t>Desiderio, E., Shanmugam, K. &amp; Östergren, K. Plant based meat alternative, from cradle to company-gate: A case study uncovering the environmental impact of the Swedish pea protein value chain. J. Clean. Prod. 418, 138173 (2023). https://doi.org/10.1016/j.jclepro.2023.138173</t>
  </si>
  <si>
    <t>Berk, Z. Technology of production of edible flours and protein products form soybeans. (1992). https://www.fao.org/4/t0532e/t0532e00.htm#con</t>
  </si>
  <si>
    <t>Galitsky, C., Worrell, E. &amp; Ruth, M. Energy Efficiency Improvement and Cost Saving Opportunities for the Corn Wet Milling Industry - An ENERGY STAR Guide for Energy and Plant Managers. (2003).</t>
  </si>
  <si>
    <t>Geerts, M., van Veghel, A., Zisopoulos, F. K., van der Padt, A. &amp; Jan van der Goot, A. Exergetic comparison of three different processing routes for yellow pea (Pisum sativum): Functionality as a driver in sustainable process design. J. Clean. Prod. 183, 979–987 (2018). https://doi.org/10.1016/j.jclepro.2018.02.158</t>
  </si>
  <si>
    <t>Hauri, F. W. Vakuumbandtrocknung in der Lebensmittelindustrie. die Ernährungsindustrie 10, (1989).</t>
  </si>
  <si>
    <t>Kalandarov, P., Mukimov, Z., Rakmanov, S., Abdullaeva, D. &amp; Nigmatov, A. Problems of Energy Saving at Grain Processing Enterprises. https://ssrn.com/abstract=3933989 (2021) doi:http://dx.doi.org/10.2139/ssrn.3933989.</t>
  </si>
  <si>
    <t>Kerkkonen, H. K., Laine, K. M. J., Alanen, M. A. &amp; Renner, H. V. Method of Separating Gluten from Wheat Flour. (1976).</t>
  </si>
  <si>
    <t>Kessler, H. G. Food and Bio Process Engineering - Dairy Technology. (Publishing House A. Kessler, 2002). ISBN: 3-9802378-5-0</t>
  </si>
  <si>
    <t>Lie-Piang, A., Yang, J., Schutyser, M. A. I., Nikiforidis, C. V. &amp; Boom, R. M. Mild Fractionation for More Sustainable Food Ingredients. Annu. Rev. Food Sci. Technol. 14, 473–493 (2023). 10.1146/annurev-food-060721-024052</t>
  </si>
  <si>
    <t>Maningat, C. C., Seib, P. A., Bassi, S. D., Woo, K. S. &amp; Lasater, G. D. Chapter 10 - Wheat Starch: Production, Properties, Modification and Uses. in Starch (Third Edition) (eds. BeMiller, J. &amp; Whistler, R.) 441–510 (Academic Press, 2009). https://doi.org/10.1016/B978-0-12-746275-2.00010-0.</t>
  </si>
  <si>
    <t>Deak, N. A., Johnson, L. A., Lusas, E. W. &amp; Rhee, K. C. 19 - Soy Protein Products, Processing, and Utilization. in Soybeans (eds. Johnson, L. A., White, P. J. &amp; Galloway, R.) 661–724 (AOCS Press, 2008). https://doi.org/10.1016/B978-1-893997-64-6.50022-6.</t>
  </si>
  <si>
    <t>National Research Council. Comminution and Energy Consumption. (The National Academies Press, 1981). https://doi.org/10.17226/19669.</t>
  </si>
  <si>
    <t>Omni Tech International. Life Cycle Impact of Soybean Production and Soy Industrial Products. https://soynewuses.org/wp-content/uploads/Soy_Life_Cycle_Profile_Report.pdf (2010).</t>
  </si>
  <si>
    <t>Salome, J.-P., Verrin, J.-M., Fache, C. &amp; Houard, R. Process for Extracting the Components of Pea Flour. (2007). &amp; Passe, D., Fouache, C., Verrin, J.-M. &amp; Bureau, S. Pea Protein Composition. (2008).</t>
  </si>
  <si>
    <t>Peighambardoust, S. H., van der Goot, A. J., Boom, R. M. &amp; Hamer, R. J. Mixing behaviour of a zero-developed dough compared to a flour–water mixture. J. Cereal Sci. 44, 12–20 (2006). https://doi.org/10.1016/j.jcs.2005.12.011</t>
  </si>
  <si>
    <t>Prvulović, S., Tolmac, D., Blagojević, Z. &amp; Tolmac, J. Experimental research on energetics characteristics of starch dryer. FME Trans. 37, 47–52 (2009).</t>
  </si>
  <si>
    <t>Quaranta, F. et al. Grain Yield, Quality and Deoxynivalenol (DON) Contamination of Durum Wheat (Triticum Durum Desf.): Results of National Networks in Organic and Conventional Cropping Systems. Ital. J. Agron. 5, 353–367 (2010). https://doi.org/10.4081/ija.2010.353</t>
  </si>
  <si>
    <t>Ramirez, E. C., Johnston, D. B., McAloon, A. J., Yee, W. &amp; Singh, V. Engineering process and cost model for a conventional corn wet milling facility. Ind. Crops Prod. 27, 91–97 (2008). https://doi.org/10.1016/j.indcrop.2007.08.002</t>
  </si>
  <si>
    <t>Sayaslan, A. Wet-milling of wheat flour: industrial processes and small-scale test methods. LWT - Food Sci. Technol. 37, 499–515 (2004). https://doi.org/10.1016/j.lwt.2004.01.009</t>
  </si>
  <si>
    <t>Saget, S. et al. Substitution of beef with pea protein reduces the environmental footprint of meat balls whilst supporting health and climate stabilisation goals. J. Clean. Prod. 297, 126447 (2021). https://doi.org/10.1016/j.jclepro.2021.126447</t>
  </si>
  <si>
    <t>Savage, G. M., Diaz, L. F. &amp; Trezek, G. J. Performance Characterization of Air Classifiers in Resource Recovery Processing. https://www.researchgate.net/publication/266865916_Performance_Characterization_of_Air_Classifiers_in_Resource_Recovery_Processing#:~:text=This paper presents and defines some funda­ mental,of air classifiers operat­ ing in the field. (1980).</t>
  </si>
  <si>
    <t>Schutyser, M. A. I. &amp; van der Goot, A. J. The potential of dry fractionation processes for sustainable plant protein production. Trends Food Sci. Technol. 22, 154–164 (2011). https://doi.org/10.1016/j.tifs.2010.11.006</t>
  </si>
  <si>
    <t>Sheehan, J., Camobreco, V., Duffield, J., Graboski, M. &amp; Shapouri, H. Life Cycle Inventory of Biodiesel and Petroleum Diesel for Use in an Urban Bus. https://www.nrel.gov/docs/legosti/fy98/24089.pdf (1998).</t>
  </si>
  <si>
    <t>Shehzad, A., Chiron, H., Della Valle, G., Lamrini, B. &amp; Lourdin, D. Energetical and rheological approaches of wheat flour dough mixing with a spiral mixer. J. Food Eng. 110, 60–70 (2012). https://doi.org/10.1016/j.jfoodeng.2011.12.008</t>
  </si>
  <si>
    <t>Szepessy, S. &amp; Thorwid, P. Low Energy Consumption of High-Speed Centrifuges. Chem. Eng. \&amp; Technol. 41, 2375–2384 (2018). https://doi.org/10.1002/ceat.201800292</t>
  </si>
  <si>
    <t>U.S. Department of Agriculture. FoodData Central. https://fdc.nal.usda.gov/ (2025).</t>
  </si>
  <si>
    <r>
      <t xml:space="preserve">van Manen, P. K. Process description and optimization of the flash dryers at Polokwane Smelter. in </t>
    </r>
    <r>
      <rPr>
        <i/>
        <sz val="11"/>
        <color theme="1"/>
        <rFont val="Calibri"/>
        <family val="2"/>
        <scheme val="minor"/>
      </rPr>
      <t>International Platinum Conference ‘Platinum Surges Ahead’</t>
    </r>
    <r>
      <rPr>
        <sz val="11"/>
        <color theme="1"/>
        <rFont val="Calibri"/>
        <family val="2"/>
        <scheme val="minor"/>
      </rPr>
      <t xml:space="preserve"> (The Southern African Institute of Mining and Metallurgy, 2006). https://www.researchgate.net/publication/242741002_Process_description_and_optimization_of_the_flash_dryers_at_Polokwane_Smelter</t>
    </r>
  </si>
  <si>
    <t>Verfaillie, D., Janssen, F., Van Royen, G. &amp; Wouters, A. G. B. A systematic study of the impact of the isoelectric precipitation process on the physical properties and protein composition of soy protein isolates. Food Res. Int. 163, 112177 (2023). https://doi.org/10.1016/j.foodres.2022.112177</t>
  </si>
  <si>
    <t>Wang, H., Johnson, L. A. &amp; Wang, T. Preparation of soy protein concentrate and isolate from extruded-expelled soybean meals. J. Am. Oil Chem. Soc. 81, 713–717 (2004). https://doi.org/10.1007/s11746-004-966-8</t>
  </si>
  <si>
    <t>Wilson, A. J., Wooding, A. R. &amp; Morgenstern, M. P. Comparison of Work Input Requirement on Laboratory-Scale and Industrial-Scale Mechanical Dough Development Mixers. Cereal Chem. 74, 715–721 (1997). https://doi.org/10.1094/CCHEM.1997.74.6.715</t>
  </si>
  <si>
    <t>Witt, W. &amp; Goldau, H.-P. Modern Methods of Separation The components of wheat. Polish Soc. Food Technol. - Sci. Publ. 2, 244–265 (2000). https://wydawnictwo.pttz.org/wp-content/uploads/2017/12/23_Witt.pdf#:~:text=The isolation of starch and gluten out of,the advantages and disadvantages of them are described.</t>
  </si>
  <si>
    <t>Mujumdar, A. S. (Ed. . Handbook of Industrial Drying (3rd ed.). (CRC Press, 2006). doi:https://doi.org/10.1201/9781420017618.</t>
  </si>
  <si>
    <t>Peng, Y. et al. Characteristics of Soy Protein Prepared Using an Aqueous Ethanol Washing Process. Foods 10, (2021). https://doi.org/10.3390/foods10092222</t>
  </si>
  <si>
    <t>Food and agriculture organization of the United Nations. Standard for Durum Wheat Semolina and Durum Wheat Flour. at https://www.fao.org/fao-who-codexalimentarius/sh-proxy/en/?lnk=1&amp;url=https%253A%252F%252Fworkspace.fao.org%252Fsites%252Fcodex%252FStandards%252FCXS%2B178-1991%252FCXS_178e.pdf (1991).</t>
  </si>
  <si>
    <t>(params["Soy_dehulling_hulls"]+1)</t>
  </si>
  <si>
    <t>1/(1/params["SPI_price_ratio_spent_flakes"]*params["SPI_spent_flakes"]*params["SPI_dm_output"]*params["SPI_protein_out"]/params["SPI_protein_recovery"]/params["SPI_protein_in"]+1)/params["SPI_protein_out"]</t>
  </si>
  <si>
    <t>1/(1/params["SPI_price_ratio_spent_flakes"]*params["SPI_spent_flakes"]*params["SPI_dm_output"]*params["SPI_protein_out"]/params["SPI_protein_recovery"]/params["SPI_protein_in"]+1)</t>
  </si>
  <si>
    <t>params["SPI_protein_out"]</t>
  </si>
  <si>
    <t>params["SPI_dm_output"]*params["SPI_protein_out"]/params["SPI_protein_recovery"]/params["SPI_protein_in"]</t>
  </si>
  <si>
    <t>params["SPI_dm_output"]*params["SPI_protein_out"]/params["SPI_protein_recovery"]/params["SPI_protein_in"]/(1/params["Soy_defatting_price_ratio"]*params["Soy_defatting_oil_production"]+1)</t>
  </si>
  <si>
    <t>Density decanting centrifuge (l/kg)</t>
  </si>
  <si>
    <t>Density decanting centrifuge flakes (l/kg)</t>
  </si>
  <si>
    <t>Density decanting centrifuge whey (l/kg)</t>
  </si>
  <si>
    <t>Density decanting centrifuge protein (l/kg)</t>
  </si>
  <si>
    <t>SPI_density_centrifuge</t>
  </si>
  <si>
    <t>SPI_density_centrifuge_flakes</t>
  </si>
  <si>
    <t>SPI_density_centrifuge_whey</t>
  </si>
  <si>
    <t>SPI_density_centrifuge_protein</t>
  </si>
  <si>
    <t>Bühler machine specification sheets (I)</t>
  </si>
  <si>
    <t>Bühler machine specification sheets (I), Sheehan et al., 1998 (I)</t>
  </si>
  <si>
    <t>Deng et al., 2013 (I), Agrifootprint (D), BAT EU, 2019 (I), Aliu et al., 2018 (I), Crafts-Lighty et al., 1980 (I), Kalandarov et al., 2021 (I)</t>
  </si>
  <si>
    <t>Dalgaard et al., 2008 (I), OTI, 2010 (I), Castanheira et al., 2015 (I), Sheehan et al., 1998 (I)</t>
  </si>
  <si>
    <t>Saget et al., 2021 (L), Allotey et al., 2024 (P)</t>
  </si>
  <si>
    <t>Desiderio et al., 2023 (I), Allotey et al., 2024 (P), Savage et al., 1980 (I)</t>
  </si>
  <si>
    <t>Geerts et al., 2018 (I)</t>
  </si>
  <si>
    <t xml:space="preserve">Kessler, 2002 (I), Geerts et al., 2018 (I), GEA machine specification sheets (I), Szepessy &amp; Thorwid, 2018 (I) </t>
  </si>
  <si>
    <t>GEA machine specification sheets (I)</t>
  </si>
  <si>
    <t>GEA machine specification sheets (I), Flottweg (I)</t>
  </si>
  <si>
    <t>Flottweg machine specification sheets (I)</t>
  </si>
  <si>
    <t>Galitsky et al., 2003 (I)</t>
  </si>
  <si>
    <t>Prvulovic et al., 2009 (P), Hosokawa Micron B.V. machine specification sheets (I)</t>
  </si>
  <si>
    <t>Hauri, 1989 (I)</t>
  </si>
  <si>
    <t>Ramirez et al, 2008 (I), van Manen, 2006 (I)</t>
  </si>
  <si>
    <t>Baker &amp; McKenzie, 2005 (I)</t>
  </si>
  <si>
    <t>Sheehan et al., 1998 (I), calculations</t>
  </si>
  <si>
    <t>Aliu et al., 2018</t>
  </si>
  <si>
    <t>Allotey et al., 2022</t>
  </si>
  <si>
    <t>Allotey et al., 2024</t>
  </si>
  <si>
    <t>Baker &amp; McKenzie, 2005</t>
  </si>
  <si>
    <t>BAT EU, 2019</t>
  </si>
  <si>
    <t>Barr patent, 1979</t>
  </si>
  <si>
    <t>Brasil et al., 2016</t>
  </si>
  <si>
    <t>Castanheira et al., 2015</t>
  </si>
  <si>
    <t>Crafts-Lighty et al., 1980</t>
  </si>
  <si>
    <t>Deng et al., 2013</t>
  </si>
  <si>
    <t>Deak et al., 2008</t>
  </si>
  <si>
    <t>Desiderio et al., 2023</t>
  </si>
  <si>
    <t>FAO soy, 1992</t>
  </si>
  <si>
    <t>FAO wheat, 1991</t>
  </si>
  <si>
    <t>Galitsky et al., 2003</t>
  </si>
  <si>
    <t>Geerts et al., 2018</t>
  </si>
  <si>
    <t>Hauri, 1989</t>
  </si>
  <si>
    <t>Kalandarov et al., 2021</t>
  </si>
  <si>
    <t>Kerkkonen patent, 1976</t>
  </si>
  <si>
    <t>Kessler, 2002</t>
  </si>
  <si>
    <t>Lie-Piang et al., 2021</t>
  </si>
  <si>
    <t>Maningat et al., 2009</t>
  </si>
  <si>
    <t>National research council, 1981</t>
  </si>
  <si>
    <t>OTI, 2010</t>
  </si>
  <si>
    <t>Patents roquette, 2007/2008</t>
  </si>
  <si>
    <t>Peighambardoust et al., 2006</t>
  </si>
  <si>
    <t>Prvulovic et al., 2009</t>
  </si>
  <si>
    <t>Quaranta et al., 2010</t>
  </si>
  <si>
    <t>Ramirez et al., 2008</t>
  </si>
  <si>
    <t>Sayaslan et al., 2004</t>
  </si>
  <si>
    <t>Saget et al., 2021</t>
  </si>
  <si>
    <t>Savage et al., 1980</t>
  </si>
  <si>
    <t>Schutyser et al., 2011</t>
  </si>
  <si>
    <t>Shehzad et al., 2012</t>
  </si>
  <si>
    <t>Szepessy &amp; Thorwind, 2018</t>
  </si>
  <si>
    <t>van Manen, 2006</t>
  </si>
  <si>
    <t>Verfaillie et al., 2023</t>
  </si>
  <si>
    <t>Wang et al., 2004</t>
  </si>
  <si>
    <t>Wilson et al., 1997</t>
  </si>
  <si>
    <t>Witt &amp; Goldau, 2000</t>
  </si>
  <si>
    <t>Mujumdar (ed.), 2006</t>
  </si>
  <si>
    <t>Yu et al., 2021</t>
  </si>
  <si>
    <t>Saget et al., 2021. (P)</t>
  </si>
  <si>
    <t>Saget et al., 2021 (P), Industry input (I)</t>
  </si>
  <si>
    <t>Agrifootprint, Saget et al., 2021</t>
  </si>
  <si>
    <t>Sheehan et al., 1998 (I)</t>
  </si>
  <si>
    <t>Bühler (I), Sheehan et al., 1998 (I)</t>
  </si>
  <si>
    <t>Deng et al., 2013 (I), Agrifootprint (D), Aliu et al., 2018 (I)</t>
  </si>
  <si>
    <t>Deng et al. (I), Agrifootprint (D), BAT EU, 2019 (I), Aliu et al., 2018 (I), Crafts-Lighty et al., 1980 (I), Kalandarov et al., 2021 (I)</t>
  </si>
  <si>
    <t>Deng et al., 2013 (I), Agrifootprint (D), BAT EU, 2019 (I)</t>
  </si>
  <si>
    <t>Deng et al., 2013 (I), Agrifootprint (D)</t>
  </si>
  <si>
    <t>Agrifootprint, Deng et al., 2013</t>
  </si>
  <si>
    <t>OTI. (2010)</t>
  </si>
  <si>
    <t>Cheng et al., 2018</t>
  </si>
  <si>
    <t>Cheng, M.-H. et al. Environmental impact assessment of soybean oil production: Extruding-expelling process, hexane extraction and aqueous extraction. Food Bioprod. Process. 108, 58–68 (2018). https://doi.org/10.1016/j.fbp.2018.01.001</t>
  </si>
  <si>
    <t>Patents Roquette 2007/2008</t>
  </si>
  <si>
    <t>Desiderio et al., 2023 (I)</t>
  </si>
  <si>
    <t>Saget et al., 2021, Agrifootprint</t>
  </si>
  <si>
    <t>Geerts et al., 2018 (I), Patents Roquette (I), Industry inputs</t>
  </si>
  <si>
    <t>Allotey et al., 2022 (R )</t>
  </si>
  <si>
    <t>Allotey et al., 2024, Agrifootprint, Saget et al., 2021</t>
  </si>
  <si>
    <t>&amp; min value FAO wheat, 1991</t>
  </si>
  <si>
    <t>Kerkkonen patent, 1976, Industry websites</t>
  </si>
  <si>
    <t>Sayeslan et al., 2004, Barr patent, 1979</t>
  </si>
  <si>
    <t>USDA, FAO wheat, 1991</t>
  </si>
  <si>
    <t>Deng et al., 2013, Agrifootprint</t>
  </si>
  <si>
    <t>Brasil et al., 2016 (I)</t>
  </si>
  <si>
    <t>Verfaillie et al., 2023 (L)</t>
  </si>
  <si>
    <t>Verfaille et al., 2023</t>
  </si>
  <si>
    <t>Verfalillie et al., 2023 (L)</t>
  </si>
  <si>
    <t>FAO soy, 1992 (I), Deak et al., 2008 (B), Verfaille et al., 2023 (L)</t>
  </si>
  <si>
    <t>Deak et al., 2008 (B)</t>
  </si>
  <si>
    <t>Mustakas et al., 1979</t>
  </si>
  <si>
    <r>
      <t xml:space="preserve">Mustakas et al., 1979 (I), FAO soy, 1992 (I), </t>
    </r>
    <r>
      <rPr>
        <sz val="11"/>
        <color rgb="FFFF0000"/>
        <rFont val="Calibri"/>
        <family val="2"/>
        <scheme val="minor"/>
      </rPr>
      <t>Joosep</t>
    </r>
    <r>
      <rPr>
        <sz val="11"/>
        <color theme="1"/>
        <rFont val="Calibri"/>
        <family val="2"/>
        <scheme val="minor"/>
      </rPr>
      <t xml:space="preserve"> (I)</t>
    </r>
  </si>
  <si>
    <t>Mujumdar (ed.), 2006 (B)</t>
  </si>
  <si>
    <t>Mustakas, G. C. &amp; Sohns, V. E. Soy processes, equipment, capital, and processing costs. Cereal Foods World. 24, 320—323 (1979).</t>
  </si>
  <si>
    <t>Mujumdar, A. S. (Ed. . Handbook of Industrial Drying (3rd ed.). (CRC Press, 2006). https://doi.org/10.1201/9781420017618.</t>
  </si>
  <si>
    <t>Yu et al., 2021 (L)</t>
  </si>
  <si>
    <t>Wang et al., 2004 (L)</t>
  </si>
  <si>
    <t>Verfaille et al., 2023 (L)</t>
  </si>
  <si>
    <t>Deak et al., 2008 (B), Mujumdar (ed.), 2006 (B), Yu et al., 2021 (L), Wang et al., 2004 (L)</t>
  </si>
  <si>
    <t>FAO soy, 1992, Deak et al, 2008. (B), Verfaille et al., 2023 (L)</t>
  </si>
  <si>
    <t>Deak et al., 2008 (B), Yu et al., 2021 (L), Wang et al., 2004 (L)</t>
  </si>
  <si>
    <t>see calculations based on hexane solvent in Sheehan et al, 1998 (I)</t>
  </si>
  <si>
    <t>USDA Flour, semolina, fine, Marti et al. 2015</t>
  </si>
  <si>
    <t>Gluten content (%fs) wheat flour:</t>
  </si>
  <si>
    <t>Marti et al., 2015</t>
  </si>
  <si>
    <t>Industry input flottweg</t>
  </si>
  <si>
    <t>58-62%</t>
  </si>
  <si>
    <t>20-22%</t>
  </si>
  <si>
    <t>Starch content (%fs) wheat flour:</t>
  </si>
  <si>
    <t>van der Brought et al., 2005</t>
  </si>
  <si>
    <t>dm content gluten out (kg/kg)</t>
  </si>
  <si>
    <t>dm content starch out (kg/kg)</t>
  </si>
  <si>
    <t>Gluten content in (kg/kg)</t>
  </si>
  <si>
    <t>Gluten recovery (kg/kg)</t>
  </si>
  <si>
    <t>Starch content wheat flour (kg/kg)</t>
  </si>
  <si>
    <t>A starch recovery</t>
  </si>
  <si>
    <t>B starch recovery</t>
  </si>
  <si>
    <t>Fiber content wheat flour (%fs):</t>
  </si>
  <si>
    <t>Pentosan and solubles in wheat flour (%fs):</t>
  </si>
  <si>
    <t>calculated from mass balance</t>
  </si>
  <si>
    <t>Electricity_pumping_legumes</t>
  </si>
  <si>
    <t>Electricity_pumping_gluten</t>
  </si>
  <si>
    <t>Sayaslan et al., 2004, Industry input flottweg</t>
  </si>
  <si>
    <t>Heated to 30-40C; 30-32 according to flottweg. Room temperature assumed at 20C. If heat from hydrocyclone-process water is recovered, only ca 5C heating necessary</t>
  </si>
  <si>
    <t>Deng et al., 2013 (I)</t>
  </si>
  <si>
    <t>A starch yield tricanter</t>
  </si>
  <si>
    <t>TS_starch_tricanter</t>
  </si>
  <si>
    <t>TS_protein_tricanter</t>
  </si>
  <si>
    <t>TS_pentosan_tricanter</t>
  </si>
  <si>
    <t>Sedicanter/Decanting centrifuge</t>
  </si>
  <si>
    <t>A starch in B starch fraction</t>
  </si>
  <si>
    <t>Ring drying gluten</t>
  </si>
  <si>
    <t>Ring drying A starch</t>
  </si>
  <si>
    <t>Ring drying B starch</t>
  </si>
  <si>
    <t>Pin mill</t>
  </si>
  <si>
    <t>Evaporation pentosan</t>
  </si>
  <si>
    <t>Ring drying pentosan</t>
  </si>
  <si>
    <t>Industry input flottweg, National research council, 1981 (I)</t>
  </si>
  <si>
    <t>Nozzle centrifuge hydrocyclone</t>
  </si>
  <si>
    <t>Maningat et al., 2009, Industry input flottweg</t>
  </si>
  <si>
    <t>Values from specification sheets multiplied by 0.6-0.7 to obtain actual power consumption from max installed power</t>
  </si>
  <si>
    <t>Electricity_pin_mill</t>
  </si>
  <si>
    <t>Akkaya et al., 2020 (L)</t>
  </si>
  <si>
    <t>Saget et al. (P) reported 71 kJ/kg; Values from specification sheets multiplied by 0.6-0.7 to obtain actual power consumption from max installed power</t>
  </si>
  <si>
    <t>Saget et al. &amp; Allotey et al. (both P) reported 168 kJ/kg; Values from specification sheets multiplied by 0.6-0.7 to obtain actual power consumption from max installed power</t>
  </si>
  <si>
    <t>data in Geerts et al. based on GEA equipment; conversion to kJ/kg via density in formulas; Values from specification sheets multiplied by 0.6-0.7 to obtain actual power consumption from max installed power</t>
  </si>
  <si>
    <t>conversion to kJ/kg via density in formulas; Values from specification sheets multiplied by 0.6-0.7 to obtain actual power consumption from max installed power</t>
  </si>
  <si>
    <t>Mixing gluten B starch</t>
  </si>
  <si>
    <t>Density sedicanter (kg/l)</t>
  </si>
  <si>
    <t>Density centrifugal sieve A starch (kg/l)</t>
  </si>
  <si>
    <t>Density centrifugal sieve B starch (kg/l)</t>
  </si>
  <si>
    <t>Density nozzle centrifuge A starch (kg/l)</t>
  </si>
  <si>
    <t>Density nozzle centrifuge hydrocyclone (kg/l)</t>
  </si>
  <si>
    <t>Density nozzle centrifuge B starch (kg/l)</t>
  </si>
  <si>
    <t>Wheat_gluten_density_nozzle_centrifuge_B_starch</t>
  </si>
  <si>
    <t>Wheat_gluten_density_nozzle_centrifuge_hydrocyclone</t>
  </si>
  <si>
    <t>Wheat_gluten_density_nozzle_centrifuge_A_starch</t>
  </si>
  <si>
    <t>Wheat_gluten_density_centrifugal_sieve_A_starch</t>
  </si>
  <si>
    <t>Wheat_gluten_density_sedicanter</t>
  </si>
  <si>
    <t>Wheat_gluten_density_centrifugal_sieve_B_starch</t>
  </si>
  <si>
    <t>Wheat_gluten_A_starch_in_B_fraction</t>
  </si>
  <si>
    <t>Wheat_gluten_TS_pentosan_tricanter</t>
  </si>
  <si>
    <t>Wheat_gluten_TS_protein_tricanter</t>
  </si>
  <si>
    <t>Wheat_gluten_TS_starch_tricanter</t>
  </si>
  <si>
    <t>Wheat_gluten_A_starch_yield_tricanter</t>
  </si>
  <si>
    <t>Wheat_gluten_dm_content_starch</t>
  </si>
  <si>
    <t>Wheat_gluten_dm_content_gluten</t>
  </si>
  <si>
    <t>Wheat_gluten_dm_content_flour</t>
  </si>
  <si>
    <t>Wheat_gluten_starch_content_flour</t>
  </si>
  <si>
    <t>Wheat_gluten_B_starch_recovery</t>
  </si>
  <si>
    <t>Wheat_gluten_A_starch_recovery</t>
  </si>
  <si>
    <t>Pea_protein_isolation; Soy_protein_isolation; Soy_protein_concentration</t>
  </si>
  <si>
    <t>Soy_protein_concentration; Wheat_protein_separation</t>
  </si>
  <si>
    <t>Pea_protein_isolation; Soy_protein_isolation</t>
  </si>
  <si>
    <t>(-1)*params["Wheat_gluten_wastewater"]*params["Wheat_gluten_protein_out"]/params["Wheat_gluten_protein_recovery"]/params["Wheat_gluten_protein_in"]/1000</t>
  </si>
  <si>
    <t>params["Wheat_gluten_protein_out"]/params["Wheat_gluten_protein_recovery"]/params["Wheat_gluten_protein_in"]</t>
  </si>
  <si>
    <t>params["Wheat_gluten_protein_out"]/params["Wheat_gluten_protein_recovery"]/params["Wheat_gluten_protein_in"]/(1/params["Wheat_milling_price_ratio"]*params["Wheat_milling_side_streams"]+1)</t>
  </si>
  <si>
    <t>Whey / wastewater kg</t>
  </si>
  <si>
    <t>Whey / waste water kg</t>
  </si>
  <si>
    <t>Pressing spent flakes</t>
  </si>
  <si>
    <t>Flash dryer spent flakes</t>
  </si>
  <si>
    <t>Input pressing (kg / kg)</t>
  </si>
  <si>
    <t>Input flash dryer (kg/kg)</t>
  </si>
  <si>
    <t>params["SPI_dm_output"]*params["SPI_protein_out"]/params["SPI_protein_recovery"]/params["SPI_protein_in"]*params["SPI_HCl_input"]*params["SPI_solvent_ratio"]</t>
  </si>
  <si>
    <t>params["SPI_dm_output"]*params["SPI_protein_out"]/params["SPI_protein_recovery"]/params["SPI_protein_in"]*params["SPI_NaOH_input"]*params["SPI_solvent_ratio"]</t>
  </si>
  <si>
    <t>Wheat_protein_separation; Soy_protein_isolation</t>
  </si>
  <si>
    <t>Soy_protein_concentration; Soy_protein_isolation; Wheat_protein_separation</t>
  </si>
  <si>
    <t>SPI_mass_flow_flash_drier</t>
  </si>
  <si>
    <t>(params["SPI_dm_output"]*params["SPI_protein_out"]/params["SPI_protein_recovery"]/params["SPI_protein_in"]*((params["SPI_heating"]+params["SPI_solvent_ratio"])*params["SPI_temperature"]*4.2+params["SPI_mass_flow_flash_drier"]*params["Heat_flash_drier"])+(params["SPI_dm_output"]/params["dm_content_spray_drier"]-1)*params["Heat_spray_drier"])/1000</t>
  </si>
  <si>
    <t>Shares of solids in spent flakes:whey obtained from FAO (I) (0.4:0.25); 1.5-3% dm of whey depending on ratio of solvent:flakes from FAO (I)</t>
  </si>
  <si>
    <t>params["SPI_dm_output"]*params["SPI_protein_out"]/params["SPI_protein_recovery"]/params["SPI_protein_in"]*(((params["SPI_mass_flow_centrifuge"]+params["SPI_solvent_ratio"])/params["SPI_density_centrifuge"]+params["SPI_mass_flow_centrifuge_flakes"]*(params["SPI_mass_flow_centrifuge"]+params["SPI_solvent_ratio"])/params["SPI_density_centrifuge_flakes"]+(params["SPI_mass_flow_centrifuge_whey"]+params["SPI_mass_flow_centrifuge"]+params["SPI_solvent_ratio"])/params["SPI_density_centrifuge_whey"]+(params["SPI_mass_flow_centrifuge_protein"]+params["SPI_mass_flow_centrifuge"]+params["SPI_solvent_ratio"]-params["SPI_whey"]*params["SPI_solvent_ratio"])/params["SPI_density_centrifuge_protein"])*params["Electricity_centrifugal_decanter"]+params["SPI_spent_flakes"]*0.9/0.2*params["Electricity_pressing"])*(1+params["Electricity_pumping"])/3600</t>
  </si>
  <si>
    <t>Wheat_gluten_mass_flow_homogenisator</t>
  </si>
  <si>
    <t>Wheat_gluten_mass_flow_tricanter</t>
  </si>
  <si>
    <r>
      <t>params["Wheat_gluten_protein_out"]/params["Wheat_gluten_protein_recovery"]/params["Wheat_gluten_protein_in"]*(params["Electricity_mixing"]*params["Wheat_gluten_mass_flow_mixing"]+params["Electricity_homogenisator"]*params["Wheat_gluten_mass_flow_homogenisator"]+params["Electricity_centrifugal_decanter"]*params["Wheat_gluten_mass_flow_tricanter"]+(params["Electricity_mixing"]+params["Electricity_centrifugal_sieve"]/params["Wheat_gluten_density_centrifugal_sieve_B_starch"]+params["Electricity_nozzle_centrifuge"]/params["Wheat_gluten_density_nozzle_centrifuge_B_starch"])*(params["Wheat_gluten_starch_content_flour"]*params["Wheat_gluten_B_starch_recovery"]+params["Wheat_gluten_dm_content_gluten"]/params["Wheat_gluten_protein_out"]*params["Wheat_gluten_protein_recovery"]*params["Wheat_gluten_protein_in"]+params["Wheat_gluten_fiber"]*2/3+params["Wheat_gluten_starch_content_flour"]*params["Wheat_gluten_A_starch_in_B_fraction"])/params["Wheat_gluten_TS_protein_tricanter"]</t>
    </r>
    <r>
      <rPr>
        <sz val="11"/>
        <rFont val="Calibri"/>
        <family val="2"/>
        <scheme val="minor"/>
      </rPr>
      <t>+(params["Electricity_centrifugal_sieve"]/params["Wheat_gluten_density_centrifugal_sieve_B_starch"]+params["Electricity_nozzle_centrifuge"]/params["Wheat_gluten_density_nozzle_centrifuge_B_starch"])*params["Wheat_gluten_mass_flow_centrifugal_sieve_B_starch"]-params["Electricity_nozzle_centrifuge"]*params["Wheat_gluten_fiber"]*2/3/0.3/params["Wheat_gluten_density_nozzle_centrifuge_B_starch"]+params["Electricity_centrifugal_decanter"]*params["Wheat_gluten_pentosans"]/0.085/params["Wheat_gluten_density_sedicanter"]+(params["Electricity_centrifugal_sieve"]/params["Wheat_gluten_density_centrifugal_sieve_A_starch"]+params["Electricity_nozzle_centrifuge"]/params["Wheat_gluten_density_nozzle_centrifuge_A_starch"])*(params["Wheat_gluten_starch_content_flour"]*params["Wheat_gluten_A_starch_recovery"]+params["Wheat_gluten_fiber"]/3-params["Wheat_gluten_starch_content_flour"]*params["Wheat_gluten_A_starch_in_B_fraction"])/params["Wheat_gluten_TS_starch_tricanter"]*3-params["Electricity_nozzle_centrifuge"]*params["Wheat_gluten_fiber"]/3/0.3/params["Wheat_gluten_density_nozzle_centrifuge_A_starch"]+(params["Electricity_hydrocyclone"]*params["Wheat_gluten_num_hydrocyclones"]+params["Electricity_nozzle_centrifuge"]/params["Wheat_gluten_density_nozzle_centrifuge_hydrocyclone"])*(params["Wheat_gluten_starch_content_flour"]*params["Wheat_gluten_A_starch_recovery"]/0.3+params["Wheat_gluten_starch_content_flour"]*params["Wheat_gluten_A_starch_in_B_fraction"]*(1/0.1-1/0.3)+params["Wheat_gluten_mass_flow_hydrocyclones"])-params["Electricity_nozzle_centrifuge"]*params["Wheat_gluten_starch_content_flour"]*params["Wheat_gluten_A_starch_recovery"]/0.4/params["Wheat_gluten_density_nozzle_centrifuge_hydrocyclone"]+params["Electricity_pressing"]*params["Wheat_gluten_starch_content_flour"]*params["Wheat_gluten_A_starch_recovery"]/0.4+params["Electricity_evaporation"]*params["Wheat_gluten_pentosans"]*(1/0.35-1/0.5)+params["Electricity_pin_mill"])*(1+params["Electricity_pumping_gluten"])/3600</t>
    </r>
  </si>
  <si>
    <t>params["Wheat_gluten_protein_out"]/params["Wheat_gluten_protein_recovery"]/params["Wheat_gluten_protein_in"]*(params["Wheat_gluten_temperature"]*params["Wheat_gluten_mass_flow_heating"]*4.2+params["Heat_flash_drier"]*params["Wheat_gluten_fiber"]/0.9*(0.9/0.3-1)+params["Heat_ring_drier"]*(params["Wheat_gluten_starch_content_flour"]*params["Wheat_gluten_A_starch_recovery"]/params["Wheat_gluten_dm_content_starch"]*(params["Wheat_gluten_dm_content_starch"]/0.65-1)+params["Wheat_gluten_starch_content_flour"]*params["Wheat_gluten_B_starch_recovery"]/params["Wheat_gluten_dm_content_starch"]*(params["Wheat_gluten_dm_content_starch"]/0.4-1)+1/params["Wheat_gluten_protein_out"]*params["Wheat_gluten_protein_recovery"]*params["Wheat_gluten_protein_in"]*(params["Wheat_gluten_dm_content_gluten"]/0.3-1)+params["Wheat_gluten_pentosans"]/0.9*(0.9/0.5-1))+params["Heat_evaporation_water"]*params["Wheat_gluten_pentosans"]/0.9*(0.9/0.35-0.9/0.5))/1000</t>
  </si>
  <si>
    <t>1/(1+1/params["Wheat_gluten_price_ratio_A_starch"]*params["Wheat_gluten_A_starch_recovery"]*params["Wheat_gluten_starch_content_flour"]*params["Wheat_gluten_protein_out"]/params["Wheat_gluten_protein_recovery"]/params["Wheat_gluten_protein_in"]+1/params["Wheat_gluten_price_ratio_B_starch"]*params["Wheat_gluten_B_starch_recovery"]*params["Wheat_gluten_starch_content_flour"]*params["Wheat_gluten_protein_out"]/params["Wheat_gluten_protein_recovery"]/params["Wheat_gluten_protein_in"])</t>
  </si>
  <si>
    <t>1/(1+1/params["Wheat_gluten_price_ratio_A_starch"]*params["Wheat_gluten_A_starch_recovery"]*params["Wheat_gluten_starch_content_flour"]*params["Wheat_gluten_protein_out"]/params["Wheat_gluten_protein_recovery"]/params["Wheat_gluten_protein_in"]+1/params["Wheat_gluten_price_ratio_B_starch"]*params["Wheat_gluten_B_starch_recovery"]*params["Wheat_gluten_starch_content_flour"]*params["Wheat_gluten_protein_out"]/params["Wheat_gluten_protein_recovery"]/params["Wheat_gluten_protein_in"])/params["Wheat_gluten_protein_out"]</t>
  </si>
  <si>
    <t>Information about this document:</t>
  </si>
  <si>
    <r>
      <t xml:space="preserve">This data is linked to the publication </t>
    </r>
    <r>
      <rPr>
        <b/>
        <i/>
        <sz val="11"/>
        <color theme="1"/>
        <rFont val="Calibri"/>
        <family val="2"/>
        <scheme val="minor"/>
      </rPr>
      <t>"Parametric assessment of regionalized environmental impacts from plant protein ingredients at the example of pea, soy and wheat"</t>
    </r>
  </si>
  <si>
    <t>Content:</t>
  </si>
  <si>
    <t>1. Data sources overview</t>
  </si>
  <si>
    <t>Contains all the data sources that were used to model all the processing steps in the production of pea, soy, and wheat protein ingredients.</t>
  </si>
  <si>
    <t>2. Energy consumption machinery</t>
  </si>
  <si>
    <t>Overview of the specific energy demand of equipment.</t>
  </si>
  <si>
    <t>3. Process tabs</t>
  </si>
  <si>
    <t>Material flows and energy consumption of each process step including material and energy flow diagrams for the protein extraction processes.</t>
  </si>
  <si>
    <t>4. Parameter values and formulas</t>
  </si>
  <si>
    <t>Parameter values and formulas to export as csv for the parameteric assessments.</t>
  </si>
  <si>
    <t>Tap Water kg</t>
  </si>
  <si>
    <t>Tap water kg</t>
  </si>
  <si>
    <t>params["Soy_defatting_water"]</t>
  </si>
  <si>
    <t>(params["SPI_dm_output"]*params["SPI_protein_out"]/params["SPI_protein_recovery"]/params["SPI_protein_in"]*(1-params["SPI_dm_input"]+params["SPI_solvent_ratio"]*params["SPI_whey"]+params["SPI_spent_flakes"]*0.1+params["SPI_mass_flow_flash_drier"])+1-params["SPI_dm_output"]+params["SPI_dm_output"]/params["dm_content_spray_drier"]-1)</t>
  </si>
  <si>
    <t>params["PPI_water_input"]*params["PPI_dm_output"]*params["PPI_protein_out"]/params["PPI_protein_recovery"]/params["PPI_protein_in"]</t>
  </si>
  <si>
    <t>params["SPC_water_input"]*params["SPC_protein_out"]/params["SPC_protein_recovery"]/params["SPC_protein_in"]</t>
  </si>
  <si>
    <t>params["Wheat_milling_water"]</t>
  </si>
  <si>
    <t>params["Wheat_gluten_water_input"]*params["Wheat_gluten_protein_out"]/params["Wheat_gluten_protein_recovery"]/params["Wheat_gluten_protein_in"]</t>
  </si>
  <si>
    <t>(-1)*params["Soy_defatting_wastewater"]/1000</t>
  </si>
  <si>
    <t>(-1)*params["SPI_dm_output"]*params["SPI_protein_out"]/params["SPI_protein_recovery"]/params["SPI_protein_in"]*params["SPI_whey"]*params["SPI_solvent_ratio"]/1000</t>
  </si>
  <si>
    <t>(-1)*params["PPI_dm_output"]*params["PPI_protein_out"]/params["PPI_protein_recovery"]/params["PPI_protein_in"]*params["PPI_whey_output"]/1000</t>
  </si>
  <si>
    <t>Price ratio soybean meal:soybean oil</t>
  </si>
  <si>
    <t>Parameters conditioning, flaking and defatting soy</t>
  </si>
  <si>
    <t>Industry report , 2022</t>
  </si>
  <si>
    <r>
      <t xml:space="preserve">FAO soy, 1992 (I), Deak et al., 2008 (B), </t>
    </r>
    <r>
      <rPr>
        <sz val="11"/>
        <rFont val="Calibri"/>
        <family val="2"/>
        <scheme val="minor"/>
      </rPr>
      <t>Industry expert</t>
    </r>
  </si>
  <si>
    <r>
      <rPr>
        <sz val="11"/>
        <rFont val="Calibri"/>
        <family val="2"/>
        <scheme val="minor"/>
      </rPr>
      <t xml:space="preserve">Industry expert: </t>
    </r>
    <r>
      <rPr>
        <sz val="11"/>
        <color theme="1"/>
        <rFont val="Calibri"/>
        <family val="2"/>
        <scheme val="minor"/>
      </rPr>
      <t>13.5kg water / kg. Assumption: 10 kg/kg for soaking + 6 kg water for protein wash</t>
    </r>
  </si>
  <si>
    <t>Estimated max loss factor desolventizing (Expert judgement):</t>
  </si>
  <si>
    <t>Agrifootprint, Industry report 2022</t>
  </si>
  <si>
    <t>(Agrifootprint and industry report, 2022)</t>
  </si>
  <si>
    <t>Industry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</si>
</sst>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0.000"/>
    <numFmt numFmtId="166" formatCode="0.00000"/>
    <numFmt numFmtId="167" formatCode="0.0000"/>
    <numFmt numFmtId="168" formatCode="0.000000"/>
    <numFmt numFmtId="169" formatCode="0.00000000000000"/>
    <numFmt numFmtId="170" formatCode="0.0000000"/>
    <numFmt numFmtId="171" formatCode="0.000000000"/>
    <numFmt numFmtId="172" formatCode="0.00000000000"/>
    <numFmt numFmtId="173" formatCode="0.000000000000"/>
    <numFmt numFmtId="174" formatCode="0.0000000000000"/>
    <numFmt numFmtId="175" formatCode="0.000000000000000"/>
    <numFmt numFmtId="176" formatCode="0.0000000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</font>
    <font>
      <sz val="11"/>
      <name val="Aptos Narrow"/>
      <family val="2"/>
      <charset val="1"/>
    </font>
    <font>
      <sz val="11"/>
      <color rgb="FFFF0000"/>
      <name val="Aptos Narrow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rgb="FFFBE3D6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rgb="FFFBE3D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4" fillId="0" borderId="0" xfId="1"/>
    <xf numFmtId="0" fontId="5" fillId="0" borderId="0" xfId="0" applyFont="1"/>
    <xf numFmtId="164" fontId="6" fillId="0" borderId="0" xfId="0" applyNumberFormat="1" applyFont="1"/>
    <xf numFmtId="0" fontId="1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3" borderId="7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7" fillId="0" borderId="0" xfId="0" applyFont="1"/>
    <xf numFmtId="0" fontId="0" fillId="0" borderId="9" xfId="0" applyBorder="1"/>
    <xf numFmtId="0" fontId="0" fillId="4" borderId="9" xfId="0" applyFill="1" applyBorder="1"/>
    <xf numFmtId="0" fontId="0" fillId="5" borderId="9" xfId="0" applyFill="1" applyBorder="1" applyAlignment="1">
      <alignment wrapText="1"/>
    </xf>
    <xf numFmtId="2" fontId="0" fillId="5" borderId="9" xfId="0" applyNumberFormat="1" applyFill="1" applyBorder="1"/>
    <xf numFmtId="2" fontId="8" fillId="5" borderId="9" xfId="0" applyNumberFormat="1" applyFont="1" applyFill="1" applyBorder="1"/>
    <xf numFmtId="0" fontId="0" fillId="5" borderId="9" xfId="0" applyFill="1" applyBorder="1"/>
    <xf numFmtId="0" fontId="9" fillId="6" borderId="9" xfId="0" applyFont="1" applyFill="1" applyBorder="1"/>
    <xf numFmtId="2" fontId="10" fillId="0" borderId="9" xfId="0" applyNumberFormat="1" applyFont="1" applyBorder="1"/>
    <xf numFmtId="2" fontId="0" fillId="0" borderId="9" xfId="0" applyNumberFormat="1" applyBorder="1"/>
    <xf numFmtId="2" fontId="10" fillId="7" borderId="9" xfId="0" applyNumberFormat="1" applyFont="1" applyFill="1" applyBorder="1"/>
    <xf numFmtId="2" fontId="0" fillId="8" borderId="9" xfId="0" applyNumberFormat="1" applyFill="1" applyBorder="1"/>
    <xf numFmtId="0" fontId="0" fillId="9" borderId="9" xfId="0" applyFill="1" applyBorder="1"/>
    <xf numFmtId="2" fontId="10" fillId="5" borderId="9" xfId="0" applyNumberFormat="1" applyFont="1" applyFill="1" applyBorder="1"/>
    <xf numFmtId="0" fontId="0" fillId="7" borderId="9" xfId="0" applyFill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0" fillId="8" borderId="14" xfId="0" applyFill="1" applyBorder="1"/>
    <xf numFmtId="0" fontId="0" fillId="0" borderId="23" xfId="0" applyBorder="1"/>
    <xf numFmtId="0" fontId="0" fillId="0" borderId="24" xfId="0" applyBorder="1"/>
    <xf numFmtId="0" fontId="0" fillId="2" borderId="14" xfId="0" applyFill="1" applyBorder="1"/>
    <xf numFmtId="0" fontId="0" fillId="10" borderId="18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2" xfId="0" applyFill="1" applyBorder="1"/>
    <xf numFmtId="0" fontId="0" fillId="11" borderId="23" xfId="0" applyFill="1" applyBorder="1"/>
    <xf numFmtId="0" fontId="0" fillId="11" borderId="9" xfId="0" applyFill="1" applyBorder="1"/>
    <xf numFmtId="0" fontId="0" fillId="11" borderId="24" xfId="0" applyFill="1" applyBorder="1"/>
    <xf numFmtId="2" fontId="0" fillId="8" borderId="15" xfId="0" applyNumberFormat="1" applyFill="1" applyBorder="1"/>
    <xf numFmtId="2" fontId="0" fillId="2" borderId="15" xfId="0" applyNumberFormat="1" applyFill="1" applyBorder="1"/>
    <xf numFmtId="2" fontId="0" fillId="10" borderId="19" xfId="0" applyNumberFormat="1" applyFill="1" applyBorder="1"/>
    <xf numFmtId="2" fontId="0" fillId="8" borderId="12" xfId="0" applyNumberFormat="1" applyFill="1" applyBorder="1"/>
    <xf numFmtId="2" fontId="0" fillId="2" borderId="12" xfId="0" applyNumberFormat="1" applyFill="1" applyBorder="1"/>
    <xf numFmtId="2" fontId="0" fillId="10" borderId="17" xfId="0" applyNumberFormat="1" applyFill="1" applyBorder="1"/>
    <xf numFmtId="2" fontId="0" fillId="8" borderId="14" xfId="0" applyNumberFormat="1" applyFill="1" applyBorder="1"/>
    <xf numFmtId="2" fontId="0" fillId="2" borderId="14" xfId="0" applyNumberFormat="1" applyFill="1" applyBorder="1"/>
    <xf numFmtId="2" fontId="0" fillId="10" borderId="18" xfId="0" applyNumberFormat="1" applyFill="1" applyBorder="1"/>
    <xf numFmtId="2" fontId="0" fillId="8" borderId="23" xfId="0" applyNumberFormat="1" applyFill="1" applyBorder="1"/>
    <xf numFmtId="2" fontId="0" fillId="2" borderId="23" xfId="0" applyNumberFormat="1" applyFill="1" applyBorder="1"/>
    <xf numFmtId="2" fontId="0" fillId="10" borderId="20" xfId="0" applyNumberFormat="1" applyFill="1" applyBorder="1"/>
    <xf numFmtId="2" fontId="0" fillId="10" borderId="13" xfId="0" applyNumberFormat="1" applyFill="1" applyBorder="1"/>
    <xf numFmtId="2" fontId="0" fillId="8" borderId="24" xfId="0" applyNumberFormat="1" applyFill="1" applyBorder="1"/>
    <xf numFmtId="2" fontId="0" fillId="10" borderId="21" xfId="0" applyNumberFormat="1" applyFill="1" applyBorder="1"/>
    <xf numFmtId="167" fontId="0" fillId="0" borderId="0" xfId="0" applyNumberFormat="1"/>
    <xf numFmtId="0" fontId="2" fillId="2" borderId="1" xfId="0" applyFont="1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8" xfId="0" applyNumberFormat="1" applyFill="1" applyBorder="1"/>
    <xf numFmtId="0" fontId="0" fillId="2" borderId="8" xfId="0" applyFill="1" applyBorder="1"/>
    <xf numFmtId="2" fontId="0" fillId="2" borderId="8" xfId="0" applyNumberFormat="1" applyFill="1" applyBorder="1"/>
    <xf numFmtId="0" fontId="0" fillId="2" borderId="6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6" fillId="2" borderId="0" xfId="0" applyFont="1" applyFill="1"/>
    <xf numFmtId="2" fontId="0" fillId="2" borderId="4" xfId="0" applyNumberFormat="1" applyFill="1" applyBorder="1"/>
    <xf numFmtId="2" fontId="0" fillId="2" borderId="6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0" fontId="1" fillId="2" borderId="3" xfId="0" applyFont="1" applyFill="1" applyBorder="1"/>
    <xf numFmtId="2" fontId="5" fillId="2" borderId="4" xfId="0" applyNumberFormat="1" applyFont="1" applyFill="1" applyBorder="1"/>
    <xf numFmtId="164" fontId="6" fillId="2" borderId="8" xfId="0" applyNumberFormat="1" applyFont="1" applyFill="1" applyBorder="1"/>
    <xf numFmtId="2" fontId="6" fillId="2" borderId="8" xfId="0" applyNumberFormat="1" applyFont="1" applyFill="1" applyBorder="1"/>
    <xf numFmtId="167" fontId="0" fillId="2" borderId="8" xfId="0" applyNumberFormat="1" applyFill="1" applyBorder="1"/>
    <xf numFmtId="166" fontId="0" fillId="0" borderId="0" xfId="0" applyNumberFormat="1"/>
    <xf numFmtId="9" fontId="0" fillId="0" borderId="0" xfId="0" applyNumberFormat="1"/>
    <xf numFmtId="0" fontId="0" fillId="11" borderId="1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6" xfId="0" applyFill="1" applyBorder="1"/>
    <xf numFmtId="165" fontId="6" fillId="2" borderId="8" xfId="0" applyNumberFormat="1" applyFont="1" applyFill="1" applyBorder="1"/>
    <xf numFmtId="0" fontId="0" fillId="11" borderId="0" xfId="0" applyFill="1"/>
    <xf numFmtId="0" fontId="0" fillId="10" borderId="2" xfId="0" applyFill="1" applyBorder="1"/>
    <xf numFmtId="0" fontId="0" fillId="10" borderId="3" xfId="0" applyFill="1" applyBorder="1"/>
    <xf numFmtId="2" fontId="0" fillId="10" borderId="4" xfId="0" applyNumberFormat="1" applyFill="1" applyBorder="1"/>
    <xf numFmtId="165" fontId="0" fillId="10" borderId="4" xfId="0" applyNumberFormat="1" applyFill="1" applyBorder="1"/>
    <xf numFmtId="0" fontId="0" fillId="10" borderId="4" xfId="0" applyFill="1" applyBorder="1"/>
    <xf numFmtId="0" fontId="1" fillId="10" borderId="3" xfId="0" applyFont="1" applyFill="1" applyBorder="1"/>
    <xf numFmtId="0" fontId="0" fillId="10" borderId="5" xfId="0" applyFill="1" applyBorder="1"/>
    <xf numFmtId="0" fontId="1" fillId="11" borderId="7" xfId="0" applyFont="1" applyFill="1" applyBorder="1"/>
    <xf numFmtId="164" fontId="0" fillId="11" borderId="0" xfId="0" applyNumberFormat="1" applyFill="1"/>
    <xf numFmtId="0" fontId="1" fillId="11" borderId="0" xfId="0" applyFont="1" applyFill="1"/>
    <xf numFmtId="0" fontId="0" fillId="8" borderId="1" xfId="0" applyFill="1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0" xfId="0" applyFill="1"/>
    <xf numFmtId="0" fontId="0" fillId="8" borderId="4" xfId="0" applyFill="1" applyBorder="1"/>
    <xf numFmtId="164" fontId="0" fillId="8" borderId="0" xfId="0" applyNumberFormat="1" applyFill="1"/>
    <xf numFmtId="165" fontId="0" fillId="8" borderId="0" xfId="0" applyNumberFormat="1" applyFill="1"/>
    <xf numFmtId="2" fontId="0" fillId="8" borderId="0" xfId="0" applyNumberFormat="1" applyFill="1"/>
    <xf numFmtId="167" fontId="0" fillId="8" borderId="0" xfId="0" applyNumberFormat="1" applyFill="1"/>
    <xf numFmtId="0" fontId="1" fillId="8" borderId="0" xfId="0" applyFont="1" applyFill="1"/>
    <xf numFmtId="0" fontId="0" fillId="8" borderId="5" xfId="0" applyFill="1" applyBorder="1"/>
    <xf numFmtId="164" fontId="0" fillId="8" borderId="8" xfId="0" applyNumberFormat="1" applyFill="1" applyBorder="1"/>
    <xf numFmtId="0" fontId="0" fillId="8" borderId="6" xfId="0" applyFill="1" applyBorder="1"/>
    <xf numFmtId="1" fontId="0" fillId="10" borderId="4" xfId="0" applyNumberFormat="1" applyFill="1" applyBorder="1"/>
    <xf numFmtId="0" fontId="0" fillId="8" borderId="8" xfId="0" applyFill="1" applyBorder="1"/>
    <xf numFmtId="164" fontId="0" fillId="11" borderId="4" xfId="0" applyNumberFormat="1" applyFill="1" applyBorder="1"/>
    <xf numFmtId="0" fontId="1" fillId="8" borderId="3" xfId="0" applyFont="1" applyFill="1" applyBorder="1"/>
    <xf numFmtId="2" fontId="0" fillId="10" borderId="6" xfId="0" applyNumberFormat="1" applyFill="1" applyBorder="1"/>
    <xf numFmtId="0" fontId="1" fillId="11" borderId="1" xfId="0" applyFont="1" applyFill="1" applyBorder="1"/>
    <xf numFmtId="0" fontId="5" fillId="11" borderId="3" xfId="0" applyFont="1" applyFill="1" applyBorder="1"/>
    <xf numFmtId="9" fontId="5" fillId="11" borderId="3" xfId="0" applyNumberFormat="1" applyFont="1" applyFill="1" applyBorder="1"/>
    <xf numFmtId="164" fontId="0" fillId="10" borderId="4" xfId="0" applyNumberFormat="1" applyFill="1" applyBorder="1"/>
    <xf numFmtId="165" fontId="0" fillId="10" borderId="6" xfId="0" applyNumberFormat="1" applyFill="1" applyBorder="1"/>
    <xf numFmtId="0" fontId="6" fillId="8" borderId="3" xfId="0" applyFont="1" applyFill="1" applyBorder="1"/>
    <xf numFmtId="0" fontId="6" fillId="8" borderId="0" xfId="0" applyFont="1" applyFill="1"/>
    <xf numFmtId="164" fontId="6" fillId="8" borderId="0" xfId="0" applyNumberFormat="1" applyFont="1" applyFill="1"/>
    <xf numFmtId="2" fontId="6" fillId="8" borderId="0" xfId="0" applyNumberFormat="1" applyFont="1" applyFill="1"/>
    <xf numFmtId="0" fontId="1" fillId="8" borderId="4" xfId="0" applyFont="1" applyFill="1" applyBorder="1"/>
    <xf numFmtId="164" fontId="1" fillId="8" borderId="0" xfId="0" applyNumberFormat="1" applyFont="1" applyFill="1"/>
    <xf numFmtId="164" fontId="12" fillId="8" borderId="0" xfId="0" applyNumberFormat="1" applyFont="1" applyFill="1"/>
    <xf numFmtId="0" fontId="12" fillId="8" borderId="4" xfId="0" applyFont="1" applyFill="1" applyBorder="1"/>
    <xf numFmtId="164" fontId="1" fillId="8" borderId="4" xfId="0" applyNumberFormat="1" applyFont="1" applyFill="1" applyBorder="1"/>
    <xf numFmtId="165" fontId="1" fillId="8" borderId="0" xfId="0" applyNumberFormat="1" applyFont="1" applyFill="1"/>
    <xf numFmtId="164" fontId="1" fillId="8" borderId="8" xfId="0" applyNumberFormat="1" applyFont="1" applyFill="1" applyBorder="1"/>
    <xf numFmtId="0" fontId="1" fillId="8" borderId="6" xfId="0" applyFont="1" applyFill="1" applyBorder="1"/>
    <xf numFmtId="0" fontId="5" fillId="8" borderId="0" xfId="0" applyFont="1" applyFill="1"/>
    <xf numFmtId="164" fontId="5" fillId="8" borderId="0" xfId="0" applyNumberFormat="1" applyFont="1" applyFill="1"/>
    <xf numFmtId="0" fontId="0" fillId="2" borderId="1" xfId="0" applyFill="1" applyBorder="1"/>
    <xf numFmtId="1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168" fontId="0" fillId="2" borderId="0" xfId="0" applyNumberFormat="1" applyFill="1"/>
    <xf numFmtId="0" fontId="0" fillId="3" borderId="0" xfId="0" applyFill="1"/>
    <xf numFmtId="2" fontId="0" fillId="12" borderId="0" xfId="0" applyNumberFormat="1" applyFill="1"/>
    <xf numFmtId="167" fontId="0" fillId="12" borderId="0" xfId="0" applyNumberFormat="1" applyFill="1"/>
    <xf numFmtId="2" fontId="0" fillId="3" borderId="0" xfId="0" applyNumberFormat="1" applyFill="1"/>
    <xf numFmtId="0" fontId="0" fillId="3" borderId="1" xfId="0" applyFill="1" applyBorder="1"/>
    <xf numFmtId="0" fontId="0" fillId="12" borderId="3" xfId="0" applyFill="1" applyBorder="1" applyAlignment="1">
      <alignment wrapText="1"/>
    </xf>
    <xf numFmtId="2" fontId="0" fillId="12" borderId="8" xfId="0" applyNumberFormat="1" applyFill="1" applyBorder="1"/>
    <xf numFmtId="167" fontId="0" fillId="12" borderId="8" xfId="0" applyNumberFormat="1" applyFill="1" applyBorder="1"/>
    <xf numFmtId="167" fontId="0" fillId="12" borderId="4" xfId="0" applyNumberFormat="1" applyFill="1" applyBorder="1"/>
    <xf numFmtId="166" fontId="0" fillId="3" borderId="0" xfId="0" applyNumberFormat="1" applyFill="1"/>
    <xf numFmtId="167" fontId="0" fillId="3" borderId="0" xfId="0" applyNumberFormat="1" applyFill="1"/>
    <xf numFmtId="166" fontId="0" fillId="3" borderId="8" xfId="0" applyNumberFormat="1" applyFill="1" applyBorder="1"/>
    <xf numFmtId="167" fontId="0" fillId="12" borderId="6" xfId="0" applyNumberFormat="1" applyFill="1" applyBorder="1"/>
    <xf numFmtId="166" fontId="0" fillId="10" borderId="4" xfId="0" applyNumberFormat="1" applyFill="1" applyBorder="1"/>
    <xf numFmtId="0" fontId="1" fillId="11" borderId="4" xfId="0" applyFont="1" applyFill="1" applyBorder="1"/>
    <xf numFmtId="0" fontId="1" fillId="11" borderId="3" xfId="0" applyFont="1" applyFill="1" applyBorder="1"/>
    <xf numFmtId="0" fontId="5" fillId="2" borderId="0" xfId="0" applyFont="1" applyFill="1"/>
    <xf numFmtId="0" fontId="2" fillId="10" borderId="1" xfId="0" applyFont="1" applyFill="1" applyBorder="1"/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2" fontId="0" fillId="11" borderId="0" xfId="0" applyNumberFormat="1" applyFill="1"/>
    <xf numFmtId="0" fontId="1" fillId="11" borderId="2" xfId="0" applyFont="1" applyFill="1" applyBorder="1"/>
    <xf numFmtId="0" fontId="5" fillId="11" borderId="0" xfId="0" applyFont="1" applyFill="1"/>
    <xf numFmtId="0" fontId="5" fillId="11" borderId="6" xfId="0" applyFont="1" applyFill="1" applyBorder="1"/>
    <xf numFmtId="0" fontId="6" fillId="11" borderId="0" xfId="0" applyFont="1" applyFill="1"/>
    <xf numFmtId="0" fontId="16" fillId="0" borderId="0" xfId="0" applyFont="1"/>
    <xf numFmtId="0" fontId="0" fillId="2" borderId="8" xfId="0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0" fontId="0" fillId="2" borderId="4" xfId="0" applyFill="1" applyBorder="1" applyAlignment="1">
      <alignment wrapText="1"/>
    </xf>
    <xf numFmtId="164" fontId="0" fillId="2" borderId="0" xfId="0" applyNumberFormat="1" applyFill="1" applyAlignment="1">
      <alignment vertical="center"/>
    </xf>
    <xf numFmtId="166" fontId="0" fillId="10" borderId="6" xfId="0" applyNumberFormat="1" applyFill="1" applyBorder="1"/>
    <xf numFmtId="167" fontId="0" fillId="10" borderId="6" xfId="0" applyNumberFormat="1" applyFill="1" applyBorder="1"/>
    <xf numFmtId="0" fontId="1" fillId="0" borderId="1" xfId="0" applyFont="1" applyBorder="1"/>
    <xf numFmtId="167" fontId="0" fillId="10" borderId="4" xfId="0" applyNumberFormat="1" applyFill="1" applyBorder="1"/>
    <xf numFmtId="166" fontId="5" fillId="10" borderId="4" xfId="0" applyNumberFormat="1" applyFont="1" applyFill="1" applyBorder="1"/>
    <xf numFmtId="164" fontId="6" fillId="2" borderId="0" xfId="0" applyNumberFormat="1" applyFont="1" applyFill="1"/>
    <xf numFmtId="2" fontId="6" fillId="2" borderId="0" xfId="0" applyNumberFormat="1" applyFont="1" applyFill="1"/>
    <xf numFmtId="0" fontId="0" fillId="0" borderId="6" xfId="0" applyBorder="1"/>
    <xf numFmtId="0" fontId="0" fillId="0" borderId="32" xfId="0" applyBorder="1"/>
    <xf numFmtId="0" fontId="17" fillId="0" borderId="0" xfId="0" applyFont="1"/>
    <xf numFmtId="169" fontId="0" fillId="0" borderId="0" xfId="0" applyNumberFormat="1"/>
    <xf numFmtId="164" fontId="0" fillId="10" borderId="6" xfId="0" applyNumberFormat="1" applyFill="1" applyBorder="1"/>
    <xf numFmtId="0" fontId="0" fillId="13" borderId="9" xfId="0" applyFill="1" applyBorder="1"/>
    <xf numFmtId="2" fontId="0" fillId="13" borderId="9" xfId="0" applyNumberFormat="1" applyFill="1" applyBorder="1"/>
    <xf numFmtId="0" fontId="8" fillId="13" borderId="9" xfId="0" applyFont="1" applyFill="1" applyBorder="1"/>
    <xf numFmtId="0" fontId="5" fillId="11" borderId="8" xfId="0" applyFont="1" applyFill="1" applyBorder="1"/>
    <xf numFmtId="2" fontId="0" fillId="11" borderId="3" xfId="0" applyNumberFormat="1" applyFill="1" applyBorder="1"/>
    <xf numFmtId="0" fontId="0" fillId="2" borderId="0" xfId="0" applyFill="1" applyAlignment="1">
      <alignment wrapText="1"/>
    </xf>
    <xf numFmtId="0" fontId="0" fillId="2" borderId="4" xfId="0" applyFill="1" applyBorder="1" applyAlignment="1">
      <alignment horizontal="left" wrapText="1"/>
    </xf>
    <xf numFmtId="164" fontId="0" fillId="2" borderId="0" xfId="0" applyNumberFormat="1" applyFill="1" applyAlignment="1">
      <alignment vertical="center" wrapText="1"/>
    </xf>
    <xf numFmtId="2" fontId="1" fillId="8" borderId="0" xfId="0" applyNumberFormat="1" applyFont="1" applyFill="1"/>
    <xf numFmtId="164" fontId="13" fillId="8" borderId="0" xfId="0" applyNumberFormat="1" applyFont="1" applyFill="1"/>
    <xf numFmtId="0" fontId="13" fillId="8" borderId="0" xfId="0" applyFont="1" applyFill="1"/>
    <xf numFmtId="164" fontId="13" fillId="8" borderId="8" xfId="0" applyNumberFormat="1" applyFont="1" applyFill="1" applyBorder="1"/>
    <xf numFmtId="0" fontId="1" fillId="8" borderId="8" xfId="0" applyFont="1" applyFill="1" applyBorder="1"/>
    <xf numFmtId="1" fontId="0" fillId="8" borderId="0" xfId="0" applyNumberFormat="1" applyFill="1"/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/>
    </xf>
    <xf numFmtId="1" fontId="13" fillId="8" borderId="0" xfId="0" applyNumberFormat="1" applyFont="1" applyFill="1"/>
    <xf numFmtId="0" fontId="0" fillId="0" borderId="0" xfId="0" applyAlignment="1">
      <alignment wrapText="1"/>
    </xf>
    <xf numFmtId="0" fontId="0" fillId="2" borderId="4" xfId="0" applyFill="1" applyBorder="1" applyAlignment="1">
      <alignment vertical="center" wrapText="1"/>
    </xf>
    <xf numFmtId="170" fontId="0" fillId="10" borderId="4" xfId="0" applyNumberFormat="1" applyFill="1" applyBorder="1"/>
    <xf numFmtId="170" fontId="0" fillId="0" borderId="0" xfId="0" applyNumberFormat="1"/>
    <xf numFmtId="2" fontId="6" fillId="2" borderId="4" xfId="0" applyNumberFormat="1" applyFont="1" applyFill="1" applyBorder="1"/>
    <xf numFmtId="1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14" borderId="0" xfId="0" applyFill="1"/>
    <xf numFmtId="0" fontId="0" fillId="10" borderId="0" xfId="0" applyFill="1"/>
    <xf numFmtId="0" fontId="5" fillId="13" borderId="0" xfId="0" applyFont="1" applyFill="1"/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2" fontId="0" fillId="2" borderId="26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2" fontId="0" fillId="2" borderId="31" xfId="0" applyNumberFormat="1" applyFill="1" applyBorder="1" applyAlignment="1">
      <alignment horizontal="center"/>
    </xf>
    <xf numFmtId="0" fontId="6" fillId="3" borderId="5" xfId="0" applyFont="1" applyFill="1" applyBorder="1"/>
    <xf numFmtId="0" fontId="6" fillId="12" borderId="5" xfId="0" applyFont="1" applyFill="1" applyBorder="1" applyAlignment="1">
      <alignment wrapText="1"/>
    </xf>
    <xf numFmtId="0" fontId="6" fillId="0" borderId="0" xfId="0" applyFont="1"/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23</xdr:row>
      <xdr:rowOff>45834</xdr:rowOff>
    </xdr:from>
    <xdr:to>
      <xdr:col>18</xdr:col>
      <xdr:colOff>572577</xdr:colOff>
      <xdr:row>51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0B17E8-54F4-C867-1AB4-9202F260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49700" y="4293984"/>
          <a:ext cx="10307127" cy="6040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196850</xdr:colOff>
      <xdr:row>49</xdr:row>
      <xdr:rowOff>53975</xdr:rowOff>
    </xdr:from>
    <xdr:to>
      <xdr:col>11</xdr:col>
      <xdr:colOff>1664871</xdr:colOff>
      <xdr:row>74</xdr:row>
      <xdr:rowOff>140405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C0F55-8B5F-FF3E-0F69-C494D687E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8700" y="9591675"/>
          <a:ext cx="8389521" cy="5115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8</xdr:row>
      <xdr:rowOff>63863</xdr:rowOff>
    </xdr:from>
    <xdr:to>
      <xdr:col>10</xdr:col>
      <xdr:colOff>1158875</xdr:colOff>
      <xdr:row>27</xdr:row>
      <xdr:rowOff>172004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9F441-1BCB-1F61-E10D-831CBDAB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3525" y="1597388"/>
          <a:ext cx="6511925" cy="3546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501650</xdr:colOff>
      <xdr:row>22</xdr:row>
      <xdr:rowOff>177801</xdr:rowOff>
    </xdr:from>
    <xdr:to>
      <xdr:col>14</xdr:col>
      <xdr:colOff>1027031</xdr:colOff>
      <xdr:row>62</xdr:row>
      <xdr:rowOff>116139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49CC9-DF8E-B572-36E2-4085B9DCC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0850" y="4235451"/>
          <a:ext cx="9840831" cy="73392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35</xdr:row>
      <xdr:rowOff>120651</xdr:rowOff>
    </xdr:from>
    <xdr:to>
      <xdr:col>15</xdr:col>
      <xdr:colOff>1332053</xdr:colOff>
      <xdr:row>69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2BBBD-E2BC-F9FD-E4C1-A09C55A8E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4300" y="6664326"/>
          <a:ext cx="11641278" cy="65468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grist  Armin" id="{795FEB3C-B19D-4E96-A84B-8FE82565B33B}" userId="S::arminsi@ethz.ch::2882fc6f-6ad4-47d6-b3a8-5c3a1b1715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3" dT="2024-06-28T09:12:42.28" personId="{795FEB3C-B19D-4E96-A84B-8FE82565B33B}" id="{6E055B4E-A101-4DB4-91F6-24B7BB573A9E}">
    <text>Protein content of white flakes assumed as 52.5% fm. Could also be varied between 50-55%.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s://materials.springer.com/thermophysical/docs/cpe1_c11c174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28FC-FA6B-48AE-BF3F-87120A78D163}">
  <sheetPr>
    <tabColor theme="0"/>
  </sheetPr>
  <dimension ref="A1:G35"/>
  <sheetViews>
    <sheetView showGridLines="0" workbookViewId="0">
      <selection activeCell="J30" sqref="J30"/>
    </sheetView>
  </sheetViews>
  <sheetFormatPr defaultRowHeight="14.5" x14ac:dyDescent="0.35"/>
  <cols>
    <col min="1" max="1" width="30.26953125" customWidth="1"/>
  </cols>
  <sheetData>
    <row r="1" spans="1:1" x14ac:dyDescent="0.35">
      <c r="A1" t="s">
        <v>1044</v>
      </c>
    </row>
    <row r="3" spans="1:1" x14ac:dyDescent="0.35">
      <c r="A3" t="s">
        <v>1045</v>
      </c>
    </row>
    <row r="5" spans="1:1" x14ac:dyDescent="0.35">
      <c r="A5" t="s">
        <v>1046</v>
      </c>
    </row>
    <row r="6" spans="1:1" x14ac:dyDescent="0.35">
      <c r="A6" s="233" t="s">
        <v>1047</v>
      </c>
    </row>
    <row r="7" spans="1:1" x14ac:dyDescent="0.35">
      <c r="A7" t="s">
        <v>1048</v>
      </c>
    </row>
    <row r="9" spans="1:1" x14ac:dyDescent="0.35">
      <c r="A9" s="12" t="s">
        <v>1049</v>
      </c>
    </row>
    <row r="10" spans="1:1" x14ac:dyDescent="0.35">
      <c r="A10" t="s">
        <v>1050</v>
      </c>
    </row>
    <row r="12" spans="1:1" x14ac:dyDescent="0.35">
      <c r="A12" s="234" t="s">
        <v>1051</v>
      </c>
    </row>
    <row r="13" spans="1:1" x14ac:dyDescent="0.35">
      <c r="A13" t="s">
        <v>1052</v>
      </c>
    </row>
    <row r="15" spans="1:1" x14ac:dyDescent="0.35">
      <c r="A15" s="119" t="s">
        <v>1053</v>
      </c>
    </row>
    <row r="16" spans="1:1" x14ac:dyDescent="0.35">
      <c r="A16" t="s">
        <v>1054</v>
      </c>
    </row>
    <row r="35" spans="7:7" x14ac:dyDescent="0.35">
      <c r="G35" s="2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89FE-5DF3-47C0-A680-AE8D001B6FE0}">
  <sheetPr>
    <tabColor theme="4" tint="0.79998168889431442"/>
  </sheetPr>
  <dimension ref="A1:P118"/>
  <sheetViews>
    <sheetView topLeftCell="C1" zoomScaleNormal="100" workbookViewId="0">
      <selection activeCell="P21" sqref="P21"/>
    </sheetView>
  </sheetViews>
  <sheetFormatPr defaultRowHeight="14.5" x14ac:dyDescent="0.35"/>
  <cols>
    <col min="1" max="1" width="38.90625" customWidth="1"/>
    <col min="2" max="2" width="35.54296875" bestFit="1" customWidth="1"/>
    <col min="3" max="3" width="17.7265625" bestFit="1" customWidth="1"/>
    <col min="4" max="4" width="41" bestFit="1" customWidth="1"/>
    <col min="5" max="5" width="36.08984375" customWidth="1"/>
    <col min="6" max="6" width="66.26953125" bestFit="1" customWidth="1"/>
    <col min="7" max="7" width="21.08984375" bestFit="1" customWidth="1"/>
    <col min="8" max="8" width="21.81640625" bestFit="1" customWidth="1"/>
    <col min="9" max="9" width="23.26953125" bestFit="1" customWidth="1"/>
    <col min="10" max="10" width="11.453125" bestFit="1" customWidth="1"/>
    <col min="11" max="11" width="26.7265625" bestFit="1" customWidth="1"/>
    <col min="12" max="12" width="16.90625" bestFit="1" customWidth="1"/>
    <col min="13" max="13" width="7.36328125" bestFit="1" customWidth="1"/>
    <col min="14" max="14" width="4.6328125" bestFit="1" customWidth="1"/>
    <col min="15" max="15" width="21.81640625" bestFit="1" customWidth="1"/>
    <col min="16" max="16" width="24.54296875" customWidth="1"/>
    <col min="17" max="17" width="8.81640625" bestFit="1" customWidth="1"/>
    <col min="18" max="18" width="21" bestFit="1" customWidth="1"/>
    <col min="19" max="20" width="4.81640625" bestFit="1" customWidth="1"/>
    <col min="21" max="21" width="9.81640625" bestFit="1" customWidth="1"/>
    <col min="23" max="23" width="45.81640625" bestFit="1" customWidth="1"/>
    <col min="24" max="24" width="9.81640625" bestFit="1" customWidth="1"/>
    <col min="26" max="26" width="6.81640625" bestFit="1" customWidth="1"/>
    <col min="27" max="27" width="9.81640625" bestFit="1" customWidth="1"/>
  </cols>
  <sheetData>
    <row r="1" spans="1:16" ht="18.5" x14ac:dyDescent="0.45">
      <c r="A1" s="2" t="s">
        <v>64</v>
      </c>
      <c r="B1" t="s">
        <v>65</v>
      </c>
    </row>
    <row r="2" spans="1:16" ht="15" thickBot="1" x14ac:dyDescent="0.4"/>
    <row r="3" spans="1:16" x14ac:dyDescent="0.35">
      <c r="A3" s="94"/>
      <c r="B3" s="111" t="s">
        <v>63</v>
      </c>
      <c r="C3" s="111" t="s">
        <v>31</v>
      </c>
      <c r="D3" s="96" t="s">
        <v>723</v>
      </c>
      <c r="F3" s="114"/>
      <c r="G3" s="115" t="s">
        <v>16</v>
      </c>
      <c r="H3" s="116"/>
      <c r="I3" s="116"/>
      <c r="J3" s="116"/>
      <c r="K3" s="116"/>
      <c r="L3" s="116"/>
      <c r="M3" s="116"/>
      <c r="N3" s="117"/>
    </row>
    <row r="4" spans="1:16" x14ac:dyDescent="0.35">
      <c r="A4" s="97" t="s">
        <v>936</v>
      </c>
      <c r="B4" s="103">
        <v>92</v>
      </c>
      <c r="C4" s="103" t="s">
        <v>69</v>
      </c>
      <c r="D4" s="98"/>
      <c r="F4" s="118"/>
      <c r="G4" s="119" t="s">
        <v>17</v>
      </c>
      <c r="H4" s="119" t="s">
        <v>18</v>
      </c>
      <c r="I4" s="119" t="s">
        <v>285</v>
      </c>
      <c r="J4" s="119" t="s">
        <v>19</v>
      </c>
      <c r="K4" s="119" t="s">
        <v>83</v>
      </c>
      <c r="L4" s="119" t="s">
        <v>680</v>
      </c>
      <c r="M4" s="125" t="s">
        <v>285</v>
      </c>
      <c r="N4" s="143" t="s">
        <v>19</v>
      </c>
    </row>
    <row r="5" spans="1:16" x14ac:dyDescent="0.35">
      <c r="A5" s="97" t="s">
        <v>939</v>
      </c>
      <c r="B5" s="103" t="s">
        <v>3</v>
      </c>
      <c r="C5" s="103">
        <v>67.8</v>
      </c>
      <c r="D5" s="98"/>
      <c r="F5" s="118" t="s">
        <v>92</v>
      </c>
      <c r="G5" s="119" t="s">
        <v>352</v>
      </c>
      <c r="H5" s="119" t="s">
        <v>352</v>
      </c>
      <c r="I5" s="125" t="s">
        <v>352</v>
      </c>
      <c r="J5" s="121" t="s">
        <v>21</v>
      </c>
      <c r="K5" s="121">
        <f>11</f>
        <v>11</v>
      </c>
      <c r="L5" s="144">
        <f>K5*E53</f>
        <v>14.109024278515806</v>
      </c>
      <c r="M5" s="144">
        <v>0</v>
      </c>
      <c r="N5" s="147" t="s">
        <v>23</v>
      </c>
    </row>
    <row r="6" spans="1:16" x14ac:dyDescent="0.35">
      <c r="A6" s="97" t="s">
        <v>942</v>
      </c>
      <c r="B6" s="103" t="s">
        <v>70</v>
      </c>
      <c r="C6" s="103" t="s">
        <v>71</v>
      </c>
      <c r="D6" s="98"/>
      <c r="F6" s="118" t="s">
        <v>84</v>
      </c>
      <c r="G6" s="121" t="s">
        <v>352</v>
      </c>
      <c r="H6" s="121" t="s">
        <v>352</v>
      </c>
      <c r="I6" s="144">
        <v>15.44</v>
      </c>
      <c r="J6" s="121" t="s">
        <v>129</v>
      </c>
      <c r="K6" s="121">
        <f>11</f>
        <v>11</v>
      </c>
      <c r="L6" s="144">
        <f>K6*E53</f>
        <v>14.109024278515806</v>
      </c>
      <c r="M6" s="144">
        <f t="shared" ref="M6:M12" si="0">I6*L6</f>
        <v>217.84333486028405</v>
      </c>
      <c r="N6" s="147" t="s">
        <v>23</v>
      </c>
    </row>
    <row r="7" spans="1:16" x14ac:dyDescent="0.35">
      <c r="A7" s="97" t="s">
        <v>943</v>
      </c>
      <c r="B7" s="103">
        <v>98</v>
      </c>
      <c r="C7" s="103">
        <v>67.5</v>
      </c>
      <c r="D7" s="98"/>
      <c r="F7" s="118" t="s">
        <v>87</v>
      </c>
      <c r="G7" s="119">
        <f>'Energy consumption machinery'!B18</f>
        <v>0.39</v>
      </c>
      <c r="H7" s="119">
        <f>'Energy consumption machinery'!C18</f>
        <v>1.89</v>
      </c>
      <c r="I7" s="214">
        <f>(G7+H7)/2</f>
        <v>1.1399999999999999</v>
      </c>
      <c r="J7" s="121" t="s">
        <v>21</v>
      </c>
      <c r="K7" s="121">
        <f>0.95/E53/D46</f>
        <v>1.550343573988735</v>
      </c>
      <c r="L7" s="144">
        <f>K7*E53</f>
        <v>1.9885304659498206</v>
      </c>
      <c r="M7" s="144">
        <f t="shared" si="0"/>
        <v>2.2669247311827951</v>
      </c>
      <c r="N7" s="147" t="s">
        <v>23</v>
      </c>
    </row>
    <row r="8" spans="1:16" x14ac:dyDescent="0.35">
      <c r="A8" s="97" t="s">
        <v>584</v>
      </c>
      <c r="B8" s="103">
        <v>92.5</v>
      </c>
      <c r="C8" s="103">
        <f>66.5/0.95</f>
        <v>70</v>
      </c>
      <c r="D8" s="98" t="s">
        <v>722</v>
      </c>
      <c r="F8" s="118" t="s">
        <v>85</v>
      </c>
      <c r="G8" s="121" t="str">
        <f>'Energy consumption machinery'!B28</f>
        <v>NA</v>
      </c>
      <c r="H8" s="121" t="str">
        <f>'Energy consumption machinery'!C28</f>
        <v>NA</v>
      </c>
      <c r="I8" s="144">
        <f>'Energy consumption machinery'!D28</f>
        <v>2.1148731276885777</v>
      </c>
      <c r="J8" s="121" t="s">
        <v>21</v>
      </c>
      <c r="K8" s="121">
        <f>(K5-K7-E60/E53*0.5)*(0.6/0.8)</f>
        <v>6.9827378552227328</v>
      </c>
      <c r="L8" s="144">
        <f>K8*E53</f>
        <v>8.9563289027135387</v>
      </c>
      <c r="M8" s="144">
        <f t="shared" si="0"/>
        <v>18.941499319089388</v>
      </c>
      <c r="N8" s="147" t="s">
        <v>23</v>
      </c>
    </row>
    <row r="9" spans="1:16" x14ac:dyDescent="0.35">
      <c r="A9" s="97" t="s">
        <v>17</v>
      </c>
      <c r="B9" s="112">
        <f>90</f>
        <v>90</v>
      </c>
      <c r="C9" s="112">
        <f>59/0.95</f>
        <v>62.10526315789474</v>
      </c>
      <c r="D9" s="98"/>
      <c r="F9" s="118" t="s">
        <v>86</v>
      </c>
      <c r="G9" s="121" t="str">
        <f>'Energy consumption machinery'!B28</f>
        <v>NA</v>
      </c>
      <c r="H9" s="121" t="str">
        <f>'Energy consumption machinery'!C28</f>
        <v>NA</v>
      </c>
      <c r="I9" s="144">
        <f>'Energy consumption machinery'!D28</f>
        <v>2.1148731276885777</v>
      </c>
      <c r="J9" s="121" t="s">
        <v>21</v>
      </c>
      <c r="K9" s="121">
        <f>K6-K7-K8-E60/E53</f>
        <v>2.1882399993599599</v>
      </c>
      <c r="L9" s="144">
        <f>K9*E53</f>
        <v>2.8067210252899168</v>
      </c>
      <c r="M9" s="144">
        <f t="shared" si="0"/>
        <v>5.9358588733041779</v>
      </c>
      <c r="N9" s="147" t="s">
        <v>23</v>
      </c>
    </row>
    <row r="10" spans="1:16" x14ac:dyDescent="0.35">
      <c r="A10" s="97" t="s">
        <v>18</v>
      </c>
      <c r="B10" s="103">
        <f>98</f>
        <v>98</v>
      </c>
      <c r="C10" s="112">
        <f>69/0.95</f>
        <v>72.631578947368425</v>
      </c>
      <c r="D10" s="98"/>
      <c r="F10" s="118" t="s">
        <v>88</v>
      </c>
      <c r="G10" s="119" t="str">
        <f>'Energy consumption machinery'!B29</f>
        <v>NA</v>
      </c>
      <c r="H10" s="119" t="str">
        <f>'Energy consumption machinery'!C29</f>
        <v>NA</v>
      </c>
      <c r="I10" s="144">
        <f>'Energy consumption machinery'!D29</f>
        <v>41.687881968956297</v>
      </c>
      <c r="J10" s="121" t="s">
        <v>21</v>
      </c>
      <c r="K10" s="121">
        <f>(K7*J82/D47-D30/E53)*0.6/0.8</f>
        <v>0.43248671447574755</v>
      </c>
      <c r="L10" s="148">
        <f>K10*E53</f>
        <v>0.55472414133398684</v>
      </c>
      <c r="M10" s="144">
        <f t="shared" si="0"/>
        <v>23.125274529261876</v>
      </c>
      <c r="N10" s="147" t="s">
        <v>23</v>
      </c>
    </row>
    <row r="11" spans="1:16" x14ac:dyDescent="0.35">
      <c r="A11" s="97"/>
      <c r="B11" s="103"/>
      <c r="C11" s="103"/>
      <c r="D11" s="98"/>
      <c r="F11" s="118" t="s">
        <v>89</v>
      </c>
      <c r="G11" s="119" t="str">
        <f>'Energy consumption machinery'!B30</f>
        <v>NA</v>
      </c>
      <c r="H11" s="119" t="str">
        <f>'Energy consumption machinery'!C30</f>
        <v>NA</v>
      </c>
      <c r="I11" s="144">
        <f>'Energy consumption machinery'!D30</f>
        <v>1.8638711386815268</v>
      </c>
      <c r="J11" s="121" t="s">
        <v>21</v>
      </c>
      <c r="K11" s="121">
        <f>K8+K10</f>
        <v>7.4152245696984807</v>
      </c>
      <c r="L11" s="144">
        <f>K11*E53</f>
        <v>9.5110530440475252</v>
      </c>
      <c r="M11" s="144">
        <f t="shared" si="0"/>
        <v>17.727377267269262</v>
      </c>
      <c r="N11" s="143" t="s">
        <v>23</v>
      </c>
      <c r="P11" s="11" t="s">
        <v>137</v>
      </c>
    </row>
    <row r="12" spans="1:16" x14ac:dyDescent="0.35">
      <c r="A12" s="97" t="s">
        <v>936</v>
      </c>
      <c r="B12" s="103" t="s">
        <v>73</v>
      </c>
      <c r="C12" s="103" t="s">
        <v>74</v>
      </c>
      <c r="D12" s="98"/>
      <c r="F12" s="118" t="s">
        <v>91</v>
      </c>
      <c r="G12" s="121">
        <f>'Energy consumption machinery'!B19</f>
        <v>180</v>
      </c>
      <c r="H12" s="121">
        <f>'Energy consumption machinery'!C19</f>
        <v>544</v>
      </c>
      <c r="I12" s="144">
        <f>'Energy consumption machinery'!D19</f>
        <v>400</v>
      </c>
      <c r="J12" s="121" t="s">
        <v>21</v>
      </c>
      <c r="K12" s="121">
        <f>1/E53</f>
        <v>0.77964285714285708</v>
      </c>
      <c r="L12" s="144">
        <f>K12*E53</f>
        <v>1</v>
      </c>
      <c r="M12" s="144">
        <f t="shared" si="0"/>
        <v>400</v>
      </c>
      <c r="N12" s="143" t="s">
        <v>23</v>
      </c>
      <c r="O12" s="5"/>
      <c r="P12" s="12" t="s">
        <v>150</v>
      </c>
    </row>
    <row r="13" spans="1:16" x14ac:dyDescent="0.35">
      <c r="A13" s="97"/>
      <c r="B13" s="103"/>
      <c r="C13" s="103"/>
      <c r="D13" s="98"/>
      <c r="F13" s="118" t="s">
        <v>193</v>
      </c>
      <c r="G13" s="119">
        <f>'Energy consumption machinery'!B20</f>
        <v>0.09</v>
      </c>
      <c r="H13" s="119">
        <f>'Energy consumption machinery'!C20</f>
        <v>0.16400000000000001</v>
      </c>
      <c r="I13" s="125">
        <f>'Energy consumption machinery'!D20</f>
        <v>0.15</v>
      </c>
      <c r="J13" s="121" t="s">
        <v>194</v>
      </c>
      <c r="K13" s="121" t="s">
        <v>3</v>
      </c>
      <c r="L13" s="121" t="s">
        <v>3</v>
      </c>
      <c r="M13" s="144">
        <f>SUM(M5:M12)*I13</f>
        <v>102.87604043705873</v>
      </c>
      <c r="N13" s="143" t="s">
        <v>23</v>
      </c>
      <c r="P13" s="12" t="s">
        <v>149</v>
      </c>
    </row>
    <row r="14" spans="1:16" x14ac:dyDescent="0.35">
      <c r="A14" s="97"/>
      <c r="B14" s="113" t="s">
        <v>460</v>
      </c>
      <c r="C14" s="103"/>
      <c r="D14" s="98"/>
      <c r="F14" s="118"/>
      <c r="G14" s="121"/>
      <c r="H14" s="121"/>
      <c r="I14" s="121"/>
      <c r="J14" s="121"/>
      <c r="K14" s="121"/>
      <c r="L14" s="121"/>
      <c r="M14" s="144"/>
      <c r="N14" s="143"/>
      <c r="P14" s="12" t="s">
        <v>147</v>
      </c>
    </row>
    <row r="15" spans="1:16" x14ac:dyDescent="0.35">
      <c r="A15" s="97" t="s">
        <v>877</v>
      </c>
      <c r="B15" s="103">
        <v>55</v>
      </c>
      <c r="C15" s="103"/>
      <c r="D15" s="98"/>
      <c r="F15" s="118"/>
      <c r="G15" s="119"/>
      <c r="H15" s="119"/>
      <c r="I15" s="119"/>
      <c r="J15" s="121"/>
      <c r="K15" s="122"/>
      <c r="L15" s="124"/>
      <c r="M15" s="148"/>
      <c r="N15" s="143"/>
      <c r="P15" s="12"/>
    </row>
    <row r="16" spans="1:16" x14ac:dyDescent="0.35">
      <c r="A16" s="97" t="s">
        <v>936</v>
      </c>
      <c r="B16" s="103" t="s">
        <v>461</v>
      </c>
      <c r="C16" s="103"/>
      <c r="D16" s="98"/>
      <c r="F16" s="118"/>
      <c r="G16" s="125" t="s">
        <v>135</v>
      </c>
      <c r="H16" s="119"/>
      <c r="I16" s="119"/>
      <c r="J16" s="121"/>
      <c r="K16" s="121"/>
      <c r="L16" s="121"/>
      <c r="M16" s="144"/>
      <c r="N16" s="143"/>
      <c r="P16" s="11" t="s">
        <v>140</v>
      </c>
    </row>
    <row r="17" spans="1:16" x14ac:dyDescent="0.35">
      <c r="A17" s="97" t="s">
        <v>701</v>
      </c>
      <c r="B17" s="103"/>
      <c r="C17" s="103"/>
      <c r="D17" s="98"/>
      <c r="F17" s="118"/>
      <c r="G17" s="119" t="s">
        <v>17</v>
      </c>
      <c r="H17" s="119" t="s">
        <v>18</v>
      </c>
      <c r="I17" s="119" t="s">
        <v>285</v>
      </c>
      <c r="J17" s="121" t="s">
        <v>19</v>
      </c>
      <c r="K17" s="121" t="s">
        <v>83</v>
      </c>
      <c r="L17" s="121" t="s">
        <v>680</v>
      </c>
      <c r="M17" s="144" t="s">
        <v>285</v>
      </c>
      <c r="N17" s="143" t="s">
        <v>19</v>
      </c>
      <c r="P17" s="12" t="s">
        <v>151</v>
      </c>
    </row>
    <row r="18" spans="1:16" x14ac:dyDescent="0.35">
      <c r="A18" s="97"/>
      <c r="B18" s="113" t="s">
        <v>462</v>
      </c>
      <c r="C18" s="103"/>
      <c r="D18" s="98"/>
      <c r="F18" s="118" t="s">
        <v>93</v>
      </c>
      <c r="G18" s="121">
        <v>0</v>
      </c>
      <c r="H18" s="121">
        <f>C110</f>
        <v>110.01017420760941</v>
      </c>
      <c r="I18" s="213">
        <f>(G18+H18)/2</f>
        <v>55.005087103804705</v>
      </c>
      <c r="J18" s="121" t="s">
        <v>21</v>
      </c>
      <c r="K18" s="121">
        <f>11</f>
        <v>11</v>
      </c>
      <c r="L18" s="144">
        <f>K18*E53</f>
        <v>14.109024278515806</v>
      </c>
      <c r="M18" s="144">
        <f>I18*L18</f>
        <v>776.06810938945728</v>
      </c>
      <c r="N18" s="143" t="s">
        <v>23</v>
      </c>
      <c r="P18" s="12" t="s">
        <v>152</v>
      </c>
    </row>
    <row r="19" spans="1:16" x14ac:dyDescent="0.35">
      <c r="A19" s="97" t="s">
        <v>944</v>
      </c>
      <c r="B19" s="103" t="s">
        <v>463</v>
      </c>
      <c r="C19" s="103"/>
      <c r="D19" s="98"/>
      <c r="F19" s="118" t="s">
        <v>85</v>
      </c>
      <c r="G19" s="121">
        <f>C81</f>
        <v>484.59288191302977</v>
      </c>
      <c r="H19" s="121">
        <f>C100</f>
        <v>703.42217892865517</v>
      </c>
      <c r="I19" s="213">
        <f>(G19+H19)/2</f>
        <v>594.0075304208425</v>
      </c>
      <c r="J19" s="121" t="s">
        <v>21</v>
      </c>
      <c r="K19" s="121">
        <f>(K5-K7-E60/E53*0.5)*(0.6/0.8)</f>
        <v>6.9827378552227328</v>
      </c>
      <c r="L19" s="144">
        <f>K19*E53</f>
        <v>8.9563289027135387</v>
      </c>
      <c r="M19" s="144">
        <f>I19*L19</f>
        <v>5320.1268131376828</v>
      </c>
      <c r="N19" s="143" t="s">
        <v>23</v>
      </c>
    </row>
    <row r="20" spans="1:16" x14ac:dyDescent="0.35">
      <c r="A20" s="97"/>
      <c r="B20" s="103"/>
      <c r="C20" s="103"/>
      <c r="D20" s="98"/>
      <c r="F20" s="118" t="s">
        <v>86</v>
      </c>
      <c r="G20" s="121">
        <f>C87</f>
        <v>908.21616173155235</v>
      </c>
      <c r="H20" s="121">
        <f>C106</f>
        <v>1318.3425</v>
      </c>
      <c r="I20" s="213">
        <f>(G20+H20)/2</f>
        <v>1113.279330865776</v>
      </c>
      <c r="J20" s="121" t="s">
        <v>21</v>
      </c>
      <c r="K20" s="121">
        <f>K6-K7-K8-E60/E53</f>
        <v>2.1882399993599599</v>
      </c>
      <c r="L20" s="144">
        <f>K20*E53</f>
        <v>2.8067210252899168</v>
      </c>
      <c r="M20" s="144">
        <f>I20*L20</f>
        <v>3124.6645049616636</v>
      </c>
      <c r="N20" s="143" t="s">
        <v>23</v>
      </c>
    </row>
    <row r="21" spans="1:16" x14ac:dyDescent="0.35">
      <c r="A21" s="97" t="s">
        <v>17</v>
      </c>
      <c r="B21" s="103" t="s">
        <v>18</v>
      </c>
      <c r="C21" s="103" t="s">
        <v>285</v>
      </c>
      <c r="D21" s="98"/>
      <c r="F21" s="118" t="s">
        <v>88</v>
      </c>
      <c r="G21" s="121">
        <f>C83</f>
        <v>1915.9208511108629</v>
      </c>
      <c r="H21" s="121">
        <f>C102</f>
        <v>3056.4107392107467</v>
      </c>
      <c r="I21" s="213">
        <f>(G21+H21)/2</f>
        <v>2486.1657951608049</v>
      </c>
      <c r="J21" s="121" t="s">
        <v>21</v>
      </c>
      <c r="K21" s="121">
        <f>(K7*J82/J87-0.95/E53)*0.6/0.8</f>
        <v>0.44555608197710528</v>
      </c>
      <c r="L21" s="144">
        <f>K21*E53</f>
        <v>0.57148741618685062</v>
      </c>
      <c r="M21" s="144">
        <f>I21*L21</f>
        <v>1420.8124664885754</v>
      </c>
      <c r="N21" s="143" t="s">
        <v>23</v>
      </c>
      <c r="P21" s="4"/>
    </row>
    <row r="22" spans="1:16" ht="15" thickBot="1" x14ac:dyDescent="0.4">
      <c r="A22" s="99">
        <v>0.51</v>
      </c>
      <c r="B22" s="100">
        <v>0.625</v>
      </c>
      <c r="C22" s="100">
        <v>0.59</v>
      </c>
      <c r="D22" s="101"/>
      <c r="F22" s="126" t="s">
        <v>90</v>
      </c>
      <c r="G22" s="127">
        <f>'Energy consumption machinery'!B23</f>
        <v>4680</v>
      </c>
      <c r="H22" s="127">
        <f>'Energy consumption machinery'!C23</f>
        <v>5400</v>
      </c>
      <c r="I22" s="215">
        <f>(H22+G22)/2</f>
        <v>5040</v>
      </c>
      <c r="J22" s="127" t="s">
        <v>21</v>
      </c>
      <c r="K22" s="127">
        <f>K7*J82/J87-K21-1/E53</f>
        <v>0.10953655113522565</v>
      </c>
      <c r="L22" s="149">
        <f>K22*E53</f>
        <v>0.14049580539561696</v>
      </c>
      <c r="M22" s="149">
        <f>I22*L22</f>
        <v>708.09885919390945</v>
      </c>
      <c r="N22" s="150" t="s">
        <v>23</v>
      </c>
    </row>
    <row r="23" spans="1:16" ht="15" thickBot="1" x14ac:dyDescent="0.4">
      <c r="P23" s="5"/>
    </row>
    <row r="24" spans="1:16" ht="18.5" x14ac:dyDescent="0.45">
      <c r="A24" s="70" t="s">
        <v>720</v>
      </c>
      <c r="B24" s="71"/>
      <c r="C24" s="71"/>
      <c r="D24" s="71"/>
      <c r="E24" s="71"/>
      <c r="F24" s="72"/>
    </row>
    <row r="25" spans="1:16" x14ac:dyDescent="0.35">
      <c r="A25" s="73"/>
      <c r="B25" s="12" t="s">
        <v>17</v>
      </c>
      <c r="C25" s="12" t="s">
        <v>18</v>
      </c>
      <c r="D25" s="12" t="s">
        <v>285</v>
      </c>
      <c r="E25" s="12" t="s">
        <v>594</v>
      </c>
      <c r="F25" s="74" t="s">
        <v>586</v>
      </c>
    </row>
    <row r="26" spans="1:16" x14ac:dyDescent="0.35">
      <c r="A26" s="73" t="s">
        <v>291</v>
      </c>
      <c r="B26" s="81">
        <f>C9/100</f>
        <v>0.62105263157894741</v>
      </c>
      <c r="C26" s="81">
        <f>C10/100</f>
        <v>0.72631578947368425</v>
      </c>
      <c r="D26" s="81">
        <f>C8/100</f>
        <v>0.7</v>
      </c>
      <c r="E26" s="81" t="s">
        <v>945</v>
      </c>
      <c r="F26" s="74"/>
    </row>
    <row r="27" spans="1:16" x14ac:dyDescent="0.35">
      <c r="A27" s="73" t="s">
        <v>292</v>
      </c>
      <c r="B27" s="12">
        <f>A22</f>
        <v>0.51</v>
      </c>
      <c r="C27" s="12">
        <f>B22</f>
        <v>0.625</v>
      </c>
      <c r="D27" s="12">
        <f>C22</f>
        <v>0.59</v>
      </c>
      <c r="E27" s="12" t="s">
        <v>946</v>
      </c>
      <c r="F27" s="83" t="s">
        <v>704</v>
      </c>
      <c r="P27" s="202"/>
    </row>
    <row r="28" spans="1:16" x14ac:dyDescent="0.35">
      <c r="A28" s="73" t="s">
        <v>303</v>
      </c>
      <c r="B28" s="81">
        <f>B9/100</f>
        <v>0.9</v>
      </c>
      <c r="C28" s="81">
        <f>B10/100</f>
        <v>0.98</v>
      </c>
      <c r="D28" s="81">
        <f>B8/100</f>
        <v>0.92500000000000004</v>
      </c>
      <c r="E28" s="81" t="s">
        <v>947</v>
      </c>
      <c r="F28" s="83"/>
    </row>
    <row r="29" spans="1:16" x14ac:dyDescent="0.35">
      <c r="A29" s="73" t="s">
        <v>314</v>
      </c>
      <c r="B29" s="12" t="s">
        <v>352</v>
      </c>
      <c r="C29" s="12" t="s">
        <v>352</v>
      </c>
      <c r="D29" s="12">
        <v>0.88</v>
      </c>
      <c r="E29" s="174" t="s">
        <v>703</v>
      </c>
      <c r="F29" s="74"/>
    </row>
    <row r="30" spans="1:16" x14ac:dyDescent="0.35">
      <c r="A30" s="73" t="s">
        <v>739</v>
      </c>
      <c r="B30" s="12" t="s">
        <v>352</v>
      </c>
      <c r="C30" s="12" t="s">
        <v>352</v>
      </c>
      <c r="D30" s="12">
        <v>0.95</v>
      </c>
      <c r="E30" s="82" t="s">
        <v>936</v>
      </c>
      <c r="F30" s="74"/>
      <c r="P30" s="5"/>
    </row>
    <row r="31" spans="1:16" x14ac:dyDescent="0.35">
      <c r="A31" s="73"/>
      <c r="B31" s="12"/>
      <c r="C31" s="12"/>
      <c r="D31" s="12"/>
      <c r="E31" s="12"/>
      <c r="F31" s="74"/>
    </row>
    <row r="32" spans="1:16" x14ac:dyDescent="0.35">
      <c r="A32" s="73" t="s">
        <v>321</v>
      </c>
      <c r="B32" s="12" t="str">
        <f>'Energy consumption machinery'!B27</f>
        <v>NA</v>
      </c>
      <c r="C32" s="12" t="str">
        <f>'Energy consumption machinery'!C27</f>
        <v>NA</v>
      </c>
      <c r="D32" s="12">
        <f>'Energy consumption machinery'!D27</f>
        <v>15.44</v>
      </c>
      <c r="E32" s="12" t="s">
        <v>675</v>
      </c>
      <c r="F32" s="74" t="s">
        <v>674</v>
      </c>
    </row>
    <row r="33" spans="1:6" x14ac:dyDescent="0.35">
      <c r="A33" s="73" t="s">
        <v>322</v>
      </c>
      <c r="B33" s="12">
        <f>'Energy consumption machinery'!B18</f>
        <v>0.39</v>
      </c>
      <c r="C33" s="12">
        <f>'Energy consumption machinery'!C18</f>
        <v>1.89</v>
      </c>
      <c r="D33" s="12" t="str">
        <f>'Energy consumption machinery'!D18</f>
        <v>NA</v>
      </c>
      <c r="E33" s="12" t="s">
        <v>675</v>
      </c>
      <c r="F33" s="74" t="s">
        <v>674</v>
      </c>
    </row>
    <row r="34" spans="1:6" x14ac:dyDescent="0.35">
      <c r="A34" s="73" t="s">
        <v>323</v>
      </c>
      <c r="B34" s="12" t="str">
        <f>'Energy consumption machinery'!B28</f>
        <v>NA</v>
      </c>
      <c r="C34" s="12" t="str">
        <f>'Energy consumption machinery'!C28</f>
        <v>NA</v>
      </c>
      <c r="D34" s="12">
        <f>'Energy consumption machinery'!D28</f>
        <v>2.1148731276885777</v>
      </c>
      <c r="E34" s="12" t="s">
        <v>675</v>
      </c>
      <c r="F34" s="74" t="s">
        <v>674</v>
      </c>
    </row>
    <row r="35" spans="1:6" x14ac:dyDescent="0.35">
      <c r="A35" s="73" t="s">
        <v>324</v>
      </c>
      <c r="B35" s="12" t="str">
        <f>'Energy consumption machinery'!B29</f>
        <v>NA</v>
      </c>
      <c r="C35" s="12" t="str">
        <f>'Energy consumption machinery'!C29</f>
        <v>NA</v>
      </c>
      <c r="D35" s="12">
        <f>'Energy consumption machinery'!D29</f>
        <v>41.687881968956297</v>
      </c>
      <c r="E35" s="12" t="s">
        <v>675</v>
      </c>
      <c r="F35" s="74" t="s">
        <v>674</v>
      </c>
    </row>
    <row r="36" spans="1:6" x14ac:dyDescent="0.35">
      <c r="A36" s="73" t="s">
        <v>325</v>
      </c>
      <c r="B36" s="12" t="str">
        <f>'Energy consumption machinery'!B30</f>
        <v>NA</v>
      </c>
      <c r="C36" s="12" t="str">
        <f>'Energy consumption machinery'!C30</f>
        <v>NA</v>
      </c>
      <c r="D36" s="12">
        <f>'Energy consumption machinery'!D30</f>
        <v>1.8638711386815268</v>
      </c>
      <c r="E36" s="12" t="s">
        <v>675</v>
      </c>
      <c r="F36" s="74" t="s">
        <v>674</v>
      </c>
    </row>
    <row r="37" spans="1:6" x14ac:dyDescent="0.35">
      <c r="A37" s="73" t="s">
        <v>326</v>
      </c>
      <c r="B37" s="12">
        <f>'Energy consumption machinery'!B19</f>
        <v>180</v>
      </c>
      <c r="C37" s="12">
        <f>'Energy consumption machinery'!C19</f>
        <v>544</v>
      </c>
      <c r="D37" s="12">
        <f>'Energy consumption machinery'!D19</f>
        <v>400</v>
      </c>
      <c r="E37" s="12" t="s">
        <v>675</v>
      </c>
      <c r="F37" s="74" t="s">
        <v>674</v>
      </c>
    </row>
    <row r="38" spans="1:6" x14ac:dyDescent="0.35">
      <c r="A38" s="73" t="s">
        <v>311</v>
      </c>
      <c r="B38" s="12">
        <f>'Energy consumption machinery'!B20</f>
        <v>0.09</v>
      </c>
      <c r="C38" s="12">
        <f>'Energy consumption machinery'!C20</f>
        <v>0.16400000000000001</v>
      </c>
      <c r="D38" s="12">
        <f>'Energy consumption machinery'!D20</f>
        <v>0.15</v>
      </c>
      <c r="E38" s="12" t="s">
        <v>675</v>
      </c>
      <c r="F38" s="74" t="s">
        <v>674</v>
      </c>
    </row>
    <row r="39" spans="1:6" x14ac:dyDescent="0.35">
      <c r="A39" s="73"/>
      <c r="B39" s="12"/>
      <c r="C39" s="12"/>
      <c r="D39" s="12"/>
      <c r="E39" s="12"/>
      <c r="F39" s="74"/>
    </row>
    <row r="40" spans="1:6" x14ac:dyDescent="0.35">
      <c r="A40" s="73" t="s">
        <v>327</v>
      </c>
      <c r="B40" s="80">
        <f>'Energy consumption machinery'!B31</f>
        <v>484.59288191302977</v>
      </c>
      <c r="C40" s="80">
        <f>'Energy consumption machinery'!C31</f>
        <v>703.42217892865517</v>
      </c>
      <c r="D40" s="80" t="str">
        <f>'Energy consumption machinery'!D31</f>
        <v>NA</v>
      </c>
      <c r="E40" s="12" t="s">
        <v>948</v>
      </c>
      <c r="F40" s="74"/>
    </row>
    <row r="41" spans="1:6" x14ac:dyDescent="0.35">
      <c r="A41" s="73" t="s">
        <v>328</v>
      </c>
      <c r="B41" s="80">
        <f>'Energy consumption machinery'!B32</f>
        <v>908.21616173155235</v>
      </c>
      <c r="C41" s="80">
        <f>'Energy consumption machinery'!C32</f>
        <v>1318.3425</v>
      </c>
      <c r="D41" s="80" t="str">
        <f>'Energy consumption machinery'!D32</f>
        <v>NA</v>
      </c>
      <c r="E41" s="12" t="s">
        <v>948</v>
      </c>
      <c r="F41" s="74"/>
    </row>
    <row r="42" spans="1:6" x14ac:dyDescent="0.35">
      <c r="A42" s="73" t="s">
        <v>329</v>
      </c>
      <c r="B42" s="80">
        <f>'Energy consumption machinery'!B33</f>
        <v>1915.9208511108629</v>
      </c>
      <c r="C42" s="80">
        <f>'Energy consumption machinery'!C33</f>
        <v>3056.4107392107467</v>
      </c>
      <c r="D42" s="80" t="str">
        <f>'Energy consumption machinery'!D33</f>
        <v>NA</v>
      </c>
      <c r="E42" s="12" t="s">
        <v>948</v>
      </c>
      <c r="F42" s="74"/>
    </row>
    <row r="43" spans="1:6" x14ac:dyDescent="0.35">
      <c r="A43" s="73" t="s">
        <v>506</v>
      </c>
      <c r="B43" s="197">
        <f>'Energy consumption machinery'!B23</f>
        <v>4680</v>
      </c>
      <c r="C43" s="197">
        <f>'Energy consumption machinery'!C23</f>
        <v>5400</v>
      </c>
      <c r="D43" s="197" t="str">
        <f>'Energy consumption machinery'!D23</f>
        <v>NA</v>
      </c>
      <c r="E43" s="12" t="s">
        <v>948</v>
      </c>
      <c r="F43" s="74"/>
    </row>
    <row r="44" spans="1:6" x14ac:dyDescent="0.35">
      <c r="A44" s="73"/>
      <c r="B44" s="80"/>
      <c r="C44" s="80"/>
      <c r="D44" s="80"/>
      <c r="E44" s="80"/>
      <c r="F44" s="74"/>
    </row>
    <row r="45" spans="1:6" x14ac:dyDescent="0.35">
      <c r="A45" s="73" t="s">
        <v>507</v>
      </c>
      <c r="B45" s="80">
        <f>C91</f>
        <v>0</v>
      </c>
      <c r="C45" s="80">
        <f>C110</f>
        <v>110.01017420760941</v>
      </c>
      <c r="D45" s="80" t="s">
        <v>352</v>
      </c>
      <c r="E45" s="197" t="s">
        <v>1074</v>
      </c>
      <c r="F45" s="74" t="s">
        <v>728</v>
      </c>
    </row>
    <row r="46" spans="1:6" x14ac:dyDescent="0.35">
      <c r="A46" s="73" t="s">
        <v>336</v>
      </c>
      <c r="B46" s="81">
        <f>MIN(J79:J81)</f>
        <v>0.44075829383886261</v>
      </c>
      <c r="C46" s="81">
        <f>MAX(J79:J81)</f>
        <v>0.49821428571428572</v>
      </c>
      <c r="D46" s="81">
        <f>MEDIAN(J79:J81)</f>
        <v>0.47773972602739734</v>
      </c>
      <c r="E46" s="80" t="s">
        <v>725</v>
      </c>
      <c r="F46" s="74" t="s">
        <v>726</v>
      </c>
    </row>
    <row r="47" spans="1:6" x14ac:dyDescent="0.35">
      <c r="A47" s="73" t="s">
        <v>337</v>
      </c>
      <c r="B47" s="198">
        <f>MIN(J84:J86)</f>
        <v>0.51571164510166367</v>
      </c>
      <c r="C47" s="198">
        <f>MAX(J84:J86)</f>
        <v>0.57407407407407418</v>
      </c>
      <c r="D47" s="198">
        <f>MEDIAN(J84:J86)</f>
        <v>0.55577689243027895</v>
      </c>
      <c r="E47" s="80" t="s">
        <v>725</v>
      </c>
      <c r="F47" s="74" t="s">
        <v>726</v>
      </c>
    </row>
    <row r="48" spans="1:6" x14ac:dyDescent="0.35">
      <c r="A48" s="87" t="s">
        <v>345</v>
      </c>
      <c r="B48" s="80"/>
      <c r="C48" s="80"/>
      <c r="D48" s="86"/>
      <c r="E48" s="81"/>
      <c r="F48" s="74"/>
    </row>
    <row r="49" spans="1:14" ht="15" thickBot="1" x14ac:dyDescent="0.4">
      <c r="A49" s="75" t="s">
        <v>719</v>
      </c>
      <c r="B49" s="89">
        <v>22.57</v>
      </c>
      <c r="C49" s="89">
        <v>24.19</v>
      </c>
      <c r="D49" s="102" t="s">
        <v>352</v>
      </c>
      <c r="E49" s="90" t="s">
        <v>1072</v>
      </c>
      <c r="F49" s="79"/>
    </row>
    <row r="50" spans="1:14" ht="15" thickBot="1" x14ac:dyDescent="0.4"/>
    <row r="51" spans="1:14" ht="18.5" x14ac:dyDescent="0.45">
      <c r="A51" s="70" t="s">
        <v>721</v>
      </c>
      <c r="B51" s="72"/>
      <c r="D51" s="175" t="s">
        <v>714</v>
      </c>
      <c r="E51" s="104"/>
    </row>
    <row r="52" spans="1:14" x14ac:dyDescent="0.35">
      <c r="A52" s="73" t="s">
        <v>330</v>
      </c>
      <c r="B52" s="83">
        <v>0.39492187499999998</v>
      </c>
      <c r="D52" s="109" t="s">
        <v>7</v>
      </c>
      <c r="E52" s="108" t="s">
        <v>285</v>
      </c>
    </row>
    <row r="53" spans="1:14" x14ac:dyDescent="0.35">
      <c r="A53" s="73"/>
      <c r="B53" s="83"/>
      <c r="D53" s="105" t="s">
        <v>60</v>
      </c>
      <c r="E53" s="106">
        <f>C8/B8/C22</f>
        <v>1.2826385707741641</v>
      </c>
    </row>
    <row r="54" spans="1:14" x14ac:dyDescent="0.35">
      <c r="A54" s="73" t="s">
        <v>306</v>
      </c>
      <c r="B54" s="83">
        <v>2.3550131950409741</v>
      </c>
      <c r="D54" s="105" t="s">
        <v>14</v>
      </c>
      <c r="E54" s="195">
        <f>SUM(M5:M13)/3600</f>
        <v>0.21908786389373619</v>
      </c>
    </row>
    <row r="55" spans="1:14" x14ac:dyDescent="0.35">
      <c r="A55" s="73" t="s">
        <v>308</v>
      </c>
      <c r="B55" s="83">
        <v>2.0934925264309157</v>
      </c>
      <c r="D55" s="105" t="s">
        <v>2</v>
      </c>
      <c r="E55" s="106">
        <f>SUM(M18:M22)</f>
        <v>11349.770753171288</v>
      </c>
    </row>
    <row r="56" spans="1:14" x14ac:dyDescent="0.35">
      <c r="A56" s="73" t="s">
        <v>331</v>
      </c>
      <c r="B56" s="85">
        <v>3.8554687500000008E-3</v>
      </c>
      <c r="D56" s="105" t="s">
        <v>1056</v>
      </c>
      <c r="E56" s="196">
        <f>(L5-L11-E53)</f>
        <v>3.3153326636941163</v>
      </c>
    </row>
    <row r="57" spans="1:14" x14ac:dyDescent="0.35">
      <c r="A57" s="73"/>
      <c r="B57" s="74"/>
      <c r="D57" s="105" t="s">
        <v>68</v>
      </c>
      <c r="E57" s="107">
        <v>5.0000000000000001E-3</v>
      </c>
      <c r="F57" s="253" t="s">
        <v>1073</v>
      </c>
    </row>
    <row r="58" spans="1:14" x14ac:dyDescent="0.35">
      <c r="A58" s="73" t="s">
        <v>332</v>
      </c>
      <c r="B58" s="83">
        <v>11</v>
      </c>
      <c r="D58" s="105"/>
      <c r="E58" s="108"/>
    </row>
    <row r="59" spans="1:14" x14ac:dyDescent="0.35">
      <c r="A59" s="73" t="s">
        <v>333</v>
      </c>
      <c r="B59" s="83">
        <v>11</v>
      </c>
      <c r="D59" s="109" t="s">
        <v>6</v>
      </c>
      <c r="E59" s="108"/>
    </row>
    <row r="60" spans="1:14" x14ac:dyDescent="0.35">
      <c r="A60" s="73" t="s">
        <v>335</v>
      </c>
      <c r="B60" s="83">
        <v>6.9384973834652994</v>
      </c>
      <c r="D60" s="105" t="s">
        <v>66</v>
      </c>
      <c r="E60" s="106">
        <f>(E53*D29-E61*D30)/0.5</f>
        <v>0.35744388456252896</v>
      </c>
    </row>
    <row r="61" spans="1:14" ht="15" thickBot="1" x14ac:dyDescent="0.4">
      <c r="A61" s="75" t="s">
        <v>334</v>
      </c>
      <c r="B61" s="84">
        <v>2.1153715236551016</v>
      </c>
      <c r="D61" s="105" t="s">
        <v>67</v>
      </c>
      <c r="E61" s="106">
        <v>1</v>
      </c>
    </row>
    <row r="62" spans="1:14" ht="15" thickBot="1" x14ac:dyDescent="0.4">
      <c r="D62" s="110" t="s">
        <v>15</v>
      </c>
      <c r="E62" s="192">
        <f>(L22+L9)/1000</f>
        <v>2.9472168306855337E-3</v>
      </c>
    </row>
    <row r="63" spans="1:14" x14ac:dyDescent="0.35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</row>
    <row r="64" spans="1:14" ht="21" x14ac:dyDescent="0.5">
      <c r="A64" s="201" t="s">
        <v>731</v>
      </c>
    </row>
    <row r="65" spans="1:10" ht="19" thickBot="1" x14ac:dyDescent="0.5">
      <c r="A65" s="2" t="s">
        <v>736</v>
      </c>
      <c r="E65" s="5"/>
      <c r="F65" s="5"/>
    </row>
    <row r="66" spans="1:10" x14ac:dyDescent="0.35">
      <c r="A66" s="1" t="s">
        <v>111</v>
      </c>
      <c r="E66" s="5"/>
      <c r="I66" s="194" t="s">
        <v>724</v>
      </c>
      <c r="J66" s="13"/>
    </row>
    <row r="67" spans="1:10" x14ac:dyDescent="0.35">
      <c r="A67" t="s">
        <v>107</v>
      </c>
      <c r="C67">
        <v>1.2</v>
      </c>
      <c r="D67" t="s">
        <v>108</v>
      </c>
      <c r="F67" s="1" t="s">
        <v>106</v>
      </c>
      <c r="I67" s="14" t="s">
        <v>103</v>
      </c>
      <c r="J67" s="15" t="s">
        <v>104</v>
      </c>
    </row>
    <row r="68" spans="1:10" x14ac:dyDescent="0.35">
      <c r="A68" t="s">
        <v>109</v>
      </c>
      <c r="C68">
        <v>0.35</v>
      </c>
      <c r="F68" t="s">
        <v>94</v>
      </c>
      <c r="G68" s="4">
        <v>46.069000000000003</v>
      </c>
      <c r="I68" s="14">
        <v>298.14999999999998</v>
      </c>
      <c r="J68" s="15">
        <v>101.511</v>
      </c>
    </row>
    <row r="69" spans="1:10" x14ac:dyDescent="0.35">
      <c r="A69" t="s">
        <v>110</v>
      </c>
      <c r="C69">
        <v>79462</v>
      </c>
      <c r="D69" t="s">
        <v>108</v>
      </c>
      <c r="F69" t="s">
        <v>95</v>
      </c>
      <c r="G69" s="4">
        <v>18.015000000000001</v>
      </c>
      <c r="I69" s="14">
        <v>303.14999999999998</v>
      </c>
      <c r="J69" s="15">
        <v>102.44799999999999</v>
      </c>
    </row>
    <row r="70" spans="1:10" x14ac:dyDescent="0.35">
      <c r="A70" t="s">
        <v>111</v>
      </c>
      <c r="C70">
        <v>95110</v>
      </c>
      <c r="D70" t="s">
        <v>108</v>
      </c>
      <c r="F70" t="s">
        <v>96</v>
      </c>
      <c r="G70" s="4">
        <f>0.6/0.4</f>
        <v>1.4999999999999998</v>
      </c>
      <c r="I70" s="14">
        <v>308.14999999999998</v>
      </c>
      <c r="J70" s="15">
        <v>103.527</v>
      </c>
    </row>
    <row r="71" spans="1:10" x14ac:dyDescent="0.35">
      <c r="A71" t="s">
        <v>112</v>
      </c>
      <c r="C71">
        <v>70438</v>
      </c>
      <c r="D71" t="s">
        <v>108</v>
      </c>
      <c r="F71" t="s">
        <v>167</v>
      </c>
      <c r="G71" s="4">
        <f>1-1/(1+0.6/G68/(0.4/G69))</f>
        <v>0.36970783196404511</v>
      </c>
      <c r="I71" s="14">
        <v>313.14999999999998</v>
      </c>
      <c r="J71" s="15">
        <v>104.577</v>
      </c>
    </row>
    <row r="72" spans="1:10" x14ac:dyDescent="0.35">
      <c r="A72" t="s">
        <v>113</v>
      </c>
      <c r="C72">
        <v>96730</v>
      </c>
      <c r="D72" t="s">
        <v>108</v>
      </c>
      <c r="F72" t="s">
        <v>168</v>
      </c>
      <c r="G72" s="4">
        <f>1-1/(1+0.8/G68/(0.2/G69))</f>
        <v>0.61001108957157002</v>
      </c>
      <c r="I72" s="14">
        <v>318.14999999999998</v>
      </c>
      <c r="J72" s="15">
        <v>105.741</v>
      </c>
    </row>
    <row r="73" spans="1:10" x14ac:dyDescent="0.35">
      <c r="A73" t="s">
        <v>114</v>
      </c>
      <c r="C73">
        <f>0.35*C72</f>
        <v>33855.5</v>
      </c>
      <c r="D73" t="s">
        <v>108</v>
      </c>
      <c r="F73" t="s">
        <v>97</v>
      </c>
      <c r="G73" s="4">
        <f>G71*G68+(1-G71)*G69</f>
        <v>28.386783517919319</v>
      </c>
      <c r="I73" s="14">
        <v>323.14999999999998</v>
      </c>
      <c r="J73" s="15">
        <v>106.76300000000001</v>
      </c>
    </row>
    <row r="74" spans="1:10" ht="15" thickBot="1" x14ac:dyDescent="0.4">
      <c r="A74" t="s">
        <v>115</v>
      </c>
      <c r="C74">
        <f>C70-C73</f>
        <v>61254.5</v>
      </c>
      <c r="D74" t="s">
        <v>108</v>
      </c>
      <c r="F74" t="s">
        <v>166</v>
      </c>
      <c r="G74" s="4">
        <f>G72*G68+(1-G72)*G69</f>
        <v>35.128251106840828</v>
      </c>
      <c r="I74" s="17" t="s">
        <v>8</v>
      </c>
      <c r="J74" s="199">
        <f>AVERAGE(J68:J73)</f>
        <v>104.0945</v>
      </c>
    </row>
    <row r="75" spans="1:10" x14ac:dyDescent="0.35">
      <c r="A75" t="s">
        <v>117</v>
      </c>
      <c r="C75" s="3">
        <v>134.63085914806481</v>
      </c>
      <c r="D75" t="s">
        <v>118</v>
      </c>
      <c r="F75" t="s">
        <v>175</v>
      </c>
      <c r="G75">
        <f>J74</f>
        <v>104.0945</v>
      </c>
    </row>
    <row r="76" spans="1:10" ht="15" thickBot="1" x14ac:dyDescent="0.4">
      <c r="A76" t="s">
        <v>119</v>
      </c>
      <c r="C76" s="3">
        <v>2.1148731276885777</v>
      </c>
      <c r="D76" t="s">
        <v>118</v>
      </c>
      <c r="F76" s="1" t="s">
        <v>176</v>
      </c>
      <c r="G76" s="6">
        <f>G75/G73</f>
        <v>3.6670058069203137</v>
      </c>
    </row>
    <row r="77" spans="1:10" x14ac:dyDescent="0.35">
      <c r="A77" t="s">
        <v>120</v>
      </c>
      <c r="C77" s="3">
        <v>1020.9</v>
      </c>
      <c r="D77" t="s">
        <v>118</v>
      </c>
      <c r="F77" s="1" t="s">
        <v>169</v>
      </c>
      <c r="G77" s="1">
        <v>80.5</v>
      </c>
      <c r="I77" s="194" t="s">
        <v>153</v>
      </c>
      <c r="J77" s="13"/>
    </row>
    <row r="78" spans="1:10" x14ac:dyDescent="0.35">
      <c r="A78" t="s">
        <v>121</v>
      </c>
      <c r="C78" s="3">
        <v>41.687881968956297</v>
      </c>
      <c r="D78" t="s">
        <v>118</v>
      </c>
      <c r="F78" t="s">
        <v>170</v>
      </c>
      <c r="G78">
        <v>40</v>
      </c>
      <c r="I78" s="14" t="s">
        <v>154</v>
      </c>
      <c r="J78" s="15">
        <f>0.93</f>
        <v>0.93</v>
      </c>
    </row>
    <row r="79" spans="1:10" x14ac:dyDescent="0.35">
      <c r="A79" s="1" t="s">
        <v>122</v>
      </c>
      <c r="F79" s="1" t="s">
        <v>171</v>
      </c>
      <c r="G79" s="7">
        <f>G78/G74*1000</f>
        <v>1138.6846409843174</v>
      </c>
      <c r="I79" s="14" t="s">
        <v>155</v>
      </c>
      <c r="J79" s="16">
        <f>J78*0.15/(0.15+0.142)</f>
        <v>0.47773972602739734</v>
      </c>
    </row>
    <row r="80" spans="1:10" x14ac:dyDescent="0.35">
      <c r="A80" t="s">
        <v>123</v>
      </c>
      <c r="C80">
        <f>G77-50</f>
        <v>30.5</v>
      </c>
      <c r="D80" t="s">
        <v>124</v>
      </c>
      <c r="F80" t="s">
        <v>173</v>
      </c>
      <c r="I80" s="14" t="s">
        <v>156</v>
      </c>
      <c r="J80" s="16">
        <f>J78*0.15/(0.15+0.13)</f>
        <v>0.49821428571428572</v>
      </c>
    </row>
    <row r="81" spans="1:10" x14ac:dyDescent="0.35">
      <c r="A81" t="s">
        <v>117</v>
      </c>
      <c r="C81" s="3">
        <f>(G79+C80*G76)*G95*G118</f>
        <v>484.59288191302977</v>
      </c>
      <c r="D81" t="s">
        <v>165</v>
      </c>
      <c r="I81" s="14" t="s">
        <v>157</v>
      </c>
      <c r="J81" s="16">
        <f>J78*0.15/(0.15+0.1665)</f>
        <v>0.44075829383886261</v>
      </c>
    </row>
    <row r="82" spans="1:10" x14ac:dyDescent="0.35">
      <c r="A82" t="s">
        <v>119</v>
      </c>
      <c r="C82" s="3">
        <v>2.1148731276885777</v>
      </c>
      <c r="D82" t="s">
        <v>165</v>
      </c>
      <c r="F82" t="s">
        <v>98</v>
      </c>
      <c r="G82">
        <v>86.1785</v>
      </c>
      <c r="I82" s="14" t="s">
        <v>158</v>
      </c>
      <c r="J82" s="16">
        <f>AVERAGE(J79:J81)</f>
        <v>0.47223743519351524</v>
      </c>
    </row>
    <row r="83" spans="1:10" x14ac:dyDescent="0.35">
      <c r="A83" t="s">
        <v>120</v>
      </c>
      <c r="C83" s="3">
        <f>(G79+C80*G76*0.45+C80*G94*0.55)*G106</f>
        <v>1915.9208511108629</v>
      </c>
      <c r="D83" t="s">
        <v>165</v>
      </c>
      <c r="F83" t="s">
        <v>99</v>
      </c>
      <c r="G83">
        <v>197.66</v>
      </c>
      <c r="I83" s="14" t="s">
        <v>159</v>
      </c>
      <c r="J83" s="16">
        <f>_xlfn.STDEV.S(J79:J81)</f>
        <v>2.9120510880007562E-2</v>
      </c>
    </row>
    <row r="84" spans="1:10" x14ac:dyDescent="0.35">
      <c r="A84" t="s">
        <v>121</v>
      </c>
      <c r="C84" s="3">
        <v>41.687881968956297</v>
      </c>
      <c r="D84" t="s">
        <v>165</v>
      </c>
      <c r="F84" s="1" t="s">
        <v>116</v>
      </c>
      <c r="G84" s="6">
        <f>G83/G82</f>
        <v>2.2936115156332497</v>
      </c>
      <c r="I84" s="14" t="s">
        <v>160</v>
      </c>
      <c r="J84" s="16">
        <f>J78*0.15/(0.15+0.101)</f>
        <v>0.55577689243027895</v>
      </c>
    </row>
    <row r="85" spans="1:10" x14ac:dyDescent="0.35">
      <c r="A85" s="1" t="s">
        <v>75</v>
      </c>
      <c r="F85" s="1" t="s">
        <v>102</v>
      </c>
      <c r="G85" s="1">
        <v>69</v>
      </c>
      <c r="I85" s="14" t="s">
        <v>161</v>
      </c>
      <c r="J85" s="16">
        <f>J78*0.15/(0.15+0.093)</f>
        <v>0.57407407407407418</v>
      </c>
    </row>
    <row r="86" spans="1:10" x14ac:dyDescent="0.35">
      <c r="A86" t="s">
        <v>128</v>
      </c>
      <c r="C86">
        <v>20</v>
      </c>
      <c r="D86" t="s">
        <v>124</v>
      </c>
      <c r="F86" t="s">
        <v>100</v>
      </c>
      <c r="G86">
        <v>31.73</v>
      </c>
      <c r="I86" s="14" t="s">
        <v>162</v>
      </c>
      <c r="J86" s="16">
        <f>J78*0.15/(0.15+0.1205)</f>
        <v>0.51571164510166367</v>
      </c>
    </row>
    <row r="87" spans="1:10" x14ac:dyDescent="0.35">
      <c r="A87" t="s">
        <v>117</v>
      </c>
      <c r="C87" s="3">
        <f>(G92+C86*G91)*G95*G118</f>
        <v>908.21616173155235</v>
      </c>
      <c r="D87" t="s">
        <v>127</v>
      </c>
      <c r="F87" s="1" t="s">
        <v>101</v>
      </c>
      <c r="G87" s="6">
        <f>G86/G82*1000</f>
        <v>368.18928154934241</v>
      </c>
      <c r="I87" s="14" t="s">
        <v>163</v>
      </c>
      <c r="J87" s="16">
        <f>AVERAGE(J84:J86)</f>
        <v>0.54852087053533893</v>
      </c>
    </row>
    <row r="88" spans="1:10" ht="15" thickBot="1" x14ac:dyDescent="0.4">
      <c r="A88" t="s">
        <v>119</v>
      </c>
      <c r="C88" s="3">
        <f>C82</f>
        <v>2.1148731276885777</v>
      </c>
      <c r="D88" t="s">
        <v>127</v>
      </c>
      <c r="F88" s="8" t="s">
        <v>105</v>
      </c>
      <c r="I88" s="17" t="s">
        <v>164</v>
      </c>
      <c r="J88" s="18">
        <f>_xlfn.STDEV.S(J84:J86)</f>
        <v>2.9850136837120227E-2</v>
      </c>
    </row>
    <row r="89" spans="1:10" x14ac:dyDescent="0.35">
      <c r="A89" s="1" t="s">
        <v>82</v>
      </c>
    </row>
    <row r="90" spans="1:10" x14ac:dyDescent="0.35">
      <c r="A90" t="s">
        <v>130</v>
      </c>
      <c r="C90">
        <v>30</v>
      </c>
      <c r="D90" t="s">
        <v>124</v>
      </c>
      <c r="F90" t="s">
        <v>192</v>
      </c>
      <c r="G90">
        <v>1.97</v>
      </c>
    </row>
    <row r="91" spans="1:10" x14ac:dyDescent="0.35">
      <c r="A91" t="s">
        <v>131</v>
      </c>
      <c r="C91" s="5">
        <v>0</v>
      </c>
      <c r="D91" t="s">
        <v>132</v>
      </c>
      <c r="E91" t="s">
        <v>178</v>
      </c>
      <c r="F91" t="s">
        <v>125</v>
      </c>
      <c r="G91">
        <v>4.1859999999999999</v>
      </c>
    </row>
    <row r="92" spans="1:10" x14ac:dyDescent="0.35">
      <c r="F92" t="s">
        <v>126</v>
      </c>
      <c r="G92">
        <v>2260</v>
      </c>
    </row>
    <row r="94" spans="1:10" x14ac:dyDescent="0.35">
      <c r="F94" t="s">
        <v>183</v>
      </c>
      <c r="G94">
        <v>2</v>
      </c>
      <c r="H94" t="s">
        <v>172</v>
      </c>
      <c r="I94" t="s">
        <v>733</v>
      </c>
    </row>
    <row r="95" spans="1:10" x14ac:dyDescent="0.35">
      <c r="F95" t="s">
        <v>177</v>
      </c>
      <c r="G95">
        <v>1.125</v>
      </c>
      <c r="H95" t="s">
        <v>172</v>
      </c>
      <c r="I95" t="s">
        <v>174</v>
      </c>
    </row>
    <row r="96" spans="1:10" x14ac:dyDescent="0.35">
      <c r="C96" s="3"/>
    </row>
    <row r="97" spans="1:8" ht="18.5" x14ac:dyDescent="0.45">
      <c r="A97" s="2" t="s">
        <v>735</v>
      </c>
      <c r="F97" s="2" t="s">
        <v>727</v>
      </c>
    </row>
    <row r="98" spans="1:8" x14ac:dyDescent="0.35">
      <c r="A98" s="1" t="s">
        <v>122</v>
      </c>
      <c r="F98" s="1" t="s">
        <v>188</v>
      </c>
    </row>
    <row r="99" spans="1:8" x14ac:dyDescent="0.35">
      <c r="A99" t="s">
        <v>123</v>
      </c>
      <c r="C99">
        <f>G77-50</f>
        <v>30.5</v>
      </c>
      <c r="D99" t="s">
        <v>124</v>
      </c>
      <c r="F99" t="s">
        <v>187</v>
      </c>
      <c r="G99">
        <f>100824*4.182*94.697</f>
        <v>39928608.23169601</v>
      </c>
      <c r="H99" t="s">
        <v>185</v>
      </c>
    </row>
    <row r="100" spans="1:8" x14ac:dyDescent="0.35">
      <c r="A100" t="s">
        <v>117</v>
      </c>
      <c r="C100" s="3">
        <f>(G79+C99*G76)*G95*0.5</f>
        <v>703.42217892865517</v>
      </c>
      <c r="D100" t="s">
        <v>165</v>
      </c>
      <c r="F100" t="s">
        <v>179</v>
      </c>
      <c r="G100">
        <v>63665</v>
      </c>
      <c r="H100" t="s">
        <v>186</v>
      </c>
    </row>
    <row r="101" spans="1:8" x14ac:dyDescent="0.35">
      <c r="A101" t="s">
        <v>119</v>
      </c>
      <c r="C101" s="3">
        <v>2.1148731276885777</v>
      </c>
      <c r="D101" t="s">
        <v>165</v>
      </c>
      <c r="F101" t="s">
        <v>180</v>
      </c>
      <c r="G101">
        <v>39131</v>
      </c>
      <c r="H101" t="s">
        <v>186</v>
      </c>
    </row>
    <row r="102" spans="1:8" x14ac:dyDescent="0.35">
      <c r="A102" t="s">
        <v>120</v>
      </c>
      <c r="C102" s="10">
        <f>(G79+C80*G76*0.45+C80*G94*0.55)*G108</f>
        <v>3056.4107392107467</v>
      </c>
      <c r="D102" t="s">
        <v>165</v>
      </c>
      <c r="F102" t="s">
        <v>181</v>
      </c>
      <c r="G102">
        <f>G100*51*G94</f>
        <v>6493830</v>
      </c>
      <c r="H102" t="s">
        <v>185</v>
      </c>
    </row>
    <row r="103" spans="1:8" x14ac:dyDescent="0.35">
      <c r="A103" t="s">
        <v>121</v>
      </c>
      <c r="C103" s="3">
        <v>41.687881968956297</v>
      </c>
      <c r="D103" t="s">
        <v>165</v>
      </c>
      <c r="F103" t="s">
        <v>182</v>
      </c>
      <c r="G103">
        <f>G101*51*G84</f>
        <v>4577316.9231304796</v>
      </c>
      <c r="H103" t="s">
        <v>185</v>
      </c>
    </row>
    <row r="104" spans="1:8" x14ac:dyDescent="0.35">
      <c r="A104" s="1" t="s">
        <v>75</v>
      </c>
      <c r="F104" t="s">
        <v>184</v>
      </c>
      <c r="G104">
        <f>G87*G101</f>
        <v>14407614.776307318</v>
      </c>
      <c r="H104" t="s">
        <v>185</v>
      </c>
    </row>
    <row r="105" spans="1:8" x14ac:dyDescent="0.35">
      <c r="A105" t="s">
        <v>128</v>
      </c>
      <c r="C105">
        <v>20</v>
      </c>
      <c r="D105" t="s">
        <v>124</v>
      </c>
      <c r="F105" t="s">
        <v>729</v>
      </c>
      <c r="G105">
        <f>SUM(G102:G104)</f>
        <v>25478761.699437797</v>
      </c>
      <c r="H105" t="s">
        <v>185</v>
      </c>
    </row>
    <row r="106" spans="1:8" x14ac:dyDescent="0.35">
      <c r="A106" t="s">
        <v>117</v>
      </c>
      <c r="C106" s="3">
        <f>(G92+C105*G91)*G95*0.5</f>
        <v>1318.3425</v>
      </c>
      <c r="D106" t="s">
        <v>127</v>
      </c>
      <c r="F106" s="1" t="s">
        <v>730</v>
      </c>
      <c r="G106" s="6">
        <f>G99/G105</f>
        <v>1.5671329989548533</v>
      </c>
      <c r="H106" s="1" t="s">
        <v>3</v>
      </c>
    </row>
    <row r="107" spans="1:8" x14ac:dyDescent="0.35">
      <c r="A107" t="s">
        <v>119</v>
      </c>
      <c r="C107" s="3">
        <f>C101</f>
        <v>2.1148731276885777</v>
      </c>
      <c r="D107" t="s">
        <v>127</v>
      </c>
    </row>
    <row r="108" spans="1:8" x14ac:dyDescent="0.35">
      <c r="A108" s="1" t="s">
        <v>82</v>
      </c>
      <c r="F108" t="s">
        <v>1071</v>
      </c>
      <c r="G108">
        <v>2.5</v>
      </c>
    </row>
    <row r="109" spans="1:8" x14ac:dyDescent="0.35">
      <c r="A109" t="s">
        <v>130</v>
      </c>
      <c r="C109">
        <v>30</v>
      </c>
      <c r="D109" t="s">
        <v>124</v>
      </c>
    </row>
    <row r="110" spans="1:8" x14ac:dyDescent="0.35">
      <c r="A110" t="s">
        <v>131</v>
      </c>
      <c r="C110" s="5">
        <f>G76*C109</f>
        <v>110.01017420760941</v>
      </c>
      <c r="D110" t="s">
        <v>132</v>
      </c>
      <c r="F110" s="1" t="s">
        <v>734</v>
      </c>
    </row>
    <row r="111" spans="1:8" x14ac:dyDescent="0.35">
      <c r="F111" t="s">
        <v>189</v>
      </c>
      <c r="G111">
        <f>20814*4.182*94.697</f>
        <v>8242819.6831560005</v>
      </c>
      <c r="H111" t="s">
        <v>185</v>
      </c>
    </row>
    <row r="112" spans="1:8" x14ac:dyDescent="0.35">
      <c r="A112" t="s">
        <v>732</v>
      </c>
      <c r="F112" t="s">
        <v>180</v>
      </c>
      <c r="G112">
        <v>55210</v>
      </c>
      <c r="H112" t="s">
        <v>186</v>
      </c>
    </row>
    <row r="113" spans="1:8" x14ac:dyDescent="0.35">
      <c r="A113" t="s">
        <v>615</v>
      </c>
      <c r="F113" t="s">
        <v>190</v>
      </c>
      <c r="G113">
        <v>15226</v>
      </c>
      <c r="H113" t="s">
        <v>186</v>
      </c>
    </row>
    <row r="114" spans="1:8" x14ac:dyDescent="0.35">
      <c r="F114" t="s">
        <v>182</v>
      </c>
      <c r="G114">
        <f>G112*G84*23</f>
        <v>2912496.7108965693</v>
      </c>
      <c r="H114" t="s">
        <v>185</v>
      </c>
    </row>
    <row r="115" spans="1:8" x14ac:dyDescent="0.35">
      <c r="F115" t="s">
        <v>191</v>
      </c>
      <c r="G115">
        <f>G113*G90*23</f>
        <v>689890.06</v>
      </c>
      <c r="H115" t="s">
        <v>185</v>
      </c>
    </row>
    <row r="116" spans="1:8" x14ac:dyDescent="0.35">
      <c r="F116" t="s">
        <v>184</v>
      </c>
      <c r="G116">
        <f>G112*G87</f>
        <v>20327730.234339196</v>
      </c>
      <c r="H116" t="s">
        <v>185</v>
      </c>
    </row>
    <row r="117" spans="1:8" x14ac:dyDescent="0.35">
      <c r="F117" t="s">
        <v>729</v>
      </c>
      <c r="G117">
        <f>SUM(G114:G116)</f>
        <v>23930117.005235765</v>
      </c>
      <c r="H117" t="s">
        <v>185</v>
      </c>
    </row>
    <row r="118" spans="1:8" x14ac:dyDescent="0.35">
      <c r="F118" s="1" t="s">
        <v>730</v>
      </c>
      <c r="G118" s="1">
        <f>G111/G117</f>
        <v>0.34445379775420742</v>
      </c>
    </row>
  </sheetData>
  <hyperlinks>
    <hyperlink ref="F88" r:id="rId1" display="https://materials.springer.com/thermophysical/docs/cpe1_c11c174" xr:uid="{BB8D6CC7-983B-44F4-8729-5E8F6772CDE4}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624F-24E5-4B8F-9B33-EAC39087881B}">
  <sheetPr>
    <tabColor theme="4" tint="0.79998168889431442"/>
  </sheetPr>
  <dimension ref="A1:S89"/>
  <sheetViews>
    <sheetView tabSelected="1" zoomScaleNormal="100" workbookViewId="0">
      <selection activeCell="G29" sqref="G29"/>
    </sheetView>
  </sheetViews>
  <sheetFormatPr defaultRowHeight="14.5" x14ac:dyDescent="0.35"/>
  <cols>
    <col min="1" max="1" width="39.6328125" bestFit="1" customWidth="1"/>
    <col min="2" max="2" width="24.90625" bestFit="1" customWidth="1"/>
    <col min="3" max="3" width="19.1796875" bestFit="1" customWidth="1"/>
    <col min="4" max="4" width="31.6328125" bestFit="1" customWidth="1"/>
    <col min="5" max="5" width="32.81640625" bestFit="1" customWidth="1"/>
    <col min="6" max="6" width="52.08984375" customWidth="1"/>
    <col min="7" max="7" width="11.81640625" bestFit="1" customWidth="1"/>
    <col min="8" max="8" width="35.26953125" bestFit="1" customWidth="1"/>
    <col min="9" max="9" width="21.08984375" bestFit="1" customWidth="1"/>
    <col min="10" max="10" width="6.36328125" bestFit="1" customWidth="1"/>
    <col min="11" max="11" width="11.81640625" bestFit="1" customWidth="1"/>
    <col min="12" max="12" width="6.08984375" customWidth="1"/>
    <col min="13" max="13" width="26.1796875" customWidth="1"/>
    <col min="14" max="14" width="7.36328125" customWidth="1"/>
    <col min="15" max="16" width="22.453125" customWidth="1"/>
    <col min="17" max="17" width="19.7265625" bestFit="1" customWidth="1"/>
    <col min="18" max="18" width="7.36328125" customWidth="1"/>
    <col min="19" max="19" width="4.6328125" bestFit="1" customWidth="1"/>
    <col min="21" max="21" width="39.90625" bestFit="1" customWidth="1"/>
    <col min="22" max="22" width="6.81640625" bestFit="1" customWidth="1"/>
    <col min="23" max="23" width="5.81640625" bestFit="1" customWidth="1"/>
    <col min="24" max="24" width="6.81640625" bestFit="1" customWidth="1"/>
    <col min="25" max="25" width="11.90625" bestFit="1" customWidth="1"/>
    <col min="26" max="26" width="9.36328125" bestFit="1" customWidth="1"/>
    <col min="27" max="27" width="11.6328125" customWidth="1"/>
    <col min="28" max="28" width="9.54296875" customWidth="1"/>
  </cols>
  <sheetData>
    <row r="1" spans="1:19" ht="23.5" customHeight="1" x14ac:dyDescent="1">
      <c r="A1" s="2" t="s">
        <v>45</v>
      </c>
      <c r="B1" t="s">
        <v>54</v>
      </c>
      <c r="C1" s="69"/>
      <c r="E1" s="186"/>
      <c r="H1" s="114"/>
      <c r="I1" s="115" t="s">
        <v>16</v>
      </c>
      <c r="J1" s="116"/>
      <c r="K1" s="116"/>
      <c r="L1" s="116"/>
      <c r="M1" s="116"/>
      <c r="N1" s="116"/>
      <c r="O1" s="116"/>
      <c r="P1" s="116"/>
      <c r="Q1" s="116"/>
      <c r="R1" s="116"/>
      <c r="S1" s="117"/>
    </row>
    <row r="2" spans="1:19" ht="15" thickBot="1" x14ac:dyDescent="0.4">
      <c r="C2" s="69"/>
      <c r="H2" s="118"/>
      <c r="I2" s="119" t="s">
        <v>17</v>
      </c>
      <c r="J2" s="119" t="s">
        <v>18</v>
      </c>
      <c r="K2" s="119" t="s">
        <v>285</v>
      </c>
      <c r="L2" s="119" t="s">
        <v>19</v>
      </c>
      <c r="M2" s="119" t="s">
        <v>277</v>
      </c>
      <c r="N2" s="119" t="s">
        <v>547</v>
      </c>
      <c r="O2" s="119" t="s">
        <v>548</v>
      </c>
      <c r="P2" s="119" t="s">
        <v>680</v>
      </c>
      <c r="Q2" s="119" t="s">
        <v>688</v>
      </c>
      <c r="R2" s="125" t="s">
        <v>285</v>
      </c>
      <c r="S2" s="143" t="s">
        <v>19</v>
      </c>
    </row>
    <row r="3" spans="1:19" x14ac:dyDescent="0.35">
      <c r="A3" s="94"/>
      <c r="B3" s="111" t="s">
        <v>50</v>
      </c>
      <c r="C3" s="111" t="s">
        <v>458</v>
      </c>
      <c r="D3" s="111" t="s">
        <v>51</v>
      </c>
      <c r="E3" s="111" t="s">
        <v>52</v>
      </c>
      <c r="F3" s="96"/>
      <c r="H3" s="118" t="s">
        <v>20</v>
      </c>
      <c r="I3" s="119">
        <f>'Energy consumption machinery'!B8</f>
        <v>6.48</v>
      </c>
      <c r="J3" s="119">
        <f>'Energy consumption machinery'!C8</f>
        <v>18.62</v>
      </c>
      <c r="K3" s="214">
        <f>(I3+J3)/2</f>
        <v>12.55</v>
      </c>
      <c r="L3" s="121" t="s">
        <v>21</v>
      </c>
      <c r="M3" s="121">
        <f>F21/0.45</f>
        <v>1.9444444444444444</v>
      </c>
      <c r="N3" s="121" t="s">
        <v>352</v>
      </c>
      <c r="O3" s="121" t="s">
        <v>352</v>
      </c>
      <c r="P3" s="123">
        <f>M3*$E$60</f>
        <v>16.186886159641741</v>
      </c>
      <c r="Q3" s="212">
        <f>$M3*E$60</f>
        <v>16.186886159641741</v>
      </c>
      <c r="R3" s="144">
        <f t="shared" ref="R3:R9" si="0">Q3*K3</f>
        <v>203.14542130350387</v>
      </c>
      <c r="S3" s="143" t="s">
        <v>23</v>
      </c>
    </row>
    <row r="4" spans="1:19" x14ac:dyDescent="0.35">
      <c r="A4" s="97" t="s">
        <v>53</v>
      </c>
      <c r="B4" s="103" t="s">
        <v>55</v>
      </c>
      <c r="C4" s="103"/>
      <c r="D4" s="103"/>
      <c r="E4" s="103"/>
      <c r="F4" s="98"/>
      <c r="H4" s="118" t="s">
        <v>269</v>
      </c>
      <c r="I4" s="121">
        <f>'Energy consumption machinery'!B15</f>
        <v>7.1999999999999993</v>
      </c>
      <c r="J4" s="121">
        <f>'Energy consumption machinery'!C15</f>
        <v>18.899999999999999</v>
      </c>
      <c r="K4" s="213">
        <f>(I4+J4)/2</f>
        <v>13.049999999999999</v>
      </c>
      <c r="L4" s="152" t="s">
        <v>43</v>
      </c>
      <c r="M4" s="121">
        <f>F21/0.25</f>
        <v>3.5</v>
      </c>
      <c r="N4" s="121">
        <f>F21/M4*M35+(1-F21/M4)</f>
        <v>1.1125</v>
      </c>
      <c r="O4" s="121">
        <f>M4/N4</f>
        <v>3.1460674157303368</v>
      </c>
      <c r="P4" s="123">
        <f>M4*$E$60</f>
        <v>29.136395087355133</v>
      </c>
      <c r="Q4" s="212">
        <f>$O4*E$60</f>
        <v>26.190018056049553</v>
      </c>
      <c r="R4" s="144">
        <f>Q4*K4</f>
        <v>341.77973563144661</v>
      </c>
      <c r="S4" s="143" t="s">
        <v>23</v>
      </c>
    </row>
    <row r="5" spans="1:19" x14ac:dyDescent="0.35">
      <c r="A5" s="97" t="s">
        <v>57</v>
      </c>
      <c r="B5" s="103">
        <v>82</v>
      </c>
      <c r="C5" s="103"/>
      <c r="D5" s="103" t="s">
        <v>55</v>
      </c>
      <c r="E5" s="103" t="s">
        <v>56</v>
      </c>
      <c r="F5" s="98"/>
      <c r="H5" s="118" t="s">
        <v>270</v>
      </c>
      <c r="I5" s="121">
        <f>'Energy consumption machinery'!B14</f>
        <v>1.08</v>
      </c>
      <c r="J5" s="121">
        <f>'Energy consumption machinery'!C14</f>
        <v>3.7439999999999998</v>
      </c>
      <c r="K5" s="144">
        <f>'Energy consumption machinery'!D14</f>
        <v>3.42</v>
      </c>
      <c r="L5" s="152" t="s">
        <v>43</v>
      </c>
      <c r="M5" s="121">
        <f>((E68*D33+E66*D32+E69*0.9*2/3+C21*((B39+C39)/2)*E60)/((B37+C37)/2)+E70*0.9/((B38+C38)/2)+(E67*D33+E69*0.9/3-C21*((B39+C39)/2)*E60)/((B36+C36)/2))/E60</f>
        <v>4.0982857172605653</v>
      </c>
      <c r="N5" s="121">
        <f>F21/M5*M35+(1-F21/M5)</f>
        <v>1.096076756762385</v>
      </c>
      <c r="O5" s="121">
        <f>M5/N5</f>
        <v>3.7390499269103827</v>
      </c>
      <c r="P5" s="123">
        <f t="shared" ref="P5:P9" si="1">M5*$E$60</f>
        <v>34.116934811133838</v>
      </c>
      <c r="Q5" s="212">
        <f>$O5*E$60</f>
        <v>31.126410263373497</v>
      </c>
      <c r="R5" s="144">
        <f t="shared" si="0"/>
        <v>106.45232310073736</v>
      </c>
      <c r="S5" s="143" t="s">
        <v>23</v>
      </c>
    </row>
    <row r="6" spans="1:19" x14ac:dyDescent="0.35">
      <c r="A6" s="97" t="s">
        <v>76</v>
      </c>
      <c r="B6" s="103"/>
      <c r="C6" s="103"/>
      <c r="D6" s="103" t="s">
        <v>267</v>
      </c>
      <c r="E6" s="103">
        <v>12</v>
      </c>
      <c r="F6" s="98"/>
      <c r="H6" s="118" t="s">
        <v>994</v>
      </c>
      <c r="I6" s="119">
        <f>'Energy consumption machinery'!B8</f>
        <v>6.48</v>
      </c>
      <c r="J6" s="119">
        <f>'Energy consumption machinery'!C8</f>
        <v>18.62</v>
      </c>
      <c r="K6" s="214">
        <f>(I6+J6)/2</f>
        <v>12.55</v>
      </c>
      <c r="L6" s="121" t="s">
        <v>21</v>
      </c>
      <c r="M6" s="123">
        <f>((E68*D33+E66*D32+E69*0.9*2/3+C21*((B39+C39)/2)*E60)/((B37+C37)/2))/E60</f>
        <v>1.2900768398268401</v>
      </c>
      <c r="N6" s="121" t="s">
        <v>352</v>
      </c>
      <c r="O6" s="121" t="s">
        <v>352</v>
      </c>
      <c r="P6" s="123">
        <f>M6*$E$60</f>
        <v>10.739482428068964</v>
      </c>
      <c r="Q6" s="212">
        <f>$M6*E$60</f>
        <v>10.739482428068964</v>
      </c>
      <c r="R6" s="144">
        <f t="shared" si="0"/>
        <v>134.78050447226551</v>
      </c>
      <c r="S6" s="143" t="s">
        <v>23</v>
      </c>
    </row>
    <row r="7" spans="1:19" x14ac:dyDescent="0.35">
      <c r="A7" s="97" t="s">
        <v>691</v>
      </c>
      <c r="B7" s="103"/>
      <c r="C7" s="103" t="s">
        <v>264</v>
      </c>
      <c r="D7" s="103"/>
      <c r="E7" s="103"/>
      <c r="F7" s="98"/>
      <c r="H7" s="118" t="s">
        <v>5</v>
      </c>
      <c r="I7" s="119">
        <v>0</v>
      </c>
      <c r="J7" s="119">
        <v>0</v>
      </c>
      <c r="K7" s="144">
        <f t="shared" ref="K7:K8" si="2">(J7+I7)/2</f>
        <v>0</v>
      </c>
      <c r="L7" s="121" t="s">
        <v>21</v>
      </c>
      <c r="M7" s="121">
        <f>M6+3/E60</f>
        <v>1.6504508658008661</v>
      </c>
      <c r="N7" s="121" t="s">
        <v>352</v>
      </c>
      <c r="O7" s="121" t="s">
        <v>352</v>
      </c>
      <c r="P7" s="123">
        <f t="shared" si="1"/>
        <v>13.739482428068966</v>
      </c>
      <c r="Q7" s="212">
        <f>$M7*E$60</f>
        <v>13.739482428068966</v>
      </c>
      <c r="R7" s="144">
        <f t="shared" si="0"/>
        <v>0</v>
      </c>
      <c r="S7" s="143" t="s">
        <v>23</v>
      </c>
    </row>
    <row r="8" spans="1:19" x14ac:dyDescent="0.35">
      <c r="A8" s="97" t="s">
        <v>265</v>
      </c>
      <c r="B8" s="103"/>
      <c r="C8" s="103" t="s">
        <v>266</v>
      </c>
      <c r="D8" s="103"/>
      <c r="E8" s="103"/>
      <c r="F8" s="98"/>
      <c r="H8" s="118" t="s">
        <v>271</v>
      </c>
      <c r="I8" s="119">
        <v>0</v>
      </c>
      <c r="J8" s="119">
        <v>0</v>
      </c>
      <c r="K8" s="144">
        <f t="shared" si="2"/>
        <v>0</v>
      </c>
      <c r="L8" s="121" t="s">
        <v>21</v>
      </c>
      <c r="M8" s="121">
        <f>E66*D32/0.31/E60</f>
        <v>0.36812400502723081</v>
      </c>
      <c r="N8" s="121" t="s">
        <v>352</v>
      </c>
      <c r="O8" s="121" t="s">
        <v>352</v>
      </c>
      <c r="P8" s="123">
        <f t="shared" si="1"/>
        <v>3.064516129032258</v>
      </c>
      <c r="Q8" s="212">
        <f>$M8*E$60</f>
        <v>3.064516129032258</v>
      </c>
      <c r="R8" s="144">
        <f t="shared" si="0"/>
        <v>0</v>
      </c>
      <c r="S8" s="143" t="s">
        <v>23</v>
      </c>
    </row>
    <row r="9" spans="1:19" x14ac:dyDescent="0.35">
      <c r="A9" s="97" t="s">
        <v>952</v>
      </c>
      <c r="B9" s="103"/>
      <c r="C9" s="103"/>
      <c r="D9" s="103" t="s">
        <v>953</v>
      </c>
      <c r="E9" s="103" t="s">
        <v>954</v>
      </c>
      <c r="F9" s="98"/>
      <c r="H9" s="118" t="s">
        <v>272</v>
      </c>
      <c r="I9" s="119">
        <f>'Energy consumption machinery'!B16</f>
        <v>0.27</v>
      </c>
      <c r="J9" s="119">
        <f>'Energy consumption machinery'!C16</f>
        <v>0.61199999999999999</v>
      </c>
      <c r="K9" s="214">
        <f>(I9+J9)/2</f>
        <v>0.441</v>
      </c>
      <c r="L9" s="152" t="s">
        <v>43</v>
      </c>
      <c r="M9" s="121">
        <f>M6+1.5/E60</f>
        <v>1.470263852813853</v>
      </c>
      <c r="N9" s="123">
        <f>(E68*D33+E69*0.9*2/3+C21*((B39+C39)/2))/(M9*E60)*M35+1-(E68*D33+E69*0.9*2/3+C21*((B39+C39)/2))/(M9*E60)</f>
        <v>1.0507472814241459</v>
      </c>
      <c r="O9" s="121">
        <f>M9/N9</f>
        <v>1.3992554430605892</v>
      </c>
      <c r="P9" s="123">
        <f t="shared" si="1"/>
        <v>12.239482428068964</v>
      </c>
      <c r="Q9" s="212">
        <f>$O9*E$60</f>
        <v>11.648359833470138</v>
      </c>
      <c r="R9" s="144">
        <f t="shared" si="0"/>
        <v>5.1369266865603311</v>
      </c>
      <c r="S9" s="143" t="s">
        <v>23</v>
      </c>
    </row>
    <row r="10" spans="1:19" x14ac:dyDescent="0.35">
      <c r="A10" s="97" t="s">
        <v>17</v>
      </c>
      <c r="B10" s="103">
        <v>0.8</v>
      </c>
      <c r="C10" s="103">
        <v>0.76</v>
      </c>
      <c r="D10" s="103">
        <v>0.57999999999999996</v>
      </c>
      <c r="E10" s="103">
        <v>0.2</v>
      </c>
      <c r="F10" s="98"/>
      <c r="H10" s="139" t="s">
        <v>981</v>
      </c>
      <c r="I10" s="119">
        <f>'Energy consumption machinery'!B9</f>
        <v>124</v>
      </c>
      <c r="J10" s="119">
        <f>'Energy consumption machinery'!C9</f>
        <v>273</v>
      </c>
      <c r="K10" s="214">
        <f>(I10+J10)/2</f>
        <v>198.5</v>
      </c>
      <c r="L10" s="141" t="s">
        <v>21</v>
      </c>
      <c r="M10" s="121">
        <f>E66/E60</f>
        <v>0.12012467532467531</v>
      </c>
      <c r="N10" s="123" t="s">
        <v>352</v>
      </c>
      <c r="O10" s="121" t="s">
        <v>352</v>
      </c>
      <c r="P10" s="123">
        <f>M10*E60</f>
        <v>1</v>
      </c>
      <c r="Q10" s="212">
        <f>M10*E60</f>
        <v>1</v>
      </c>
      <c r="R10" s="144">
        <f>Q10*K10</f>
        <v>198.5</v>
      </c>
      <c r="S10" s="143" t="s">
        <v>23</v>
      </c>
    </row>
    <row r="11" spans="1:19" x14ac:dyDescent="0.35">
      <c r="A11" s="97" t="s">
        <v>18</v>
      </c>
      <c r="B11" s="103">
        <v>0.85</v>
      </c>
      <c r="C11" s="103">
        <v>0.78</v>
      </c>
      <c r="D11" s="103">
        <v>0.62</v>
      </c>
      <c r="E11" s="103">
        <v>0.22</v>
      </c>
      <c r="F11" s="98"/>
      <c r="H11" s="118"/>
      <c r="I11" s="119"/>
      <c r="J11" s="119"/>
      <c r="K11" s="121"/>
      <c r="L11" s="152"/>
      <c r="M11" s="121"/>
      <c r="N11" s="123"/>
      <c r="O11" s="121"/>
      <c r="P11" s="123"/>
      <c r="Q11" s="123"/>
      <c r="R11" s="144"/>
      <c r="S11" s="143"/>
    </row>
    <row r="12" spans="1:19" x14ac:dyDescent="0.35">
      <c r="A12" s="97" t="s">
        <v>285</v>
      </c>
      <c r="B12" s="185">
        <v>0.82</v>
      </c>
      <c r="C12" s="183">
        <v>0.77</v>
      </c>
      <c r="D12" s="183">
        <f>(D10+D11)/2</f>
        <v>0.6</v>
      </c>
      <c r="E12" s="183">
        <f>(E10+E11)/2</f>
        <v>0.21000000000000002</v>
      </c>
      <c r="F12" s="98"/>
      <c r="H12" s="118"/>
      <c r="I12" s="119"/>
      <c r="J12" s="119"/>
      <c r="K12" s="121"/>
      <c r="L12" s="152"/>
      <c r="M12" s="121"/>
      <c r="N12" s="123"/>
      <c r="O12" s="121"/>
      <c r="P12" s="123"/>
      <c r="Q12" s="123"/>
      <c r="R12" s="144"/>
      <c r="S12" s="143"/>
    </row>
    <row r="13" spans="1:19" x14ac:dyDescent="0.35">
      <c r="A13" s="97"/>
      <c r="B13" s="103"/>
      <c r="C13" s="103"/>
      <c r="D13" s="103"/>
      <c r="E13" s="103"/>
      <c r="F13" s="98"/>
      <c r="H13" s="118" t="s">
        <v>976</v>
      </c>
      <c r="I13" s="121">
        <f>'Energy consumption machinery'!B14</f>
        <v>1.08</v>
      </c>
      <c r="J13" s="121">
        <f>'Energy consumption machinery'!C14</f>
        <v>3.7439999999999998</v>
      </c>
      <c r="K13" s="144">
        <f>'Energy consumption machinery'!D14</f>
        <v>3.42</v>
      </c>
      <c r="L13" s="152" t="s">
        <v>43</v>
      </c>
      <c r="M13" s="121">
        <f>E70*0.9/E60/0.085</f>
        <v>2.0955920550038187</v>
      </c>
      <c r="N13" s="121">
        <f>E70*0.1/(M13*E60)*M35+1-E70*0.1/(M13*E60)</f>
        <v>1.0042500000000001</v>
      </c>
      <c r="O13" s="121">
        <f>M13/N13</f>
        <v>2.0867234802129135</v>
      </c>
      <c r="P13" s="123">
        <f t="shared" ref="P13:P19" si="3">M13*$E$60</f>
        <v>17.445142301861061</v>
      </c>
      <c r="Q13" s="212">
        <f>$O13*E$60</f>
        <v>17.371314216441181</v>
      </c>
      <c r="R13" s="144">
        <f>Q13*K13</f>
        <v>59.40989462022884</v>
      </c>
      <c r="S13" s="143" t="s">
        <v>23</v>
      </c>
    </row>
    <row r="14" spans="1:19" x14ac:dyDescent="0.35">
      <c r="A14" s="97" t="s">
        <v>964</v>
      </c>
      <c r="B14" s="103"/>
      <c r="C14" s="103"/>
      <c r="D14" s="113" t="s">
        <v>459</v>
      </c>
      <c r="E14" s="103" t="s">
        <v>892</v>
      </c>
      <c r="F14" s="98" t="s">
        <v>687</v>
      </c>
      <c r="H14" s="118" t="s">
        <v>273</v>
      </c>
      <c r="I14" s="119">
        <f>'Energy consumption machinery'!B16</f>
        <v>0.27</v>
      </c>
      <c r="J14" s="119">
        <f>'Energy consumption machinery'!C16</f>
        <v>0.61199999999999999</v>
      </c>
      <c r="K14" s="214">
        <f>(I14+J14)/2</f>
        <v>0.441</v>
      </c>
      <c r="L14" s="152" t="s">
        <v>43</v>
      </c>
      <c r="M14" s="121">
        <f>(E67*D33+E69*0.9/3-C21*((B39+C39)/2)*E60)/((B36+C36)/2)/E60*3</f>
        <v>2.1378504672897192</v>
      </c>
      <c r="N14" s="121">
        <f>((B36+C36)/2)*M35+1-((B36+C36)/2)</f>
        <v>1.2407499999999998</v>
      </c>
      <c r="O14" s="121">
        <f>M14/N14</f>
        <v>1.7230308017648355</v>
      </c>
      <c r="P14" s="123">
        <f t="shared" si="3"/>
        <v>17.796930243611442</v>
      </c>
      <c r="Q14" s="212">
        <f>$O14*E$60</f>
        <v>14.343687482257865</v>
      </c>
      <c r="R14" s="144">
        <f>Q14*K14</f>
        <v>6.3255661796757181</v>
      </c>
      <c r="S14" s="143" t="s">
        <v>23</v>
      </c>
    </row>
    <row r="15" spans="1:19" x14ac:dyDescent="0.35">
      <c r="A15" s="97">
        <v>0.03</v>
      </c>
      <c r="B15" s="103" t="s">
        <v>778</v>
      </c>
      <c r="C15" s="103"/>
      <c r="D15" s="103" t="s">
        <v>17</v>
      </c>
      <c r="E15" s="103" t="s">
        <v>18</v>
      </c>
      <c r="F15" s="98" t="s">
        <v>285</v>
      </c>
      <c r="H15" s="118" t="s">
        <v>274</v>
      </c>
      <c r="I15" s="121">
        <f>'Energy consumption machinery'!B17</f>
        <v>1.014</v>
      </c>
      <c r="J15" s="121">
        <f>'Energy consumption machinery'!C17</f>
        <v>2.52</v>
      </c>
      <c r="K15" s="144">
        <f>'Energy consumption machinery'!D17</f>
        <v>1.5925000000000002</v>
      </c>
      <c r="L15" s="152" t="s">
        <v>43</v>
      </c>
      <c r="M15" s="121">
        <f>M14-E69*0.9/3/E60/0.3</f>
        <v>2.104517133956386</v>
      </c>
      <c r="N15" s="123">
        <f>(E67*D33-C21*0.05*E60)/(M15*E60)*M35+1-(E67*D33-C21*0.05*E60)/(M15*E60)</f>
        <v>1.0793828177040929</v>
      </c>
      <c r="O15" s="121">
        <f>M15/N15</f>
        <v>1.9497411849049169</v>
      </c>
      <c r="P15" s="123">
        <f t="shared" si="3"/>
        <v>17.519440766589014</v>
      </c>
      <c r="Q15" s="212">
        <f>$O15*E$60</f>
        <v>16.230979851850741</v>
      </c>
      <c r="R15" s="144">
        <f>Q15*K15</f>
        <v>25.847835414072307</v>
      </c>
      <c r="S15" s="143" t="s">
        <v>23</v>
      </c>
    </row>
    <row r="16" spans="1:19" x14ac:dyDescent="0.35">
      <c r="A16" s="97" t="s">
        <v>965</v>
      </c>
      <c r="B16" s="103"/>
      <c r="C16" s="103"/>
      <c r="D16" s="103">
        <v>0.11600000000000001</v>
      </c>
      <c r="E16" s="103">
        <v>0.14499999999999999</v>
      </c>
      <c r="F16" s="98">
        <v>0.128</v>
      </c>
      <c r="H16" s="118" t="s">
        <v>275</v>
      </c>
      <c r="I16" s="121">
        <f>'Energy consumption machinery'!B10</f>
        <v>1.4</v>
      </c>
      <c r="J16" s="121">
        <f>'Energy consumption machinery'!C10</f>
        <v>2.2000000000000002</v>
      </c>
      <c r="K16" s="213">
        <f>(I16+J16)/2</f>
        <v>1.8</v>
      </c>
      <c r="L16" s="121" t="s">
        <v>21</v>
      </c>
      <c r="M16" s="121">
        <f>((E67*D33-C21*(B39+C39)/2*E60)/0.3+C21*(B39+C39)/2*E60/0.1)/E60+15/E60+2.19/E60</f>
        <v>3.6399431688311688</v>
      </c>
      <c r="N16" s="121" t="s">
        <v>352</v>
      </c>
      <c r="O16" s="121" t="s">
        <v>352</v>
      </c>
      <c r="P16" s="123">
        <f t="shared" si="3"/>
        <v>30.301377789309811</v>
      </c>
      <c r="Q16" s="212">
        <f>$M16*E$60</f>
        <v>30.301377789309811</v>
      </c>
      <c r="R16" s="144">
        <f>Q16*K16*D53</f>
        <v>599.96728022833429</v>
      </c>
      <c r="S16" s="143" t="s">
        <v>23</v>
      </c>
    </row>
    <row r="17" spans="1:19" x14ac:dyDescent="0.35">
      <c r="A17" s="208">
        <f>1-C21*(D12+E12)-F18*B12/C12-A15-(1-F21)</f>
        <v>0.1781253246753246</v>
      </c>
      <c r="B17" s="103" t="s">
        <v>966</v>
      </c>
      <c r="C17" s="103"/>
      <c r="D17" s="113" t="s">
        <v>950</v>
      </c>
      <c r="E17" s="103" t="s">
        <v>951</v>
      </c>
      <c r="F17" s="98"/>
      <c r="H17" s="118" t="s">
        <v>985</v>
      </c>
      <c r="I17" s="121">
        <f>'Energy consumption machinery'!B17</f>
        <v>1.014</v>
      </c>
      <c r="J17" s="121">
        <f>'Energy consumption machinery'!C17</f>
        <v>2.52</v>
      </c>
      <c r="K17" s="144">
        <f>'Energy consumption machinery'!D17</f>
        <v>1.5925000000000002</v>
      </c>
      <c r="L17" s="152" t="s">
        <v>43</v>
      </c>
      <c r="M17" s="121">
        <f>M16-E67*D33/0.4/E60</f>
        <v>2.627443168831169</v>
      </c>
      <c r="N17" s="121">
        <f>0.01*M35+0.99</f>
        <v>1.0044999999999999</v>
      </c>
      <c r="O17" s="121">
        <f>M17/N17</f>
        <v>2.6156726419424281</v>
      </c>
      <c r="P17" s="123">
        <f t="shared" si="3"/>
        <v>21.872634924753505</v>
      </c>
      <c r="Q17" s="212">
        <f>$O17*E$60</f>
        <v>21.774649004234451</v>
      </c>
      <c r="R17" s="144">
        <f>Q17*K17</f>
        <v>34.676128539243372</v>
      </c>
      <c r="S17" s="143" t="s">
        <v>23</v>
      </c>
    </row>
    <row r="18" spans="1:19" x14ac:dyDescent="0.35">
      <c r="A18" s="97"/>
      <c r="B18" s="103"/>
      <c r="C18" s="103"/>
      <c r="D18" s="103">
        <v>8.9300000000000004E-2</v>
      </c>
      <c r="E18" s="103">
        <v>0.13439999999999999</v>
      </c>
      <c r="F18" s="98">
        <v>0.1128</v>
      </c>
      <c r="H18" s="118" t="s">
        <v>87</v>
      </c>
      <c r="I18" s="121">
        <f>'Energy consumption machinery'!B18</f>
        <v>0.39</v>
      </c>
      <c r="J18" s="121">
        <f>'Energy consumption machinery'!C18</f>
        <v>1.89</v>
      </c>
      <c r="K18" s="213">
        <f>(I18+J18)/2</f>
        <v>1.1399999999999999</v>
      </c>
      <c r="L18" s="141" t="s">
        <v>21</v>
      </c>
      <c r="M18" s="121">
        <f>E67*D33/0.4/E60</f>
        <v>1.0125</v>
      </c>
      <c r="N18" s="121" t="s">
        <v>352</v>
      </c>
      <c r="O18" s="121" t="s">
        <v>352</v>
      </c>
      <c r="P18" s="123">
        <f>M18*E60</f>
        <v>8.4287428645563054</v>
      </c>
      <c r="Q18" s="212">
        <f>M18*E60</f>
        <v>8.4287428645563054</v>
      </c>
      <c r="R18" s="144">
        <f>Q18*K18</f>
        <v>9.6087668655941876</v>
      </c>
      <c r="S18" s="143" t="s">
        <v>23</v>
      </c>
    </row>
    <row r="19" spans="1:19" x14ac:dyDescent="0.35">
      <c r="A19" s="97" t="s">
        <v>955</v>
      </c>
      <c r="B19" s="103" t="s">
        <v>956</v>
      </c>
      <c r="C19" s="103"/>
      <c r="D19" s="103"/>
      <c r="E19" s="103"/>
      <c r="F19" s="98"/>
      <c r="H19" s="118" t="s">
        <v>278</v>
      </c>
      <c r="I19" s="121">
        <f>'Energy consumption machinery'!B17</f>
        <v>1.014</v>
      </c>
      <c r="J19" s="121">
        <f>'Energy consumption machinery'!C17</f>
        <v>2.52</v>
      </c>
      <c r="K19" s="144">
        <f>'Energy consumption machinery'!D17</f>
        <v>1.5925000000000002</v>
      </c>
      <c r="L19" s="152" t="s">
        <v>43</v>
      </c>
      <c r="M19" s="121">
        <f>M9-E69*0.9*2/3/0.3/E60</f>
        <v>1.4035971861471863</v>
      </c>
      <c r="N19" s="123">
        <f>(E68*D33+C21*((B39+C39)/2))/(M19*E60)*M35+1-(E68*D33+C21*((B39+C39)/2))/(M19*E60)</f>
        <v>1.0467455293826824</v>
      </c>
      <c r="O19" s="121">
        <f>M19/N19</f>
        <v>1.3409153865457224</v>
      </c>
      <c r="P19" s="123">
        <f t="shared" si="3"/>
        <v>11.684503474024105</v>
      </c>
      <c r="Q19" s="212">
        <f>$O19*E$60</f>
        <v>11.162697280317056</v>
      </c>
      <c r="R19" s="144">
        <f>Q19*K19</f>
        <v>17.776595418904915</v>
      </c>
      <c r="S19" s="143" t="s">
        <v>23</v>
      </c>
    </row>
    <row r="20" spans="1:19" x14ac:dyDescent="0.35">
      <c r="A20" s="103" t="s">
        <v>17</v>
      </c>
      <c r="B20" s="103" t="s">
        <v>18</v>
      </c>
      <c r="C20" s="103" t="s">
        <v>285</v>
      </c>
      <c r="D20" s="113" t="s">
        <v>689</v>
      </c>
      <c r="E20" s="103" t="s">
        <v>949</v>
      </c>
      <c r="F20" s="98" t="s">
        <v>926</v>
      </c>
      <c r="H20" s="118" t="s">
        <v>982</v>
      </c>
      <c r="I20" s="121" t="str">
        <f>'Energy consumption machinery'!B28</f>
        <v>NA</v>
      </c>
      <c r="J20" s="121" t="str">
        <f>'Energy consumption machinery'!C28</f>
        <v>NA</v>
      </c>
      <c r="K20" s="144">
        <f>'Energy consumption machinery'!D28</f>
        <v>2.1148731276885777</v>
      </c>
      <c r="L20" s="141" t="s">
        <v>21</v>
      </c>
      <c r="M20" s="121">
        <f>E70*0.9/E60/0.35-E70*0.9/E60/0.5</f>
        <v>0.15267884972170687</v>
      </c>
      <c r="N20" s="123" t="s">
        <v>352</v>
      </c>
      <c r="O20" s="121" t="s">
        <v>352</v>
      </c>
      <c r="P20" s="123">
        <f>M20*E60</f>
        <v>1.2710032248498779</v>
      </c>
      <c r="Q20" s="212">
        <f>M20*E60</f>
        <v>1.2710032248498779</v>
      </c>
      <c r="R20" s="144">
        <f>Q20*K20</f>
        <v>2.6880105654405297</v>
      </c>
      <c r="S20" s="143" t="s">
        <v>23</v>
      </c>
    </row>
    <row r="21" spans="1:19" ht="15" thickBot="1" x14ac:dyDescent="0.4">
      <c r="A21" s="99">
        <v>0.63</v>
      </c>
      <c r="B21" s="100">
        <v>0.72</v>
      </c>
      <c r="C21" s="207">
        <f>(A21+B21)/2</f>
        <v>0.67500000000000004</v>
      </c>
      <c r="D21" s="100">
        <v>0.85499999999999998</v>
      </c>
      <c r="E21" s="100">
        <v>0.89500000000000002</v>
      </c>
      <c r="F21" s="184">
        <f>(D21+E21)/2</f>
        <v>0.875</v>
      </c>
      <c r="H21" s="118" t="s">
        <v>193</v>
      </c>
      <c r="I21" s="119">
        <f>'Energy consumption machinery'!B21</f>
        <v>0.3</v>
      </c>
      <c r="J21" s="119">
        <f>'Energy consumption machinery'!C21</f>
        <v>0.35</v>
      </c>
      <c r="K21" s="214">
        <f>(I21+J21)/2</f>
        <v>0.32499999999999996</v>
      </c>
      <c r="L21" s="121" t="s">
        <v>194</v>
      </c>
      <c r="M21" s="121" t="s">
        <v>3</v>
      </c>
      <c r="N21" s="121" t="s">
        <v>352</v>
      </c>
      <c r="O21" s="121" t="s">
        <v>352</v>
      </c>
      <c r="P21" s="121"/>
      <c r="Q21" s="144" t="s">
        <v>352</v>
      </c>
      <c r="R21" s="144">
        <f>SUM(R3:R20)*K21</f>
        <v>567.48087143345231</v>
      </c>
      <c r="S21" s="143" t="s">
        <v>23</v>
      </c>
    </row>
    <row r="22" spans="1:19" ht="15" thickBot="1" x14ac:dyDescent="0.4">
      <c r="C22" s="5"/>
      <c r="H22" s="118"/>
      <c r="I22" s="121"/>
      <c r="J22" s="121"/>
      <c r="K22" s="121"/>
      <c r="L22" s="121"/>
      <c r="M22" s="121"/>
      <c r="N22" s="121"/>
      <c r="O22" s="121"/>
      <c r="P22" s="121"/>
      <c r="Q22" s="121"/>
      <c r="R22" s="144"/>
      <c r="S22" s="143"/>
    </row>
    <row r="23" spans="1:19" ht="18.5" x14ac:dyDescent="0.45">
      <c r="A23" s="70" t="s">
        <v>681</v>
      </c>
      <c r="B23" s="71"/>
      <c r="C23" s="71"/>
      <c r="D23" s="71"/>
      <c r="E23" s="71"/>
      <c r="F23" s="72"/>
      <c r="H23" s="118"/>
      <c r="I23" s="119"/>
      <c r="J23" s="119"/>
      <c r="K23" s="119"/>
      <c r="L23" s="121"/>
      <c r="M23" s="121"/>
      <c r="N23" s="121"/>
      <c r="O23" s="121"/>
      <c r="P23" s="121"/>
      <c r="Q23" s="121"/>
      <c r="R23" s="144"/>
      <c r="S23" s="143"/>
    </row>
    <row r="24" spans="1:19" x14ac:dyDescent="0.35">
      <c r="A24" s="73"/>
      <c r="B24" s="12" t="s">
        <v>17</v>
      </c>
      <c r="C24" s="12" t="s">
        <v>18</v>
      </c>
      <c r="D24" s="12" t="s">
        <v>285</v>
      </c>
      <c r="E24" s="12" t="s">
        <v>683</v>
      </c>
      <c r="F24" s="74" t="s">
        <v>684</v>
      </c>
      <c r="H24" s="118"/>
      <c r="I24" s="125" t="s">
        <v>135</v>
      </c>
      <c r="J24" s="119"/>
      <c r="K24" s="119"/>
      <c r="L24" s="121"/>
      <c r="M24" s="121"/>
      <c r="N24" s="121"/>
      <c r="O24" s="121"/>
      <c r="P24" s="121"/>
      <c r="Q24" s="121"/>
      <c r="R24" s="144"/>
      <c r="S24" s="143"/>
    </row>
    <row r="25" spans="1:19" x14ac:dyDescent="0.35">
      <c r="A25" s="73" t="s">
        <v>291</v>
      </c>
      <c r="B25" s="12">
        <f>C10</f>
        <v>0.76</v>
      </c>
      <c r="C25" s="12">
        <f>C11</f>
        <v>0.78</v>
      </c>
      <c r="D25" s="12" t="s">
        <v>352</v>
      </c>
      <c r="E25" s="81" t="s">
        <v>927</v>
      </c>
      <c r="F25" s="74"/>
      <c r="H25" s="118"/>
      <c r="I25" s="119" t="s">
        <v>17</v>
      </c>
      <c r="J25" s="119" t="s">
        <v>18</v>
      </c>
      <c r="K25" s="119" t="s">
        <v>285</v>
      </c>
      <c r="L25" s="121" t="s">
        <v>19</v>
      </c>
      <c r="M25" s="121" t="s">
        <v>277</v>
      </c>
      <c r="N25" s="119" t="s">
        <v>547</v>
      </c>
      <c r="O25" s="119" t="s">
        <v>548</v>
      </c>
      <c r="P25" s="119" t="s">
        <v>680</v>
      </c>
      <c r="Q25" s="121" t="s">
        <v>680</v>
      </c>
      <c r="R25" s="144" t="s">
        <v>285</v>
      </c>
      <c r="S25" s="143" t="s">
        <v>19</v>
      </c>
    </row>
    <row r="26" spans="1:19" x14ac:dyDescent="0.35">
      <c r="A26" s="73" t="s">
        <v>959</v>
      </c>
      <c r="B26" s="12">
        <f>D18</f>
        <v>8.9300000000000004E-2</v>
      </c>
      <c r="C26" s="12">
        <f t="shared" ref="C26:D26" si="4">E18</f>
        <v>0.13439999999999999</v>
      </c>
      <c r="D26" s="12">
        <f t="shared" si="4"/>
        <v>0.1128</v>
      </c>
      <c r="E26" s="12" t="s">
        <v>951</v>
      </c>
      <c r="F26" s="74"/>
      <c r="H26" s="118" t="s">
        <v>697</v>
      </c>
      <c r="I26" s="121">
        <f>4.2*B50</f>
        <v>21</v>
      </c>
      <c r="J26" s="121">
        <f>4.2*C50</f>
        <v>84</v>
      </c>
      <c r="K26" s="145">
        <f>D50*4.2</f>
        <v>50.400000000000006</v>
      </c>
      <c r="L26" s="121" t="s">
        <v>21</v>
      </c>
      <c r="M26" s="121">
        <f>M5-1</f>
        <v>3.0982857172605653</v>
      </c>
      <c r="N26" s="121" t="s">
        <v>352</v>
      </c>
      <c r="O26" s="121" t="s">
        <v>352</v>
      </c>
      <c r="P26" s="121" t="s">
        <v>352</v>
      </c>
      <c r="Q26" s="212">
        <f>$M26*E$60</f>
        <v>25.792250500460945</v>
      </c>
      <c r="R26" s="144">
        <f>Q26*K26</f>
        <v>1299.9294252232319</v>
      </c>
      <c r="S26" s="143" t="s">
        <v>23</v>
      </c>
    </row>
    <row r="27" spans="1:19" x14ac:dyDescent="0.35">
      <c r="A27" s="73" t="s">
        <v>961</v>
      </c>
      <c r="B27" s="12">
        <f>A21</f>
        <v>0.63</v>
      </c>
      <c r="C27" s="12">
        <f t="shared" ref="C27" si="5">B21</f>
        <v>0.72</v>
      </c>
      <c r="D27" s="12" t="s">
        <v>352</v>
      </c>
      <c r="E27" s="12"/>
      <c r="F27" s="74"/>
      <c r="H27" s="118" t="s">
        <v>276</v>
      </c>
      <c r="I27" s="121">
        <f>'Energy consumption machinery'!B22</f>
        <v>3600</v>
      </c>
      <c r="J27" s="121">
        <f>'Energy consumption machinery'!C22</f>
        <v>5040</v>
      </c>
      <c r="K27" s="144">
        <f>'Energy consumption machinery'!D22</f>
        <v>3600</v>
      </c>
      <c r="L27" s="121" t="s">
        <v>21</v>
      </c>
      <c r="M27" s="121">
        <f>(E69*0.9/0.3-E69)/E60</f>
        <v>6.666666666666668E-2</v>
      </c>
      <c r="N27" s="121" t="s">
        <v>352</v>
      </c>
      <c r="O27" s="121" t="s">
        <v>352</v>
      </c>
      <c r="P27" s="121" t="s">
        <v>352</v>
      </c>
      <c r="Q27" s="212">
        <f>$M27*E$60</f>
        <v>0.55497895404485975</v>
      </c>
      <c r="R27" s="144">
        <f>Q27*K27</f>
        <v>1997.924234561495</v>
      </c>
      <c r="S27" s="143" t="s">
        <v>23</v>
      </c>
    </row>
    <row r="28" spans="1:19" x14ac:dyDescent="0.35">
      <c r="A28" s="73" t="s">
        <v>960</v>
      </c>
      <c r="B28" s="12">
        <f>B10</f>
        <v>0.8</v>
      </c>
      <c r="C28" s="12">
        <f>B11</f>
        <v>0.85</v>
      </c>
      <c r="D28" s="12" t="s">
        <v>352</v>
      </c>
      <c r="E28" s="81" t="s">
        <v>928</v>
      </c>
      <c r="F28" s="74"/>
      <c r="H28" s="118" t="s">
        <v>979</v>
      </c>
      <c r="I28" s="121">
        <f>'Energy consumption machinery'!B24</f>
        <v>3200</v>
      </c>
      <c r="J28" s="121">
        <f>'Energy consumption machinery'!C24</f>
        <v>5400</v>
      </c>
      <c r="K28" s="121">
        <f>'Energy consumption machinery'!D24</f>
        <v>3850</v>
      </c>
      <c r="L28" s="121" t="s">
        <v>21</v>
      </c>
      <c r="M28" s="121">
        <f>(E67*D33/0.65-E67)/E60</f>
        <v>0.15214669051878354</v>
      </c>
      <c r="N28" s="121" t="s">
        <v>352</v>
      </c>
      <c r="O28" s="121" t="s">
        <v>352</v>
      </c>
      <c r="P28" s="121" t="s">
        <v>352</v>
      </c>
      <c r="Q28" s="212">
        <f>$M28*E$60</f>
        <v>1.2665731674825218</v>
      </c>
      <c r="R28" s="144">
        <f>Q28*K28</f>
        <v>4876.3066948077085</v>
      </c>
      <c r="S28" s="143" t="s">
        <v>23</v>
      </c>
    </row>
    <row r="29" spans="1:19" x14ac:dyDescent="0.35">
      <c r="A29" s="73" t="s">
        <v>962</v>
      </c>
      <c r="B29" s="12">
        <f>D10</f>
        <v>0.57999999999999996</v>
      </c>
      <c r="C29" s="12">
        <f>D11</f>
        <v>0.62</v>
      </c>
      <c r="D29" s="12" t="s">
        <v>352</v>
      </c>
      <c r="E29" s="81" t="s">
        <v>952</v>
      </c>
      <c r="F29" s="74"/>
      <c r="H29" s="118" t="s">
        <v>980</v>
      </c>
      <c r="I29" s="121">
        <f>'Energy consumption machinery'!B24</f>
        <v>3200</v>
      </c>
      <c r="J29" s="121">
        <f>'Energy consumption machinery'!C24</f>
        <v>5400</v>
      </c>
      <c r="K29" s="121">
        <f>'Energy consumption machinery'!D24</f>
        <v>3850</v>
      </c>
      <c r="L29" s="121" t="s">
        <v>21</v>
      </c>
      <c r="M29" s="121">
        <f>(E68*D33/0.4-E68)/E60</f>
        <v>0.18954941860465119</v>
      </c>
      <c r="N29" s="121" t="s">
        <v>352</v>
      </c>
      <c r="O29" s="121" t="s">
        <v>352</v>
      </c>
      <c r="P29" s="121" t="s">
        <v>352</v>
      </c>
      <c r="Q29" s="212">
        <f>$M29*E$60</f>
        <v>1.5779390711553087</v>
      </c>
      <c r="R29" s="144">
        <f>Q29*K29</f>
        <v>6075.0654239479391</v>
      </c>
      <c r="S29" s="143" t="s">
        <v>23</v>
      </c>
    </row>
    <row r="30" spans="1:19" x14ac:dyDescent="0.35">
      <c r="A30" s="73" t="s">
        <v>963</v>
      </c>
      <c r="B30" s="12">
        <f>E10</f>
        <v>0.2</v>
      </c>
      <c r="C30" s="12">
        <f>E11</f>
        <v>0.22</v>
      </c>
      <c r="D30" s="12" t="s">
        <v>352</v>
      </c>
      <c r="E30" s="81" t="s">
        <v>952</v>
      </c>
      <c r="F30" s="74"/>
      <c r="H30" s="118" t="s">
        <v>978</v>
      </c>
      <c r="I30" s="119">
        <f>'Energy consumption machinery'!B24</f>
        <v>3200</v>
      </c>
      <c r="J30" s="119">
        <f>'Energy consumption machinery'!C24</f>
        <v>5400</v>
      </c>
      <c r="K30" s="119">
        <f>'Energy consumption machinery'!D24</f>
        <v>3850</v>
      </c>
      <c r="L30" s="121" t="s">
        <v>21</v>
      </c>
      <c r="M30" s="121">
        <f>(E66*D32/0.3-E66)/E60</f>
        <v>0.26027012987012982</v>
      </c>
      <c r="N30" s="121" t="s">
        <v>352</v>
      </c>
      <c r="O30" s="121" t="s">
        <v>352</v>
      </c>
      <c r="P30" s="121" t="s">
        <v>352</v>
      </c>
      <c r="Q30" s="212">
        <f>$M30*E$60</f>
        <v>2.1666666666666665</v>
      </c>
      <c r="R30" s="144">
        <f>Q30*K30</f>
        <v>8341.6666666666661</v>
      </c>
      <c r="S30" s="143" t="s">
        <v>23</v>
      </c>
    </row>
    <row r="31" spans="1:19" x14ac:dyDescent="0.35">
      <c r="A31" s="73" t="s">
        <v>690</v>
      </c>
      <c r="B31" s="12">
        <f>D21</f>
        <v>0.85499999999999998</v>
      </c>
      <c r="C31" s="12">
        <f>E21</f>
        <v>0.89500000000000002</v>
      </c>
      <c r="D31" s="12" t="s">
        <v>352</v>
      </c>
      <c r="E31" s="81" t="s">
        <v>929</v>
      </c>
      <c r="F31" s="74"/>
      <c r="H31" s="118" t="s">
        <v>982</v>
      </c>
      <c r="I31" s="217">
        <f>'Energy consumption machinery'!B32</f>
        <v>908.21616173155235</v>
      </c>
      <c r="J31" s="217">
        <f>'Energy consumption machinery'!C32</f>
        <v>1318.3425</v>
      </c>
      <c r="K31" s="220">
        <f>(I31+J31)/2</f>
        <v>1113.279330865776</v>
      </c>
      <c r="L31" s="121" t="s">
        <v>21</v>
      </c>
      <c r="M31" s="121">
        <f>E70*0.9/E60/0.35-E70*0.9/E60/0.5</f>
        <v>0.15267884972170687</v>
      </c>
      <c r="N31" s="121" t="s">
        <v>352</v>
      </c>
      <c r="O31" s="121" t="s">
        <v>352</v>
      </c>
      <c r="P31" s="121" t="s">
        <v>352</v>
      </c>
      <c r="Q31" s="212">
        <f>M31*E60</f>
        <v>1.2710032248498779</v>
      </c>
      <c r="R31" s="144">
        <f>K31*Q31</f>
        <v>1414.9816196891156</v>
      </c>
      <c r="S31" s="143" t="s">
        <v>23</v>
      </c>
    </row>
    <row r="32" spans="1:19" x14ac:dyDescent="0.35">
      <c r="A32" s="73" t="s">
        <v>957</v>
      </c>
      <c r="B32" s="12" t="s">
        <v>352</v>
      </c>
      <c r="C32" s="12" t="s">
        <v>352</v>
      </c>
      <c r="D32" s="12">
        <v>0.95</v>
      </c>
      <c r="E32" s="81" t="s">
        <v>971</v>
      </c>
      <c r="F32" s="74"/>
      <c r="H32" s="118" t="s">
        <v>983</v>
      </c>
      <c r="I32" s="119">
        <f>'Energy consumption machinery'!B24</f>
        <v>3200</v>
      </c>
      <c r="J32" s="119">
        <f>'Energy consumption machinery'!C24</f>
        <v>5400</v>
      </c>
      <c r="K32" s="119">
        <f>'Energy consumption machinery'!D24</f>
        <v>3850</v>
      </c>
      <c r="L32" s="121" t="s">
        <v>21</v>
      </c>
      <c r="M32" s="121">
        <f>(E70*0.9/0.5-E70)/E60</f>
        <v>0.15833362193362188</v>
      </c>
      <c r="N32" s="121" t="s">
        <v>352</v>
      </c>
      <c r="O32" s="121" t="s">
        <v>352</v>
      </c>
      <c r="P32" s="121" t="s">
        <v>352</v>
      </c>
      <c r="Q32" s="144">
        <f>M32*E60</f>
        <v>1.3180774183628359</v>
      </c>
      <c r="R32" s="125">
        <f>K32*Q32</f>
        <v>5074.5980606969179</v>
      </c>
      <c r="S32" s="143" t="s">
        <v>23</v>
      </c>
    </row>
    <row r="33" spans="1:19" x14ac:dyDescent="0.35">
      <c r="A33" s="73" t="s">
        <v>958</v>
      </c>
      <c r="B33" s="12" t="s">
        <v>352</v>
      </c>
      <c r="C33" s="12" t="s">
        <v>352</v>
      </c>
      <c r="D33" s="12">
        <v>0.86</v>
      </c>
      <c r="E33" s="81" t="s">
        <v>971</v>
      </c>
      <c r="F33" s="74"/>
      <c r="H33" s="132"/>
      <c r="I33" s="119"/>
      <c r="J33" s="119"/>
      <c r="K33" s="119"/>
      <c r="L33" s="119"/>
      <c r="M33" s="119"/>
      <c r="N33" s="119"/>
      <c r="O33" s="125"/>
      <c r="P33" s="125"/>
      <c r="Q33" s="119"/>
      <c r="R33" s="119"/>
      <c r="S33" s="120"/>
    </row>
    <row r="34" spans="1:19" x14ac:dyDescent="0.35">
      <c r="A34" s="73"/>
      <c r="B34" s="12"/>
      <c r="C34" s="12"/>
      <c r="D34" s="12"/>
      <c r="E34" s="12"/>
      <c r="F34" s="74"/>
      <c r="H34" s="118"/>
      <c r="I34" s="119"/>
      <c r="J34" s="119"/>
      <c r="K34" s="119"/>
      <c r="L34" s="119"/>
      <c r="M34" s="125" t="s">
        <v>550</v>
      </c>
      <c r="N34" s="125"/>
      <c r="O34" s="119"/>
      <c r="P34" s="119"/>
      <c r="Q34" s="119"/>
      <c r="R34" s="119"/>
      <c r="S34" s="120"/>
    </row>
    <row r="35" spans="1:19" ht="15" thickBot="1" x14ac:dyDescent="0.4">
      <c r="A35" s="73" t="s">
        <v>972</v>
      </c>
      <c r="B35" s="12" t="s">
        <v>352</v>
      </c>
      <c r="C35" s="12" t="s">
        <v>352</v>
      </c>
      <c r="D35" s="12">
        <v>0.55000000000000004</v>
      </c>
      <c r="E35" s="81" t="s">
        <v>952</v>
      </c>
      <c r="F35" s="74"/>
      <c r="H35" s="126"/>
      <c r="I35" s="130"/>
      <c r="J35" s="130"/>
      <c r="K35" s="130"/>
      <c r="L35" s="130"/>
      <c r="M35" s="130">
        <v>1.45</v>
      </c>
      <c r="N35" s="130" t="s">
        <v>549</v>
      </c>
      <c r="O35" s="130"/>
      <c r="P35" s="130"/>
      <c r="Q35" s="130"/>
      <c r="R35" s="130"/>
      <c r="S35" s="128"/>
    </row>
    <row r="36" spans="1:19" x14ac:dyDescent="0.35">
      <c r="A36" s="73" t="s">
        <v>973</v>
      </c>
      <c r="B36" s="12">
        <v>0.52</v>
      </c>
      <c r="C36" s="12">
        <v>0.55000000000000004</v>
      </c>
      <c r="D36" s="12" t="s">
        <v>352</v>
      </c>
      <c r="E36" s="81" t="s">
        <v>952</v>
      </c>
      <c r="F36" s="74"/>
    </row>
    <row r="37" spans="1:19" x14ac:dyDescent="0.35">
      <c r="A37" s="73" t="s">
        <v>974</v>
      </c>
      <c r="B37" s="12">
        <v>0.2</v>
      </c>
      <c r="C37" s="12">
        <v>0.28000000000000003</v>
      </c>
      <c r="D37" s="12" t="s">
        <v>352</v>
      </c>
      <c r="E37" s="81" t="s">
        <v>952</v>
      </c>
      <c r="F37" s="74"/>
      <c r="Q37" s="3"/>
      <c r="R37" s="3"/>
    </row>
    <row r="38" spans="1:19" x14ac:dyDescent="0.35">
      <c r="A38" s="73" t="s">
        <v>975</v>
      </c>
      <c r="B38" s="12">
        <v>7.0000000000000007E-2</v>
      </c>
      <c r="C38" s="12">
        <v>0.1</v>
      </c>
      <c r="D38" s="12" t="s">
        <v>352</v>
      </c>
      <c r="E38" s="81" t="s">
        <v>952</v>
      </c>
      <c r="F38" s="74"/>
    </row>
    <row r="39" spans="1:19" x14ac:dyDescent="0.35">
      <c r="A39" s="73" t="s">
        <v>977</v>
      </c>
      <c r="B39" s="12">
        <v>0.03</v>
      </c>
      <c r="C39" s="12">
        <v>7.0000000000000007E-2</v>
      </c>
      <c r="D39" s="12" t="s">
        <v>352</v>
      </c>
      <c r="E39" s="81" t="s">
        <v>952</v>
      </c>
      <c r="F39" s="74"/>
      <c r="Q39" s="11" t="s">
        <v>137</v>
      </c>
      <c r="R39" s="12"/>
    </row>
    <row r="40" spans="1:19" x14ac:dyDescent="0.35">
      <c r="A40" s="73"/>
      <c r="B40" s="12"/>
      <c r="C40" s="12"/>
      <c r="D40" s="12"/>
      <c r="E40" s="12"/>
      <c r="F40" s="74"/>
      <c r="Q40" s="12" t="s">
        <v>279</v>
      </c>
      <c r="R40" s="12"/>
    </row>
    <row r="41" spans="1:19" x14ac:dyDescent="0.35">
      <c r="A41" s="73" t="s">
        <v>286</v>
      </c>
      <c r="B41" s="12">
        <f>'Energy consumption machinery'!B8</f>
        <v>6.48</v>
      </c>
      <c r="C41" s="12">
        <f>'Energy consumption machinery'!C8</f>
        <v>18.62</v>
      </c>
      <c r="D41" s="12" t="str">
        <f>'Energy consumption machinery'!D8</f>
        <v>NA</v>
      </c>
      <c r="E41" s="12" t="s">
        <v>675</v>
      </c>
      <c r="F41" s="74" t="s">
        <v>674</v>
      </c>
      <c r="Q41" s="12" t="s">
        <v>280</v>
      </c>
      <c r="R41" s="12"/>
    </row>
    <row r="42" spans="1:19" x14ac:dyDescent="0.35">
      <c r="A42" s="73" t="s">
        <v>694</v>
      </c>
      <c r="B42" s="12">
        <f>'Energy consumption machinery'!B15</f>
        <v>7.1999999999999993</v>
      </c>
      <c r="C42" s="12">
        <f>'Energy consumption machinery'!C15</f>
        <v>18.899999999999999</v>
      </c>
      <c r="D42" s="12" t="str">
        <f>'Energy consumption machinery'!D15</f>
        <v>NA</v>
      </c>
      <c r="E42" s="12" t="s">
        <v>675</v>
      </c>
      <c r="F42" s="74" t="s">
        <v>674</v>
      </c>
      <c r="Q42" s="12" t="s">
        <v>281</v>
      </c>
      <c r="R42" s="12"/>
    </row>
    <row r="43" spans="1:19" x14ac:dyDescent="0.35">
      <c r="A43" s="73" t="s">
        <v>693</v>
      </c>
      <c r="B43" s="12">
        <f>'Energy consumption machinery'!B14</f>
        <v>1.08</v>
      </c>
      <c r="C43" s="12">
        <f>'Energy consumption machinery'!C14</f>
        <v>3.7439999999999998</v>
      </c>
      <c r="D43" s="12">
        <f>'Energy consumption machinery'!D14</f>
        <v>3.42</v>
      </c>
      <c r="E43" s="12" t="s">
        <v>675</v>
      </c>
      <c r="F43" s="74" t="s">
        <v>674</v>
      </c>
      <c r="Q43" s="12" t="s">
        <v>282</v>
      </c>
      <c r="R43" s="12"/>
    </row>
    <row r="44" spans="1:19" x14ac:dyDescent="0.35">
      <c r="A44" s="73" t="s">
        <v>692</v>
      </c>
      <c r="B44" s="80">
        <f>'Energy consumption machinery'!B16</f>
        <v>0.27</v>
      </c>
      <c r="C44" s="80">
        <f>'Energy consumption machinery'!C16</f>
        <v>0.61199999999999999</v>
      </c>
      <c r="D44" s="80" t="str">
        <f>'Energy consumption machinery'!D16</f>
        <v>NA</v>
      </c>
      <c r="E44" s="12" t="s">
        <v>675</v>
      </c>
      <c r="F44" s="74" t="s">
        <v>674</v>
      </c>
      <c r="Q44" s="12" t="s">
        <v>283</v>
      </c>
      <c r="R44" s="12"/>
    </row>
    <row r="45" spans="1:19" x14ac:dyDescent="0.35">
      <c r="A45" s="73" t="s">
        <v>695</v>
      </c>
      <c r="B45" s="80">
        <f>'Energy consumption machinery'!B17</f>
        <v>1.014</v>
      </c>
      <c r="C45" s="80">
        <f>'Energy consumption machinery'!C17</f>
        <v>2.52</v>
      </c>
      <c r="D45" s="80">
        <f>'Energy consumption machinery'!D17</f>
        <v>1.5925000000000002</v>
      </c>
      <c r="E45" s="12" t="s">
        <v>675</v>
      </c>
      <c r="F45" s="74" t="s">
        <v>674</v>
      </c>
      <c r="Q45" s="12" t="s">
        <v>284</v>
      </c>
      <c r="R45" s="12"/>
    </row>
    <row r="46" spans="1:19" x14ac:dyDescent="0.35">
      <c r="A46" s="73" t="s">
        <v>287</v>
      </c>
      <c r="B46" s="80">
        <f>'Energy consumption machinery'!B10</f>
        <v>1.4</v>
      </c>
      <c r="C46" s="80">
        <f>'Energy consumption machinery'!C10</f>
        <v>2.2000000000000002</v>
      </c>
      <c r="D46" s="80" t="str">
        <f>'Energy consumption machinery'!D10</f>
        <v>NA</v>
      </c>
      <c r="E46" s="12" t="s">
        <v>675</v>
      </c>
      <c r="F46" s="74" t="s">
        <v>674</v>
      </c>
    </row>
    <row r="47" spans="1:19" x14ac:dyDescent="0.35">
      <c r="A47" s="73" t="s">
        <v>311</v>
      </c>
      <c r="B47" s="12">
        <f>'Energy consumption machinery'!B20</f>
        <v>0.09</v>
      </c>
      <c r="C47" s="12">
        <f>'Energy consumption machinery'!C20</f>
        <v>0.16400000000000001</v>
      </c>
      <c r="D47" s="12">
        <f>'Energy consumption machinery'!D20</f>
        <v>0.15</v>
      </c>
      <c r="E47" s="12" t="s">
        <v>675</v>
      </c>
      <c r="F47" s="74" t="s">
        <v>674</v>
      </c>
      <c r="Q47" s="11" t="s">
        <v>140</v>
      </c>
    </row>
    <row r="48" spans="1:19" x14ac:dyDescent="0.35">
      <c r="A48" s="73"/>
      <c r="B48" s="12"/>
      <c r="C48" s="12"/>
      <c r="D48" s="12"/>
      <c r="E48" s="12"/>
      <c r="F48" s="74"/>
      <c r="Q48" s="12" t="s">
        <v>133</v>
      </c>
    </row>
    <row r="49" spans="1:17" x14ac:dyDescent="0.35">
      <c r="A49" s="73" t="s">
        <v>312</v>
      </c>
      <c r="B49" s="12">
        <f>'Energy consumption machinery'!B22</f>
        <v>3600</v>
      </c>
      <c r="C49" s="12">
        <f>'Energy consumption machinery'!C22</f>
        <v>5040</v>
      </c>
      <c r="D49" s="12">
        <f>'Energy consumption machinery'!D22</f>
        <v>3600</v>
      </c>
      <c r="E49" s="12" t="s">
        <v>675</v>
      </c>
      <c r="F49" s="74" t="s">
        <v>674</v>
      </c>
      <c r="Q49" s="12" t="s">
        <v>141</v>
      </c>
    </row>
    <row r="50" spans="1:17" ht="43.5" x14ac:dyDescent="0.35">
      <c r="A50" s="179" t="s">
        <v>338</v>
      </c>
      <c r="B50" s="180">
        <v>5</v>
      </c>
      <c r="C50" s="180">
        <v>20</v>
      </c>
      <c r="D50" s="180">
        <v>12</v>
      </c>
      <c r="E50" s="211" t="s">
        <v>969</v>
      </c>
      <c r="F50" s="210" t="s">
        <v>970</v>
      </c>
    </row>
    <row r="51" spans="1:17" x14ac:dyDescent="0.35">
      <c r="A51" s="73" t="s">
        <v>288</v>
      </c>
      <c r="B51" s="82">
        <f>'Energy consumption machinery'!B24</f>
        <v>3200</v>
      </c>
      <c r="C51" s="82">
        <f>'Energy consumption machinery'!C24</f>
        <v>5400</v>
      </c>
      <c r="D51" s="82">
        <f>'Energy consumption machinery'!D24</f>
        <v>3850</v>
      </c>
      <c r="E51" s="12" t="s">
        <v>675</v>
      </c>
      <c r="F51" s="74" t="s">
        <v>674</v>
      </c>
    </row>
    <row r="52" spans="1:17" x14ac:dyDescent="0.35">
      <c r="A52" s="73"/>
      <c r="B52" s="12"/>
      <c r="C52" s="12"/>
      <c r="D52" s="12"/>
      <c r="E52" s="12"/>
      <c r="F52" s="74"/>
      <c r="Q52" s="5"/>
    </row>
    <row r="53" spans="1:17" x14ac:dyDescent="0.35">
      <c r="A53" s="73" t="s">
        <v>290</v>
      </c>
      <c r="B53" s="12">
        <v>10</v>
      </c>
      <c r="C53" s="12">
        <v>12</v>
      </c>
      <c r="D53" s="174">
        <f>(B53+C53)/2</f>
        <v>11</v>
      </c>
      <c r="E53" s="12" t="s">
        <v>986</v>
      </c>
      <c r="F53" s="74"/>
    </row>
    <row r="54" spans="1:17" x14ac:dyDescent="0.35">
      <c r="A54" s="87" t="s">
        <v>345</v>
      </c>
      <c r="B54" s="12"/>
      <c r="C54" s="12"/>
      <c r="D54" s="12"/>
      <c r="E54" s="12"/>
      <c r="F54" s="74"/>
      <c r="Q54" s="5"/>
    </row>
    <row r="55" spans="1:17" x14ac:dyDescent="0.35">
      <c r="A55" s="73" t="s">
        <v>685</v>
      </c>
      <c r="B55" s="12">
        <v>2.33</v>
      </c>
      <c r="C55" s="12">
        <v>2.94</v>
      </c>
      <c r="D55" s="12" t="s">
        <v>352</v>
      </c>
      <c r="E55" s="12" t="s">
        <v>930</v>
      </c>
      <c r="F55" s="74" t="s">
        <v>706</v>
      </c>
    </row>
    <row r="56" spans="1:17" ht="15" thickBot="1" x14ac:dyDescent="0.4">
      <c r="A56" s="75" t="s">
        <v>686</v>
      </c>
      <c r="B56" s="77">
        <v>3</v>
      </c>
      <c r="C56" s="77">
        <v>8.6</v>
      </c>
      <c r="D56" s="77" t="s">
        <v>352</v>
      </c>
      <c r="E56" s="77" t="s">
        <v>930</v>
      </c>
      <c r="F56" s="79" t="s">
        <v>706</v>
      </c>
    </row>
    <row r="57" spans="1:17" ht="15" thickBot="1" x14ac:dyDescent="0.4"/>
    <row r="58" spans="1:17" ht="18.5" x14ac:dyDescent="0.45">
      <c r="A58" s="70" t="s">
        <v>682</v>
      </c>
      <c r="B58" s="72"/>
      <c r="D58" s="175" t="s">
        <v>716</v>
      </c>
      <c r="E58" s="104"/>
    </row>
    <row r="59" spans="1:17" x14ac:dyDescent="0.35">
      <c r="A59" s="73" t="s">
        <v>306</v>
      </c>
      <c r="B59" s="85">
        <v>2.5</v>
      </c>
      <c r="D59" s="109" t="s">
        <v>7</v>
      </c>
      <c r="E59" s="108" t="s">
        <v>285</v>
      </c>
    </row>
    <row r="60" spans="1:17" x14ac:dyDescent="0.35">
      <c r="A60" s="73" t="s">
        <v>315</v>
      </c>
      <c r="B60" s="83">
        <f>(Q13-E70-Q32)/E60</f>
        <v>1.7304728308622641</v>
      </c>
      <c r="D60" s="105" t="s">
        <v>46</v>
      </c>
      <c r="E60" s="107">
        <f>C12/B12/F18</f>
        <v>8.3246843106728949</v>
      </c>
    </row>
    <row r="61" spans="1:17" x14ac:dyDescent="0.35">
      <c r="A61" s="73"/>
      <c r="B61" s="74"/>
      <c r="D61" s="105" t="s">
        <v>14</v>
      </c>
      <c r="E61" s="106">
        <f>SUM(R3:R21)/3600</f>
        <v>0.64265996123873881</v>
      </c>
    </row>
    <row r="62" spans="1:17" x14ac:dyDescent="0.35">
      <c r="A62" s="73" t="s">
        <v>297</v>
      </c>
      <c r="B62" s="83">
        <f>M3</f>
        <v>1.9444444444444444</v>
      </c>
      <c r="D62" s="105" t="s">
        <v>2</v>
      </c>
      <c r="E62" s="129">
        <f>SUM(R26:R32)</f>
        <v>29080.472125593074</v>
      </c>
    </row>
    <row r="63" spans="1:17" x14ac:dyDescent="0.35">
      <c r="A63" s="73" t="s">
        <v>610</v>
      </c>
      <c r="B63" s="83">
        <f>O4</f>
        <v>3.1460674157303368</v>
      </c>
      <c r="D63" s="105" t="s">
        <v>1056</v>
      </c>
      <c r="E63" s="107">
        <f>2.5*E60</f>
        <v>20.811710776682236</v>
      </c>
    </row>
    <row r="64" spans="1:17" x14ac:dyDescent="0.35">
      <c r="A64" s="73" t="s">
        <v>608</v>
      </c>
      <c r="B64" s="83">
        <f>O5</f>
        <v>3.7390499269103827</v>
      </c>
      <c r="D64" s="105"/>
      <c r="E64" s="108"/>
    </row>
    <row r="65" spans="1:9" x14ac:dyDescent="0.35">
      <c r="A65" s="73" t="s">
        <v>609</v>
      </c>
      <c r="B65" s="83">
        <f>1.5/E60</f>
        <v>0.18018701298701298</v>
      </c>
      <c r="D65" s="109" t="s">
        <v>6</v>
      </c>
      <c r="E65" s="108"/>
    </row>
    <row r="66" spans="1:9" x14ac:dyDescent="0.35">
      <c r="A66" s="73" t="s">
        <v>316</v>
      </c>
      <c r="B66" s="83">
        <f>17.19/E60</f>
        <v>2.0649431688311686</v>
      </c>
      <c r="D66" s="105" t="s">
        <v>49</v>
      </c>
      <c r="E66" s="108">
        <v>1</v>
      </c>
    </row>
    <row r="67" spans="1:9" x14ac:dyDescent="0.35">
      <c r="A67" s="73" t="s">
        <v>301</v>
      </c>
      <c r="B67" s="83">
        <f>(M5-1)</f>
        <v>3.0982857172605653</v>
      </c>
      <c r="D67" s="105" t="s">
        <v>47</v>
      </c>
      <c r="E67" s="106">
        <f>C21*E60*D12/D33</f>
        <v>3.9203455183982823</v>
      </c>
    </row>
    <row r="68" spans="1:9" x14ac:dyDescent="0.35">
      <c r="A68" s="73"/>
      <c r="B68" s="83"/>
      <c r="D68" s="105" t="s">
        <v>48</v>
      </c>
      <c r="E68" s="106">
        <f>C21*E60*E12/D33</f>
        <v>1.3721209314393989</v>
      </c>
    </row>
    <row r="69" spans="1:9" x14ac:dyDescent="0.35">
      <c r="A69" s="73" t="s">
        <v>997</v>
      </c>
      <c r="B69" s="83">
        <f>N9</f>
        <v>1.0507472814241459</v>
      </c>
      <c r="D69" s="105" t="s">
        <v>313</v>
      </c>
      <c r="E69" s="106">
        <f>E60*A15/0.9</f>
        <v>0.27748947702242982</v>
      </c>
    </row>
    <row r="70" spans="1:9" x14ac:dyDescent="0.35">
      <c r="A70" s="73" t="s">
        <v>995</v>
      </c>
      <c r="B70" s="83">
        <f>N13</f>
        <v>1.0042500000000001</v>
      </c>
      <c r="D70" s="105" t="s">
        <v>268</v>
      </c>
      <c r="E70" s="106">
        <f>E60*A17/0.9</f>
        <v>1.6475967729535446</v>
      </c>
    </row>
    <row r="71" spans="1:9" ht="15" thickBot="1" x14ac:dyDescent="0.4">
      <c r="A71" s="73" t="s">
        <v>996</v>
      </c>
      <c r="B71" s="83">
        <f>N14</f>
        <v>1.2407499999999998</v>
      </c>
      <c r="D71" s="110" t="s">
        <v>205</v>
      </c>
      <c r="E71" s="138">
        <f>(Q13-E70-Q32)/1000</f>
        <v>1.4405640025124801E-2</v>
      </c>
    </row>
    <row r="72" spans="1:9" x14ac:dyDescent="0.35">
      <c r="A72" s="73" t="s">
        <v>998</v>
      </c>
      <c r="B72" s="83">
        <f>N15</f>
        <v>1.0793828177040929</v>
      </c>
    </row>
    <row r="73" spans="1:9" x14ac:dyDescent="0.35">
      <c r="A73" s="73" t="s">
        <v>999</v>
      </c>
      <c r="B73" s="83">
        <f>N17</f>
        <v>1.0044999999999999</v>
      </c>
    </row>
    <row r="74" spans="1:9" ht="15" thickBot="1" x14ac:dyDescent="0.4">
      <c r="A74" s="75" t="s">
        <v>1000</v>
      </c>
      <c r="B74" s="84">
        <f>N19</f>
        <v>1.0467455293826824</v>
      </c>
      <c r="I74" s="3"/>
    </row>
    <row r="77" spans="1:9" x14ac:dyDescent="0.35">
      <c r="A77" s="1"/>
      <c r="B77" s="1"/>
    </row>
    <row r="78" spans="1:9" x14ac:dyDescent="0.35">
      <c r="B78" s="5"/>
    </row>
    <row r="79" spans="1:9" x14ac:dyDescent="0.35">
      <c r="B79" s="5"/>
    </row>
    <row r="80" spans="1:9" x14ac:dyDescent="0.35">
      <c r="B80" s="5"/>
    </row>
    <row r="83" spans="3:8" x14ac:dyDescent="0.35">
      <c r="C83" s="1"/>
      <c r="D83" s="1"/>
      <c r="F83" s="1"/>
      <c r="H83" s="3"/>
    </row>
    <row r="84" spans="3:8" x14ac:dyDescent="0.35">
      <c r="C84" s="5"/>
      <c r="F84" s="5"/>
    </row>
    <row r="85" spans="3:8" x14ac:dyDescent="0.35">
      <c r="C85" s="5"/>
      <c r="F85" s="5"/>
      <c r="H85" s="5"/>
    </row>
    <row r="86" spans="3:8" x14ac:dyDescent="0.35">
      <c r="C86" s="5"/>
      <c r="F86" s="5"/>
      <c r="H86" s="3"/>
    </row>
    <row r="89" spans="3:8" x14ac:dyDescent="0.35">
      <c r="C89" s="5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0724-860E-4FC0-BF22-6BED9AC25D64}">
  <sheetPr>
    <tabColor theme="5" tint="0.79998168889431442"/>
  </sheetPr>
  <dimension ref="A1:H150"/>
  <sheetViews>
    <sheetView workbookViewId="0">
      <selection activeCell="K19" sqref="K19"/>
    </sheetView>
  </sheetViews>
  <sheetFormatPr defaultRowHeight="14.5" x14ac:dyDescent="0.35"/>
  <cols>
    <col min="1" max="1" width="64.7265625" bestFit="1" customWidth="1"/>
    <col min="2" max="2" width="53.453125" bestFit="1" customWidth="1"/>
    <col min="4" max="4" width="12.6328125" customWidth="1"/>
    <col min="5" max="5" width="22.6328125" bestFit="1" customWidth="1"/>
    <col min="6" max="6" width="21.6328125" bestFit="1" customWidth="1"/>
    <col min="7" max="7" width="19.54296875" bestFit="1" customWidth="1"/>
  </cols>
  <sheetData>
    <row r="1" spans="1:8" x14ac:dyDescent="0.35">
      <c r="A1" t="s">
        <v>537</v>
      </c>
      <c r="B1" t="s">
        <v>417</v>
      </c>
      <c r="C1" t="s">
        <v>416</v>
      </c>
      <c r="D1" t="s">
        <v>415</v>
      </c>
      <c r="E1" t="s">
        <v>17</v>
      </c>
      <c r="F1" t="s">
        <v>18</v>
      </c>
      <c r="G1" t="s">
        <v>602</v>
      </c>
      <c r="H1" t="s">
        <v>30</v>
      </c>
    </row>
    <row r="2" spans="1:8" x14ac:dyDescent="0.35">
      <c r="A2" t="s">
        <v>538</v>
      </c>
      <c r="B2" t="s">
        <v>414</v>
      </c>
      <c r="C2" t="s">
        <v>347</v>
      </c>
      <c r="D2" t="s">
        <v>353</v>
      </c>
      <c r="E2" t="str">
        <f>'Cleaning and dehulling'!B3</f>
        <v>NA</v>
      </c>
      <c r="F2" t="str">
        <f>'Cleaning and dehulling'!C3</f>
        <v>NA</v>
      </c>
      <c r="G2" s="69">
        <f>'Cleaning and dehulling'!D3</f>
        <v>5.2499999999999998E-2</v>
      </c>
      <c r="H2" t="s">
        <v>352</v>
      </c>
    </row>
    <row r="3" spans="1:8" x14ac:dyDescent="0.35">
      <c r="A3" t="s">
        <v>538</v>
      </c>
      <c r="B3" t="s">
        <v>422</v>
      </c>
      <c r="C3" t="s">
        <v>347</v>
      </c>
      <c r="D3" t="s">
        <v>740</v>
      </c>
      <c r="E3" s="4">
        <f>'Cleaning and dehulling'!B4</f>
        <v>8.7999999999999995E-2</v>
      </c>
      <c r="F3">
        <f>'Cleaning and dehulling'!C4</f>
        <v>0.17649999999999999</v>
      </c>
      <c r="G3" t="str">
        <f>'Cleaning and dehulling'!D4</f>
        <v>NA</v>
      </c>
      <c r="H3" t="s">
        <v>352</v>
      </c>
    </row>
    <row r="4" spans="1:8" x14ac:dyDescent="0.35">
      <c r="A4" t="s">
        <v>538</v>
      </c>
      <c r="B4" t="s">
        <v>741</v>
      </c>
      <c r="C4" t="s">
        <v>347</v>
      </c>
      <c r="D4" t="s">
        <v>740</v>
      </c>
      <c r="E4" s="3">
        <f>'Cleaning and dehulling'!B5</f>
        <v>0.3</v>
      </c>
      <c r="F4" s="226">
        <f>'Cleaning and dehulling'!C5</f>
        <v>2</v>
      </c>
      <c r="G4" t="str">
        <f>'Cleaning and dehulling'!D5</f>
        <v>NA</v>
      </c>
      <c r="H4" t="s">
        <v>352</v>
      </c>
    </row>
    <row r="5" spans="1:8" x14ac:dyDescent="0.35">
      <c r="A5" t="s">
        <v>538</v>
      </c>
      <c r="B5" t="s">
        <v>413</v>
      </c>
      <c r="C5" t="s">
        <v>347</v>
      </c>
      <c r="D5" t="s">
        <v>740</v>
      </c>
      <c r="E5">
        <f>'Cleaning and dehulling'!B6</f>
        <v>8</v>
      </c>
      <c r="F5">
        <f>'Cleaning and dehulling'!C6</f>
        <v>16</v>
      </c>
      <c r="G5" t="str">
        <f>'Cleaning and dehulling'!D6</f>
        <v>NA</v>
      </c>
      <c r="H5" t="s">
        <v>352</v>
      </c>
    </row>
    <row r="6" spans="1:8" x14ac:dyDescent="0.35">
      <c r="A6" t="s">
        <v>538</v>
      </c>
      <c r="B6" t="s">
        <v>425</v>
      </c>
      <c r="C6" t="s">
        <v>347</v>
      </c>
      <c r="D6" t="s">
        <v>740</v>
      </c>
      <c r="E6" s="4">
        <f>'Cleaning and dehulling'!B8</f>
        <v>1.294</v>
      </c>
      <c r="F6" s="4">
        <f>'Cleaning and dehulling'!C8</f>
        <v>2.129</v>
      </c>
      <c r="G6" s="5" t="str">
        <f>'Cleaning and dehulling'!D8</f>
        <v>NA</v>
      </c>
      <c r="H6" t="s">
        <v>352</v>
      </c>
    </row>
    <row r="7" spans="1:8" x14ac:dyDescent="0.35">
      <c r="A7" t="s">
        <v>539</v>
      </c>
      <c r="B7" t="s">
        <v>742</v>
      </c>
      <c r="C7" t="s">
        <v>347</v>
      </c>
      <c r="D7" t="s">
        <v>353</v>
      </c>
      <c r="E7" t="str">
        <f>'Cleaning and dehulling'!B23</f>
        <v>NA</v>
      </c>
      <c r="F7" t="str">
        <f>'Cleaning and dehulling'!C23</f>
        <v>NA</v>
      </c>
      <c r="G7" s="5">
        <f>'Cleaning and dehulling'!D23</f>
        <v>0.08</v>
      </c>
      <c r="H7" t="s">
        <v>352</v>
      </c>
    </row>
    <row r="8" spans="1:8" x14ac:dyDescent="0.35">
      <c r="A8" t="s">
        <v>539</v>
      </c>
      <c r="B8" t="s">
        <v>412</v>
      </c>
      <c r="C8" t="s">
        <v>347</v>
      </c>
      <c r="D8" t="s">
        <v>346</v>
      </c>
      <c r="E8">
        <f>'Cleaning and dehulling'!B24</f>
        <v>5</v>
      </c>
      <c r="F8">
        <f>'Cleaning and dehulling'!C24</f>
        <v>30</v>
      </c>
      <c r="G8" s="3">
        <f>'Cleaning and dehulling'!D24</f>
        <v>23.4</v>
      </c>
      <c r="H8" t="s">
        <v>352</v>
      </c>
    </row>
    <row r="9" spans="1:8" x14ac:dyDescent="0.35">
      <c r="A9" t="s">
        <v>539</v>
      </c>
      <c r="B9" t="s">
        <v>423</v>
      </c>
      <c r="C9" t="s">
        <v>347</v>
      </c>
      <c r="D9" t="s">
        <v>353</v>
      </c>
      <c r="E9" s="5" t="str">
        <f>'Cleaning and dehulling'!B26</f>
        <v>NA</v>
      </c>
      <c r="F9" s="5" t="str">
        <f>'Cleaning and dehulling'!C26</f>
        <v>NA</v>
      </c>
      <c r="G9" s="226">
        <f>'Cleaning and dehulling'!D26</f>
        <v>1</v>
      </c>
      <c r="H9" t="s">
        <v>352</v>
      </c>
    </row>
    <row r="10" spans="1:8" x14ac:dyDescent="0.35">
      <c r="A10" t="s">
        <v>538</v>
      </c>
      <c r="B10" t="s">
        <v>411</v>
      </c>
      <c r="C10" t="s">
        <v>347</v>
      </c>
      <c r="D10" t="s">
        <v>353</v>
      </c>
      <c r="E10" t="str">
        <f>Milling!B3</f>
        <v>NA</v>
      </c>
      <c r="F10" t="str">
        <f>Milling!C3</f>
        <v>NA</v>
      </c>
      <c r="G10">
        <f>Milling!D3</f>
        <v>0</v>
      </c>
      <c r="H10" t="s">
        <v>352</v>
      </c>
    </row>
    <row r="11" spans="1:8" x14ac:dyDescent="0.35">
      <c r="A11" t="s">
        <v>538</v>
      </c>
      <c r="B11" t="s">
        <v>410</v>
      </c>
      <c r="C11" t="s">
        <v>347</v>
      </c>
      <c r="D11" t="s">
        <v>740</v>
      </c>
      <c r="E11" s="226">
        <f>Milling!B4</f>
        <v>42</v>
      </c>
      <c r="F11">
        <f>Milling!C4</f>
        <v>324</v>
      </c>
      <c r="G11" t="str">
        <f>Milling!D4</f>
        <v>NA</v>
      </c>
      <c r="H11" t="s">
        <v>352</v>
      </c>
    </row>
    <row r="12" spans="1:8" x14ac:dyDescent="0.35">
      <c r="A12" t="s">
        <v>538</v>
      </c>
      <c r="B12" t="s">
        <v>409</v>
      </c>
      <c r="C12" t="s">
        <v>347</v>
      </c>
      <c r="D12" t="s">
        <v>353</v>
      </c>
      <c r="E12" t="str">
        <f>Milling!B6</f>
        <v>NA</v>
      </c>
      <c r="F12" t="str">
        <f>Milling!C6</f>
        <v>NA</v>
      </c>
      <c r="G12">
        <f>Milling!D6</f>
        <v>1</v>
      </c>
      <c r="H12" t="s">
        <v>352</v>
      </c>
    </row>
    <row r="13" spans="1:8" x14ac:dyDescent="0.35">
      <c r="A13" t="s">
        <v>542</v>
      </c>
      <c r="B13" t="s">
        <v>408</v>
      </c>
      <c r="C13" t="s">
        <v>347</v>
      </c>
      <c r="D13" t="s">
        <v>346</v>
      </c>
      <c r="E13">
        <f>Milling!B19</f>
        <v>0.25</v>
      </c>
      <c r="F13" s="4">
        <f>Milling!C19</f>
        <v>0.36299999999999999</v>
      </c>
      <c r="G13" s="4">
        <f>Milling!D19</f>
        <v>0.33800000000000002</v>
      </c>
      <c r="H13" t="s">
        <v>352</v>
      </c>
    </row>
    <row r="14" spans="1:8" x14ac:dyDescent="0.35">
      <c r="A14" t="s">
        <v>542</v>
      </c>
      <c r="B14" t="s">
        <v>426</v>
      </c>
      <c r="C14" t="s">
        <v>347</v>
      </c>
      <c r="D14" t="s">
        <v>740</v>
      </c>
      <c r="E14" s="5">
        <f>Milling!B25</f>
        <v>1.91</v>
      </c>
      <c r="F14" s="3">
        <f>Milling!C25</f>
        <v>5.2</v>
      </c>
      <c r="G14" t="str">
        <f>Milling!D25</f>
        <v>NA</v>
      </c>
      <c r="H14" t="s">
        <v>352</v>
      </c>
    </row>
    <row r="15" spans="1:8" x14ac:dyDescent="0.35">
      <c r="A15" t="s">
        <v>542</v>
      </c>
      <c r="B15" t="s">
        <v>407</v>
      </c>
      <c r="C15" t="s">
        <v>347</v>
      </c>
      <c r="D15" t="s">
        <v>346</v>
      </c>
      <c r="E15">
        <f>Milling!B20</f>
        <v>180</v>
      </c>
      <c r="F15">
        <f>Milling!C20</f>
        <v>544</v>
      </c>
      <c r="G15">
        <f>Milling!D20</f>
        <v>400</v>
      </c>
      <c r="H15" t="s">
        <v>352</v>
      </c>
    </row>
    <row r="16" spans="1:8" x14ac:dyDescent="0.35">
      <c r="A16" t="s">
        <v>542</v>
      </c>
      <c r="B16" t="s">
        <v>406</v>
      </c>
      <c r="C16" t="s">
        <v>347</v>
      </c>
      <c r="D16" t="s">
        <v>346</v>
      </c>
      <c r="E16" s="5">
        <f>Milling!B21</f>
        <v>0.06</v>
      </c>
      <c r="F16" s="5">
        <f>Milling!C21</f>
        <v>0.13</v>
      </c>
      <c r="G16" s="4">
        <f>Milling!D21</f>
        <v>9.4E-2</v>
      </c>
      <c r="H16" t="s">
        <v>352</v>
      </c>
    </row>
    <row r="17" spans="1:8" x14ac:dyDescent="0.35">
      <c r="A17" t="s">
        <v>542</v>
      </c>
      <c r="B17" t="s">
        <v>405</v>
      </c>
      <c r="C17" t="s">
        <v>347</v>
      </c>
      <c r="D17" t="s">
        <v>346</v>
      </c>
      <c r="E17">
        <f>Milling!B22</f>
        <v>0.06</v>
      </c>
      <c r="F17">
        <f>Milling!C22</f>
        <v>0.13</v>
      </c>
      <c r="G17">
        <f>Milling!D22</f>
        <v>9.4E-2</v>
      </c>
      <c r="H17" t="s">
        <v>352</v>
      </c>
    </row>
    <row r="18" spans="1:8" x14ac:dyDescent="0.35">
      <c r="A18" t="s">
        <v>542</v>
      </c>
      <c r="B18" t="s">
        <v>404</v>
      </c>
      <c r="C18" t="s">
        <v>347</v>
      </c>
      <c r="D18" t="s">
        <v>740</v>
      </c>
      <c r="E18" s="69">
        <f>Milling!B23</f>
        <v>6.4999999999999997E-3</v>
      </c>
      <c r="F18">
        <f>Milling!C23</f>
        <v>1.2699999999999999E-2</v>
      </c>
      <c r="G18" t="str">
        <f>Milling!D23</f>
        <v>NA</v>
      </c>
      <c r="H18" t="s">
        <v>352</v>
      </c>
    </row>
    <row r="19" spans="1:8" x14ac:dyDescent="0.35">
      <c r="A19" t="s">
        <v>539</v>
      </c>
      <c r="B19" t="s">
        <v>403</v>
      </c>
      <c r="C19" t="s">
        <v>347</v>
      </c>
      <c r="D19" t="s">
        <v>346</v>
      </c>
      <c r="E19" s="4">
        <f>Defatting!B44</f>
        <v>0.191</v>
      </c>
      <c r="F19" s="5">
        <f>Defatting!C44</f>
        <v>0.26</v>
      </c>
      <c r="G19" s="5">
        <f>Defatting!D44</f>
        <v>0.24</v>
      </c>
      <c r="H19" t="s">
        <v>352</v>
      </c>
    </row>
    <row r="20" spans="1:8" x14ac:dyDescent="0.35">
      <c r="A20" t="s">
        <v>539</v>
      </c>
      <c r="B20" t="s">
        <v>490</v>
      </c>
      <c r="C20" t="s">
        <v>347</v>
      </c>
      <c r="D20" t="s">
        <v>346</v>
      </c>
      <c r="E20" s="5">
        <f>Defatting!B53</f>
        <v>0.39525691699604748</v>
      </c>
      <c r="F20" s="5">
        <f>Defatting!C53</f>
        <v>0.52356020942408377</v>
      </c>
      <c r="G20" s="5">
        <f>Defatting!D53</f>
        <v>0.51546391752577325</v>
      </c>
      <c r="H20" t="s">
        <v>352</v>
      </c>
    </row>
    <row r="21" spans="1:8" x14ac:dyDescent="0.35">
      <c r="A21" t="s">
        <v>539</v>
      </c>
      <c r="B21" t="s">
        <v>402</v>
      </c>
      <c r="C21" t="s">
        <v>347</v>
      </c>
      <c r="D21" t="s">
        <v>346</v>
      </c>
      <c r="E21" s="231">
        <f>Defatting!B45</f>
        <v>0.10223298515881817</v>
      </c>
      <c r="F21" s="231">
        <f>Defatting!C45</f>
        <v>0.33478576615831518</v>
      </c>
      <c r="G21" s="231">
        <f>Defatting!D45</f>
        <v>0.3148652352672453</v>
      </c>
      <c r="H21" t="s">
        <v>352</v>
      </c>
    </row>
    <row r="22" spans="1:8" x14ac:dyDescent="0.35">
      <c r="A22" t="s">
        <v>539</v>
      </c>
      <c r="B22" t="s">
        <v>401</v>
      </c>
      <c r="C22" t="s">
        <v>347</v>
      </c>
      <c r="D22" t="s">
        <v>346</v>
      </c>
      <c r="E22" s="92">
        <f>Defatting!B49</f>
        <v>2.9E-4</v>
      </c>
      <c r="F22" s="232">
        <f>Defatting!C49</f>
        <v>3.6315363840273432E-3</v>
      </c>
      <c r="G22" s="231">
        <f>Defatting!D49</f>
        <v>1.37410071942446E-3</v>
      </c>
      <c r="H22" t="s">
        <v>352</v>
      </c>
    </row>
    <row r="23" spans="1:8" x14ac:dyDescent="0.35">
      <c r="A23" t="s">
        <v>539</v>
      </c>
      <c r="B23" t="s">
        <v>400</v>
      </c>
      <c r="C23" t="s">
        <v>347</v>
      </c>
      <c r="D23" t="s">
        <v>346</v>
      </c>
      <c r="E23" s="5">
        <f>Defatting!B47</f>
        <v>1.21</v>
      </c>
      <c r="F23">
        <f>Defatting!C47</f>
        <v>1.29</v>
      </c>
      <c r="G23" s="5">
        <f>Defatting!D47</f>
        <v>1.27</v>
      </c>
      <c r="H23" t="s">
        <v>352</v>
      </c>
    </row>
    <row r="24" spans="1:8" x14ac:dyDescent="0.35">
      <c r="A24" t="s">
        <v>539</v>
      </c>
      <c r="B24" t="s">
        <v>399</v>
      </c>
      <c r="C24" t="s">
        <v>347</v>
      </c>
      <c r="D24" t="s">
        <v>346</v>
      </c>
      <c r="E24" s="231">
        <f>Defatting!B48</f>
        <v>4.3209207590371159E-3</v>
      </c>
      <c r="F24" s="231">
        <f>Defatting!C48</f>
        <v>0.61655773420479298</v>
      </c>
      <c r="G24" s="231">
        <f>Defatting!D48</f>
        <v>0.3148652352672453</v>
      </c>
      <c r="H24" t="s">
        <v>352</v>
      </c>
    </row>
    <row r="25" spans="1:8" x14ac:dyDescent="0.35">
      <c r="A25" t="s">
        <v>539</v>
      </c>
      <c r="B25" t="s">
        <v>398</v>
      </c>
      <c r="C25" t="s">
        <v>347</v>
      </c>
      <c r="D25" t="s">
        <v>346</v>
      </c>
      <c r="E25" s="4">
        <f>Defatting!B50</f>
        <v>52.271999999999998</v>
      </c>
      <c r="F25" s="4">
        <f>Defatting!C50</f>
        <v>236.96795454545455</v>
      </c>
      <c r="G25" s="4">
        <f>Defatting!D50</f>
        <v>142.98295862718925</v>
      </c>
      <c r="H25" t="s">
        <v>352</v>
      </c>
    </row>
    <row r="26" spans="1:8" x14ac:dyDescent="0.35">
      <c r="A26" t="s">
        <v>539</v>
      </c>
      <c r="B26" t="s">
        <v>397</v>
      </c>
      <c r="C26" t="s">
        <v>347</v>
      </c>
      <c r="D26" t="s">
        <v>346</v>
      </c>
      <c r="E26" s="5">
        <f>Defatting!B51</f>
        <v>516.67000000000007</v>
      </c>
      <c r="F26" s="228">
        <f>Defatting!C51</f>
        <v>1397.5359488220674</v>
      </c>
      <c r="G26" s="229">
        <f>Defatting!D51</f>
        <v>951.91796327811812</v>
      </c>
      <c r="H26" t="s">
        <v>352</v>
      </c>
    </row>
    <row r="27" spans="1:8" x14ac:dyDescent="0.35">
      <c r="A27" t="s">
        <v>540</v>
      </c>
      <c r="B27" t="s">
        <v>396</v>
      </c>
      <c r="C27" t="s">
        <v>347</v>
      </c>
      <c r="D27" t="s">
        <v>346</v>
      </c>
      <c r="E27" s="4">
        <f>PPI!E30</f>
        <v>0.82599999999999996</v>
      </c>
      <c r="F27" s="4">
        <f>PPI!F30</f>
        <v>0.88400000000000001</v>
      </c>
      <c r="G27" s="4">
        <f>PPI!G30</f>
        <v>0.85699999999999998</v>
      </c>
      <c r="H27" t="s">
        <v>352</v>
      </c>
    </row>
    <row r="28" spans="1:8" x14ac:dyDescent="0.35">
      <c r="A28" t="s">
        <v>540</v>
      </c>
      <c r="B28" t="s">
        <v>395</v>
      </c>
      <c r="C28" t="s">
        <v>347</v>
      </c>
      <c r="D28" t="s">
        <v>346</v>
      </c>
      <c r="E28" s="4">
        <f>PPI!E31</f>
        <v>0.19400000000000001</v>
      </c>
      <c r="F28" s="4">
        <f>PPI!F31</f>
        <v>0.26100000000000001</v>
      </c>
      <c r="G28" s="69">
        <f>PPI!G31</f>
        <v>0.2165</v>
      </c>
      <c r="H28" t="s">
        <v>352</v>
      </c>
    </row>
    <row r="29" spans="1:8" x14ac:dyDescent="0.35">
      <c r="A29" t="s">
        <v>540</v>
      </c>
      <c r="B29" t="s">
        <v>394</v>
      </c>
      <c r="C29" t="s">
        <v>347</v>
      </c>
      <c r="D29" t="s">
        <v>740</v>
      </c>
      <c r="E29" s="5">
        <f>PPI!E32</f>
        <v>0.65</v>
      </c>
      <c r="F29" s="5">
        <f>PPI!F32</f>
        <v>0.85</v>
      </c>
      <c r="G29" t="str">
        <f>PPI!G32</f>
        <v>NA</v>
      </c>
      <c r="H29" t="s">
        <v>352</v>
      </c>
    </row>
    <row r="30" spans="1:8" x14ac:dyDescent="0.35">
      <c r="A30" t="s">
        <v>540</v>
      </c>
      <c r="B30" t="s">
        <v>745</v>
      </c>
      <c r="C30" t="s">
        <v>347</v>
      </c>
      <c r="D30" t="s">
        <v>353</v>
      </c>
      <c r="E30" t="str">
        <f>PPI!E33</f>
        <v>NA</v>
      </c>
      <c r="F30" t="str">
        <f>PPI!F33</f>
        <v>NA</v>
      </c>
      <c r="G30" s="5">
        <f>PPI!G33</f>
        <v>0.95</v>
      </c>
      <c r="H30" t="s">
        <v>352</v>
      </c>
    </row>
    <row r="31" spans="1:8" x14ac:dyDescent="0.35">
      <c r="A31" t="s">
        <v>540</v>
      </c>
      <c r="B31" t="s">
        <v>428</v>
      </c>
      <c r="C31" t="s">
        <v>347</v>
      </c>
      <c r="D31" t="s">
        <v>740</v>
      </c>
      <c r="E31" s="5">
        <f>PPI!E48</f>
        <v>2.34</v>
      </c>
      <c r="F31">
        <f>PPI!F48</f>
        <v>4.7</v>
      </c>
      <c r="G31" t="str">
        <f>PPI!G48</f>
        <v>NA</v>
      </c>
      <c r="H31" t="s">
        <v>352</v>
      </c>
    </row>
    <row r="32" spans="1:8" x14ac:dyDescent="0.35">
      <c r="A32" t="s">
        <v>540</v>
      </c>
      <c r="B32" t="s">
        <v>393</v>
      </c>
      <c r="C32" t="s">
        <v>347</v>
      </c>
      <c r="D32" t="s">
        <v>353</v>
      </c>
      <c r="E32" t="str">
        <f>PPI!E46</f>
        <v>NA</v>
      </c>
      <c r="F32" t="str">
        <f>PPI!F46</f>
        <v>NA</v>
      </c>
      <c r="G32">
        <f>PPI!G46</f>
        <v>15</v>
      </c>
      <c r="H32" t="s">
        <v>352</v>
      </c>
    </row>
    <row r="33" spans="1:8" x14ac:dyDescent="0.35">
      <c r="A33" t="s">
        <v>540</v>
      </c>
      <c r="B33" t="s">
        <v>392</v>
      </c>
      <c r="C33" t="s">
        <v>347</v>
      </c>
      <c r="D33" t="s">
        <v>740</v>
      </c>
      <c r="E33">
        <f>PPI!E42</f>
        <v>38</v>
      </c>
      <c r="F33">
        <f>PPI!F42</f>
        <v>41</v>
      </c>
      <c r="G33" t="str">
        <f>PPI!G42</f>
        <v>NA</v>
      </c>
      <c r="H33" t="s">
        <v>352</v>
      </c>
    </row>
    <row r="34" spans="1:8" x14ac:dyDescent="0.35">
      <c r="A34" t="s">
        <v>540</v>
      </c>
      <c r="B34" t="s">
        <v>464</v>
      </c>
      <c r="C34" t="s">
        <v>347</v>
      </c>
      <c r="D34" t="s">
        <v>353</v>
      </c>
      <c r="E34" t="s">
        <v>352</v>
      </c>
      <c r="F34" t="s">
        <v>352</v>
      </c>
      <c r="G34" s="4">
        <f>PPI!E51</f>
        <v>0.41699999999999998</v>
      </c>
      <c r="H34" t="s">
        <v>352</v>
      </c>
    </row>
    <row r="35" spans="1:8" x14ac:dyDescent="0.35">
      <c r="A35" t="s">
        <v>540</v>
      </c>
      <c r="B35" t="s">
        <v>465</v>
      </c>
      <c r="C35" t="s">
        <v>347</v>
      </c>
      <c r="D35" t="s">
        <v>353</v>
      </c>
      <c r="E35" t="s">
        <v>352</v>
      </c>
      <c r="F35" t="s">
        <v>352</v>
      </c>
      <c r="G35" s="69">
        <f>PPI!E52</f>
        <v>7.7799999999999994E-2</v>
      </c>
      <c r="H35" t="s">
        <v>352</v>
      </c>
    </row>
    <row r="36" spans="1:8" x14ac:dyDescent="0.35">
      <c r="A36" t="s">
        <v>540</v>
      </c>
      <c r="B36" t="s">
        <v>466</v>
      </c>
      <c r="C36" t="s">
        <v>347</v>
      </c>
      <c r="D36" t="s">
        <v>353</v>
      </c>
      <c r="E36" t="s">
        <v>352</v>
      </c>
      <c r="F36" t="s">
        <v>352</v>
      </c>
      <c r="G36" s="5">
        <f>PPI!E53</f>
        <v>3.42</v>
      </c>
      <c r="H36" t="s">
        <v>352</v>
      </c>
    </row>
    <row r="37" spans="1:8" x14ac:dyDescent="0.35">
      <c r="A37" t="s">
        <v>540</v>
      </c>
      <c r="B37" t="s">
        <v>467</v>
      </c>
      <c r="C37" t="s">
        <v>347</v>
      </c>
      <c r="D37" t="s">
        <v>353</v>
      </c>
      <c r="E37" t="s">
        <v>352</v>
      </c>
      <c r="F37" t="s">
        <v>352</v>
      </c>
      <c r="G37" s="202">
        <f>PPI!E55</f>
        <v>4.7841191474493368</v>
      </c>
      <c r="H37" t="s">
        <v>352</v>
      </c>
    </row>
    <row r="38" spans="1:8" x14ac:dyDescent="0.35">
      <c r="A38" t="s">
        <v>540</v>
      </c>
      <c r="B38" t="s">
        <v>468</v>
      </c>
      <c r="C38" t="s">
        <v>347</v>
      </c>
      <c r="D38" t="s">
        <v>353</v>
      </c>
      <c r="E38" t="s">
        <v>352</v>
      </c>
      <c r="F38" t="s">
        <v>352</v>
      </c>
      <c r="G38" s="202">
        <f>PPI!E57</f>
        <v>2.9166666666666664E-2</v>
      </c>
      <c r="H38" t="s">
        <v>352</v>
      </c>
    </row>
    <row r="39" spans="1:8" x14ac:dyDescent="0.35">
      <c r="A39" t="s">
        <v>540</v>
      </c>
      <c r="B39" t="s">
        <v>469</v>
      </c>
      <c r="C39" t="s">
        <v>347</v>
      </c>
      <c r="D39" t="s">
        <v>353</v>
      </c>
      <c r="E39" t="s">
        <v>352</v>
      </c>
      <c r="F39" t="s">
        <v>352</v>
      </c>
      <c r="G39" s="69">
        <f>PPI!E58</f>
        <v>1.2500000000000001E-2</v>
      </c>
      <c r="H39" t="s">
        <v>352</v>
      </c>
    </row>
    <row r="40" spans="1:8" x14ac:dyDescent="0.35">
      <c r="A40" t="s">
        <v>540</v>
      </c>
      <c r="B40" t="s">
        <v>470</v>
      </c>
      <c r="C40" t="s">
        <v>347</v>
      </c>
      <c r="D40" t="s">
        <v>353</v>
      </c>
      <c r="E40" t="s">
        <v>352</v>
      </c>
      <c r="F40" t="s">
        <v>352</v>
      </c>
      <c r="G40" s="5">
        <f>PPI!E60</f>
        <v>3.48</v>
      </c>
      <c r="H40" t="s">
        <v>352</v>
      </c>
    </row>
    <row r="41" spans="1:8" x14ac:dyDescent="0.35">
      <c r="A41" t="s">
        <v>540</v>
      </c>
      <c r="B41" t="s">
        <v>472</v>
      </c>
      <c r="C41" t="s">
        <v>347</v>
      </c>
      <c r="D41" t="s">
        <v>353</v>
      </c>
      <c r="E41" t="s">
        <v>352</v>
      </c>
      <c r="F41" t="s">
        <v>352</v>
      </c>
      <c r="G41" s="202">
        <f>PPI!E61</f>
        <v>5.1466666666666665</v>
      </c>
      <c r="H41" t="s">
        <v>352</v>
      </c>
    </row>
    <row r="42" spans="1:8" x14ac:dyDescent="0.35">
      <c r="A42" t="s">
        <v>540</v>
      </c>
      <c r="B42" t="s">
        <v>471</v>
      </c>
      <c r="C42" t="s">
        <v>347</v>
      </c>
      <c r="D42" t="s">
        <v>353</v>
      </c>
      <c r="E42" t="s">
        <v>352</v>
      </c>
      <c r="F42" t="s">
        <v>352</v>
      </c>
      <c r="G42" s="202">
        <f>PPI!E62</f>
        <v>0.83898305084745761</v>
      </c>
      <c r="H42" t="s">
        <v>352</v>
      </c>
    </row>
    <row r="43" spans="1:8" x14ac:dyDescent="0.35">
      <c r="A43" t="s">
        <v>540</v>
      </c>
      <c r="B43" t="s">
        <v>474</v>
      </c>
      <c r="C43" t="s">
        <v>347</v>
      </c>
      <c r="D43" t="s">
        <v>353</v>
      </c>
      <c r="E43" t="s">
        <v>352</v>
      </c>
      <c r="F43" t="s">
        <v>352</v>
      </c>
      <c r="G43" s="202">
        <f>PPI!E63</f>
        <v>3.953839006074193</v>
      </c>
      <c r="H43" t="s">
        <v>352</v>
      </c>
    </row>
    <row r="44" spans="1:8" x14ac:dyDescent="0.35">
      <c r="A44" t="s">
        <v>540</v>
      </c>
      <c r="B44" t="s">
        <v>473</v>
      </c>
      <c r="C44" t="s">
        <v>347</v>
      </c>
      <c r="D44" t="s">
        <v>353</v>
      </c>
      <c r="E44" t="s">
        <v>352</v>
      </c>
      <c r="F44" t="s">
        <v>352</v>
      </c>
      <c r="G44" s="202">
        <f>PPI!E64</f>
        <v>3.7829229436142922</v>
      </c>
      <c r="H44" t="s">
        <v>352</v>
      </c>
    </row>
    <row r="45" spans="1:8" x14ac:dyDescent="0.35">
      <c r="A45" t="s">
        <v>540</v>
      </c>
      <c r="B45" t="s">
        <v>476</v>
      </c>
      <c r="C45" t="s">
        <v>347</v>
      </c>
      <c r="D45" t="s">
        <v>353</v>
      </c>
      <c r="E45" t="s">
        <v>352</v>
      </c>
      <c r="F45" t="s">
        <v>352</v>
      </c>
      <c r="G45" s="202">
        <f>PPI!E65</f>
        <v>0.24315789473684207</v>
      </c>
      <c r="H45" t="s">
        <v>352</v>
      </c>
    </row>
    <row r="46" spans="1:8" x14ac:dyDescent="0.35">
      <c r="A46" t="s">
        <v>540</v>
      </c>
      <c r="B46" t="s">
        <v>477</v>
      </c>
      <c r="C46" t="s">
        <v>347</v>
      </c>
      <c r="D46" t="s">
        <v>353</v>
      </c>
      <c r="E46" t="s">
        <v>352</v>
      </c>
      <c r="F46" t="s">
        <v>352</v>
      </c>
      <c r="G46" s="4">
        <f>PPI!E66</f>
        <v>0.27222222222222237</v>
      </c>
      <c r="H46" t="s">
        <v>352</v>
      </c>
    </row>
    <row r="47" spans="1:8" x14ac:dyDescent="0.35">
      <c r="A47" t="s">
        <v>540</v>
      </c>
      <c r="B47" t="s">
        <v>475</v>
      </c>
      <c r="C47" t="s">
        <v>347</v>
      </c>
      <c r="D47" t="s">
        <v>353</v>
      </c>
      <c r="E47" t="s">
        <v>352</v>
      </c>
      <c r="F47" t="s">
        <v>352</v>
      </c>
      <c r="G47" s="202">
        <f>PPI!E67</f>
        <v>3.8066666666666662</v>
      </c>
      <c r="H47" t="s">
        <v>352</v>
      </c>
    </row>
    <row r="48" spans="1:8" x14ac:dyDescent="0.35">
      <c r="A48" t="s">
        <v>541</v>
      </c>
      <c r="B48" t="s">
        <v>391</v>
      </c>
      <c r="C48" t="s">
        <v>347</v>
      </c>
      <c r="D48" t="s">
        <v>346</v>
      </c>
      <c r="E48" s="4">
        <f>PPC!B32</f>
        <v>0.19400000000000001</v>
      </c>
      <c r="F48">
        <f>PPC!C32</f>
        <v>0.26100000000000001</v>
      </c>
      <c r="G48">
        <f>PPC!D32</f>
        <v>0.2165</v>
      </c>
      <c r="H48" t="s">
        <v>352</v>
      </c>
    </row>
    <row r="49" spans="1:8" x14ac:dyDescent="0.35">
      <c r="A49" t="s">
        <v>541</v>
      </c>
      <c r="B49" t="s">
        <v>390</v>
      </c>
      <c r="C49" t="s">
        <v>347</v>
      </c>
      <c r="D49" t="s">
        <v>346</v>
      </c>
      <c r="E49" s="4">
        <f>PPC!B33</f>
        <v>0.42899999999999999</v>
      </c>
      <c r="F49" s="4">
        <f>PPC!C33</f>
        <v>0.69599999999999995</v>
      </c>
      <c r="G49" s="5">
        <f>PPC!D33</f>
        <v>0.55000000000000004</v>
      </c>
      <c r="H49" t="s">
        <v>352</v>
      </c>
    </row>
    <row r="50" spans="1:8" x14ac:dyDescent="0.35">
      <c r="A50" t="s">
        <v>541</v>
      </c>
      <c r="B50" t="s">
        <v>389</v>
      </c>
      <c r="C50" t="s">
        <v>347</v>
      </c>
      <c r="D50" t="s">
        <v>346</v>
      </c>
      <c r="E50" s="5">
        <f>PPC!B34</f>
        <v>0.28999999999999998</v>
      </c>
      <c r="F50">
        <f>PPC!C34</f>
        <v>0.76</v>
      </c>
      <c r="G50" s="5">
        <f>PPC!D34</f>
        <v>0.48</v>
      </c>
      <c r="H50" t="s">
        <v>352</v>
      </c>
    </row>
    <row r="51" spans="1:8" x14ac:dyDescent="0.35">
      <c r="A51" t="s">
        <v>541</v>
      </c>
      <c r="B51" t="s">
        <v>744</v>
      </c>
      <c r="C51" t="s">
        <v>347</v>
      </c>
      <c r="D51" t="s">
        <v>353</v>
      </c>
      <c r="E51" s="5" t="str">
        <f>PPC!B35</f>
        <v>NA</v>
      </c>
      <c r="F51" s="5" t="str">
        <f>PPC!C35</f>
        <v>NA</v>
      </c>
      <c r="G51" s="5">
        <f>PPC!D35</f>
        <v>0.95</v>
      </c>
      <c r="H51" t="s">
        <v>352</v>
      </c>
    </row>
    <row r="52" spans="1:8" x14ac:dyDescent="0.35">
      <c r="A52" t="s">
        <v>541</v>
      </c>
      <c r="B52" t="s">
        <v>429</v>
      </c>
      <c r="C52" t="s">
        <v>347</v>
      </c>
      <c r="D52" t="s">
        <v>346</v>
      </c>
      <c r="E52" s="5">
        <f>PPC!B39</f>
        <v>2.92</v>
      </c>
      <c r="F52" s="5">
        <f>PPC!C39</f>
        <v>3.23</v>
      </c>
      <c r="G52" s="5">
        <f>PPC!D39</f>
        <v>3.23</v>
      </c>
      <c r="H52" t="s">
        <v>352</v>
      </c>
    </row>
    <row r="53" spans="1:8" x14ac:dyDescent="0.35">
      <c r="A53" t="s">
        <v>542</v>
      </c>
      <c r="B53" t="s">
        <v>388</v>
      </c>
      <c r="C53" t="s">
        <v>347</v>
      </c>
      <c r="D53" t="s">
        <v>740</v>
      </c>
      <c r="E53" s="5">
        <f>'Gluten HP'!B25</f>
        <v>0.76</v>
      </c>
      <c r="F53">
        <f>'Gluten HP'!C25</f>
        <v>0.78</v>
      </c>
      <c r="G53" t="str">
        <f>'Gluten HP'!D25</f>
        <v>NA</v>
      </c>
      <c r="H53" t="s">
        <v>352</v>
      </c>
    </row>
    <row r="54" spans="1:8" x14ac:dyDescent="0.35">
      <c r="A54" t="s">
        <v>542</v>
      </c>
      <c r="B54" t="s">
        <v>387</v>
      </c>
      <c r="C54" t="s">
        <v>347</v>
      </c>
      <c r="D54" t="s">
        <v>346</v>
      </c>
      <c r="E54" s="69">
        <f>'Gluten HP'!B26</f>
        <v>8.9300000000000004E-2</v>
      </c>
      <c r="F54">
        <f>'Gluten HP'!C26</f>
        <v>0.13439999999999999</v>
      </c>
      <c r="G54" s="69">
        <f>'Gluten HP'!D26</f>
        <v>0.1128</v>
      </c>
      <c r="H54" t="s">
        <v>352</v>
      </c>
    </row>
    <row r="55" spans="1:8" x14ac:dyDescent="0.35">
      <c r="A55" t="s">
        <v>542</v>
      </c>
      <c r="B55" t="s">
        <v>386</v>
      </c>
      <c r="C55" t="s">
        <v>347</v>
      </c>
      <c r="D55" t="s">
        <v>740</v>
      </c>
      <c r="E55" s="3">
        <f>'Gluten HP'!B28</f>
        <v>0.8</v>
      </c>
      <c r="F55">
        <f>'Gluten HP'!C28</f>
        <v>0.85</v>
      </c>
      <c r="G55" t="str">
        <f>'Gluten HP'!D28</f>
        <v>NA</v>
      </c>
      <c r="H55" t="s">
        <v>352</v>
      </c>
    </row>
    <row r="56" spans="1:8" x14ac:dyDescent="0.35">
      <c r="A56" t="s">
        <v>542</v>
      </c>
      <c r="B56" t="s">
        <v>1017</v>
      </c>
      <c r="C56" t="s">
        <v>347</v>
      </c>
      <c r="D56" t="s">
        <v>740</v>
      </c>
      <c r="E56">
        <f>'Gluten HP'!B29</f>
        <v>0.57999999999999996</v>
      </c>
      <c r="F56">
        <f>'Gluten HP'!C29</f>
        <v>0.62</v>
      </c>
      <c r="G56" t="str">
        <f>'Gluten HP'!D29</f>
        <v>NA</v>
      </c>
      <c r="H56" t="s">
        <v>352</v>
      </c>
    </row>
    <row r="57" spans="1:8" x14ac:dyDescent="0.35">
      <c r="A57" t="s">
        <v>542</v>
      </c>
      <c r="B57" t="s">
        <v>1016</v>
      </c>
      <c r="C57" t="s">
        <v>347</v>
      </c>
      <c r="D57" t="s">
        <v>740</v>
      </c>
      <c r="E57">
        <f>'Gluten HP'!B30</f>
        <v>0.2</v>
      </c>
      <c r="F57">
        <f>'Gluten HP'!C30</f>
        <v>0.22</v>
      </c>
      <c r="G57" t="str">
        <f>'Gluten HP'!D30</f>
        <v>NA</v>
      </c>
      <c r="H57" t="s">
        <v>352</v>
      </c>
    </row>
    <row r="58" spans="1:8" x14ac:dyDescent="0.35">
      <c r="A58" t="s">
        <v>542</v>
      </c>
      <c r="B58" t="s">
        <v>1015</v>
      </c>
      <c r="C58" t="s">
        <v>347</v>
      </c>
      <c r="D58" t="s">
        <v>740</v>
      </c>
      <c r="E58" s="5">
        <f>'Gluten HP'!$A$21</f>
        <v>0.63</v>
      </c>
      <c r="F58">
        <f>'Gluten HP'!$B$21</f>
        <v>0.72</v>
      </c>
      <c r="G58" s="5" t="s">
        <v>352</v>
      </c>
      <c r="H58" t="s">
        <v>352</v>
      </c>
    </row>
    <row r="59" spans="1:8" x14ac:dyDescent="0.35">
      <c r="A59" t="s">
        <v>542</v>
      </c>
      <c r="B59" t="s">
        <v>1014</v>
      </c>
      <c r="C59" t="s">
        <v>347</v>
      </c>
      <c r="D59" t="s">
        <v>740</v>
      </c>
      <c r="E59">
        <f>'Gluten HP'!B31</f>
        <v>0.85499999999999998</v>
      </c>
      <c r="F59">
        <f>'Gluten HP'!C31</f>
        <v>0.89500000000000002</v>
      </c>
      <c r="G59" t="str">
        <f>'Gluten HP'!D31</f>
        <v>NA</v>
      </c>
      <c r="H59" t="s">
        <v>352</v>
      </c>
    </row>
    <row r="60" spans="1:8" x14ac:dyDescent="0.35">
      <c r="A60" t="s">
        <v>542</v>
      </c>
      <c r="B60" t="s">
        <v>1013</v>
      </c>
      <c r="C60" t="s">
        <v>347</v>
      </c>
      <c r="D60" t="s">
        <v>353</v>
      </c>
      <c r="E60" t="str">
        <f>'Gluten HP'!B32</f>
        <v>NA</v>
      </c>
      <c r="F60" t="str">
        <f>'Gluten HP'!C32</f>
        <v>NA</v>
      </c>
      <c r="G60">
        <f>'Gluten HP'!D32</f>
        <v>0.95</v>
      </c>
      <c r="H60" t="s">
        <v>352</v>
      </c>
    </row>
    <row r="61" spans="1:8" x14ac:dyDescent="0.35">
      <c r="A61" t="s">
        <v>542</v>
      </c>
      <c r="B61" t="s">
        <v>1012</v>
      </c>
      <c r="C61" t="s">
        <v>347</v>
      </c>
      <c r="D61" t="s">
        <v>353</v>
      </c>
      <c r="E61" t="str">
        <f>'Gluten HP'!B33</f>
        <v>NA</v>
      </c>
      <c r="F61" t="str">
        <f>'Gluten HP'!C33</f>
        <v>NA</v>
      </c>
      <c r="G61">
        <f>'Gluten HP'!D33</f>
        <v>0.86</v>
      </c>
      <c r="H61" t="s">
        <v>352</v>
      </c>
    </row>
    <row r="62" spans="1:8" x14ac:dyDescent="0.35">
      <c r="A62" t="s">
        <v>542</v>
      </c>
      <c r="B62" t="s">
        <v>1011</v>
      </c>
      <c r="C62" t="s">
        <v>347</v>
      </c>
      <c r="D62" t="s">
        <v>353</v>
      </c>
      <c r="E62" t="str">
        <f>'Gluten HP'!B35</f>
        <v>NA</v>
      </c>
      <c r="F62" t="str">
        <f>'Gluten HP'!C35</f>
        <v>NA</v>
      </c>
      <c r="G62">
        <f>'Gluten HP'!D35</f>
        <v>0.55000000000000004</v>
      </c>
      <c r="H62" t="s">
        <v>352</v>
      </c>
    </row>
    <row r="63" spans="1:8" x14ac:dyDescent="0.35">
      <c r="A63" t="s">
        <v>542</v>
      </c>
      <c r="B63" t="s">
        <v>1010</v>
      </c>
      <c r="C63" t="s">
        <v>347</v>
      </c>
      <c r="D63" t="s">
        <v>740</v>
      </c>
      <c r="E63" s="5">
        <f>'Gluten HP'!B36</f>
        <v>0.52</v>
      </c>
      <c r="F63">
        <f>'Gluten HP'!C36</f>
        <v>0.55000000000000004</v>
      </c>
      <c r="G63" t="str">
        <f>'Gluten HP'!D36</f>
        <v>NA</v>
      </c>
      <c r="H63" t="s">
        <v>352</v>
      </c>
    </row>
    <row r="64" spans="1:8" x14ac:dyDescent="0.35">
      <c r="A64" t="s">
        <v>542</v>
      </c>
      <c r="B64" t="s">
        <v>1009</v>
      </c>
      <c r="C64" t="s">
        <v>347</v>
      </c>
      <c r="D64" t="s">
        <v>740</v>
      </c>
      <c r="E64" s="3">
        <f>'Gluten HP'!B37</f>
        <v>0.2</v>
      </c>
      <c r="F64">
        <f>'Gluten HP'!C37</f>
        <v>0.28000000000000003</v>
      </c>
      <c r="G64" t="str">
        <f>'Gluten HP'!D37</f>
        <v>NA</v>
      </c>
      <c r="H64" t="s">
        <v>352</v>
      </c>
    </row>
    <row r="65" spans="1:8" x14ac:dyDescent="0.35">
      <c r="A65" t="s">
        <v>542</v>
      </c>
      <c r="B65" t="s">
        <v>1008</v>
      </c>
      <c r="C65" t="s">
        <v>347</v>
      </c>
      <c r="D65" t="s">
        <v>740</v>
      </c>
      <c r="E65">
        <f>'Gluten HP'!B38</f>
        <v>7.0000000000000007E-2</v>
      </c>
      <c r="F65">
        <f>'Gluten HP'!C38</f>
        <v>0.1</v>
      </c>
      <c r="G65" t="str">
        <f>'Gluten HP'!D38</f>
        <v>NA</v>
      </c>
      <c r="H65" t="s">
        <v>352</v>
      </c>
    </row>
    <row r="66" spans="1:8" x14ac:dyDescent="0.35">
      <c r="A66" t="s">
        <v>542</v>
      </c>
      <c r="B66" t="s">
        <v>1007</v>
      </c>
      <c r="C66" t="s">
        <v>347</v>
      </c>
      <c r="D66" t="s">
        <v>740</v>
      </c>
      <c r="E66" s="5">
        <f>'Gluten HP'!B39</f>
        <v>0.03</v>
      </c>
      <c r="F66">
        <f>'Gluten HP'!C39</f>
        <v>7.0000000000000007E-2</v>
      </c>
      <c r="G66" t="str">
        <f>'Gluten HP'!D39</f>
        <v>NA</v>
      </c>
      <c r="H66" t="s">
        <v>352</v>
      </c>
    </row>
    <row r="67" spans="1:8" x14ac:dyDescent="0.35">
      <c r="A67" t="s">
        <v>542</v>
      </c>
      <c r="B67" t="s">
        <v>430</v>
      </c>
      <c r="C67" t="s">
        <v>347</v>
      </c>
      <c r="D67" t="s">
        <v>740</v>
      </c>
      <c r="E67" s="5">
        <f>'Gluten HP'!B55</f>
        <v>2.33</v>
      </c>
      <c r="F67" s="5">
        <f>'Gluten HP'!C55</f>
        <v>2.94</v>
      </c>
      <c r="G67" s="5" t="str">
        <f>'Gluten HP'!D55</f>
        <v>NA</v>
      </c>
      <c r="H67" t="s">
        <v>352</v>
      </c>
    </row>
    <row r="68" spans="1:8" x14ac:dyDescent="0.35">
      <c r="A68" t="s">
        <v>542</v>
      </c>
      <c r="B68" t="s">
        <v>551</v>
      </c>
      <c r="C68" t="s">
        <v>347</v>
      </c>
      <c r="D68" t="s">
        <v>740</v>
      </c>
      <c r="E68" s="5">
        <f>'Gluten HP'!B56</f>
        <v>3</v>
      </c>
      <c r="F68" s="5">
        <f>'Gluten HP'!C56</f>
        <v>8.6</v>
      </c>
      <c r="G68" s="5" t="str">
        <f>'Gluten HP'!D56</f>
        <v>NA</v>
      </c>
      <c r="H68" t="s">
        <v>352</v>
      </c>
    </row>
    <row r="69" spans="1:8" x14ac:dyDescent="0.35">
      <c r="A69" t="s">
        <v>542</v>
      </c>
      <c r="B69" t="s">
        <v>385</v>
      </c>
      <c r="C69" t="s">
        <v>347</v>
      </c>
      <c r="D69" t="s">
        <v>740</v>
      </c>
      <c r="E69">
        <f>'Gluten HP'!B53</f>
        <v>10</v>
      </c>
      <c r="F69">
        <f>'Gluten HP'!C53</f>
        <v>12</v>
      </c>
      <c r="G69" t="s">
        <v>352</v>
      </c>
      <c r="H69" t="s">
        <v>352</v>
      </c>
    </row>
    <row r="70" spans="1:8" x14ac:dyDescent="0.35">
      <c r="A70" t="s">
        <v>542</v>
      </c>
      <c r="B70" t="s">
        <v>384</v>
      </c>
      <c r="C70" t="s">
        <v>347</v>
      </c>
      <c r="D70" t="s">
        <v>346</v>
      </c>
      <c r="E70">
        <f>'Gluten HP'!B50</f>
        <v>5</v>
      </c>
      <c r="F70">
        <f>'Gluten HP'!C50</f>
        <v>20</v>
      </c>
      <c r="G70">
        <f>'Gluten HP'!D50</f>
        <v>12</v>
      </c>
      <c r="H70" t="s">
        <v>352</v>
      </c>
    </row>
    <row r="71" spans="1:8" x14ac:dyDescent="0.35">
      <c r="A71" t="s">
        <v>542</v>
      </c>
      <c r="B71" t="s">
        <v>482</v>
      </c>
      <c r="C71" t="s">
        <v>347</v>
      </c>
      <c r="D71" t="s">
        <v>353</v>
      </c>
      <c r="E71" t="s">
        <v>352</v>
      </c>
      <c r="F71" t="s">
        <v>352</v>
      </c>
      <c r="G71" s="5">
        <f>'Gluten HP'!A15</f>
        <v>0.03</v>
      </c>
      <c r="H71" t="s">
        <v>352</v>
      </c>
    </row>
    <row r="72" spans="1:8" x14ac:dyDescent="0.35">
      <c r="A72" t="s">
        <v>542</v>
      </c>
      <c r="B72" t="s">
        <v>483</v>
      </c>
      <c r="C72" t="s">
        <v>347</v>
      </c>
      <c r="D72" t="s">
        <v>353</v>
      </c>
      <c r="E72" t="s">
        <v>352</v>
      </c>
      <c r="F72" t="s">
        <v>352</v>
      </c>
      <c r="G72" s="231">
        <f>'Gluten HP'!A17</f>
        <v>0.1781253246753246</v>
      </c>
      <c r="H72" t="s">
        <v>352</v>
      </c>
    </row>
    <row r="73" spans="1:8" x14ac:dyDescent="0.35">
      <c r="A73" t="s">
        <v>542</v>
      </c>
      <c r="B73" t="s">
        <v>484</v>
      </c>
      <c r="C73" t="s">
        <v>347</v>
      </c>
      <c r="D73" t="s">
        <v>353</v>
      </c>
      <c r="E73" t="s">
        <v>352</v>
      </c>
      <c r="F73" t="s">
        <v>352</v>
      </c>
      <c r="G73" s="3">
        <f>'Gluten HP'!B59</f>
        <v>2.5</v>
      </c>
      <c r="H73" t="s">
        <v>352</v>
      </c>
    </row>
    <row r="74" spans="1:8" x14ac:dyDescent="0.35">
      <c r="A74" t="s">
        <v>542</v>
      </c>
      <c r="B74" t="s">
        <v>485</v>
      </c>
      <c r="C74" t="s">
        <v>347</v>
      </c>
      <c r="D74" t="s">
        <v>353</v>
      </c>
      <c r="E74" t="s">
        <v>352</v>
      </c>
      <c r="F74" t="s">
        <v>352</v>
      </c>
      <c r="G74" s="202">
        <f>'Gluten HP'!B60</f>
        <v>1.7304728308622641</v>
      </c>
      <c r="H74" t="s">
        <v>352</v>
      </c>
    </row>
    <row r="75" spans="1:8" x14ac:dyDescent="0.35">
      <c r="A75" t="s">
        <v>542</v>
      </c>
      <c r="B75" t="s">
        <v>486</v>
      </c>
      <c r="C75" t="s">
        <v>347</v>
      </c>
      <c r="D75" t="s">
        <v>353</v>
      </c>
      <c r="E75" t="s">
        <v>352</v>
      </c>
      <c r="F75" t="s">
        <v>352</v>
      </c>
      <c r="G75" s="5">
        <f>'Gluten HP'!B62</f>
        <v>1.9444444444444444</v>
      </c>
      <c r="H75" t="s">
        <v>352</v>
      </c>
    </row>
    <row r="76" spans="1:8" x14ac:dyDescent="0.35">
      <c r="A76" t="s">
        <v>542</v>
      </c>
      <c r="B76" t="s">
        <v>487</v>
      </c>
      <c r="C76" t="s">
        <v>347</v>
      </c>
      <c r="D76" t="s">
        <v>353</v>
      </c>
      <c r="E76" t="s">
        <v>352</v>
      </c>
      <c r="F76" t="s">
        <v>352</v>
      </c>
      <c r="G76" s="202">
        <f>'Gluten HP'!B65</f>
        <v>0.18018701298701298</v>
      </c>
      <c r="H76" t="s">
        <v>352</v>
      </c>
    </row>
    <row r="77" spans="1:8" x14ac:dyDescent="0.35">
      <c r="A77" t="s">
        <v>542</v>
      </c>
      <c r="B77" t="s">
        <v>488</v>
      </c>
      <c r="C77" t="s">
        <v>347</v>
      </c>
      <c r="D77" t="s">
        <v>353</v>
      </c>
      <c r="E77" t="s">
        <v>352</v>
      </c>
      <c r="F77" t="s">
        <v>352</v>
      </c>
      <c r="G77" s="202">
        <f>'Gluten HP'!B66</f>
        <v>2.0649431688311686</v>
      </c>
      <c r="H77" t="s">
        <v>352</v>
      </c>
    </row>
    <row r="78" spans="1:8" x14ac:dyDescent="0.35">
      <c r="A78" t="s">
        <v>542</v>
      </c>
      <c r="B78" t="s">
        <v>489</v>
      </c>
      <c r="C78" t="s">
        <v>347</v>
      </c>
      <c r="D78" t="s">
        <v>353</v>
      </c>
      <c r="E78" t="s">
        <v>352</v>
      </c>
      <c r="F78" t="s">
        <v>352</v>
      </c>
      <c r="G78" s="202">
        <f>'Gluten HP'!B67</f>
        <v>3.0982857172605653</v>
      </c>
      <c r="H78" t="s">
        <v>352</v>
      </c>
    </row>
    <row r="79" spans="1:8" x14ac:dyDescent="0.35">
      <c r="A79" t="s">
        <v>542</v>
      </c>
      <c r="B79" t="s">
        <v>1038</v>
      </c>
      <c r="C79" t="s">
        <v>347</v>
      </c>
      <c r="D79" t="s">
        <v>353</v>
      </c>
      <c r="E79" t="s">
        <v>352</v>
      </c>
      <c r="F79" t="s">
        <v>352</v>
      </c>
      <c r="G79" s="202">
        <f>'Gluten HP'!B63</f>
        <v>3.1460674157303368</v>
      </c>
      <c r="H79" t="s">
        <v>352</v>
      </c>
    </row>
    <row r="80" spans="1:8" x14ac:dyDescent="0.35">
      <c r="A80" t="s">
        <v>542</v>
      </c>
      <c r="B80" t="s">
        <v>1039</v>
      </c>
      <c r="C80" t="s">
        <v>347</v>
      </c>
      <c r="D80" t="s">
        <v>353</v>
      </c>
      <c r="E80" t="s">
        <v>352</v>
      </c>
      <c r="F80" t="s">
        <v>352</v>
      </c>
      <c r="G80" s="202">
        <f>'Gluten HP'!B64</f>
        <v>3.7390499269103827</v>
      </c>
      <c r="H80" t="s">
        <v>352</v>
      </c>
    </row>
    <row r="81" spans="1:8" x14ac:dyDescent="0.35">
      <c r="A81" t="s">
        <v>542</v>
      </c>
      <c r="B81" t="s">
        <v>1006</v>
      </c>
      <c r="C81" t="s">
        <v>347</v>
      </c>
      <c r="D81" t="s">
        <v>353</v>
      </c>
      <c r="E81" t="s">
        <v>352</v>
      </c>
      <c r="F81" t="s">
        <v>352</v>
      </c>
      <c r="G81" s="202">
        <f>'Gluten HP'!B69</f>
        <v>1.0507472814241459</v>
      </c>
      <c r="H81" t="s">
        <v>352</v>
      </c>
    </row>
    <row r="82" spans="1:8" x14ac:dyDescent="0.35">
      <c r="A82" t="s">
        <v>542</v>
      </c>
      <c r="B82" t="s">
        <v>1005</v>
      </c>
      <c r="C82" t="s">
        <v>347</v>
      </c>
      <c r="D82" t="s">
        <v>353</v>
      </c>
      <c r="E82" t="s">
        <v>352</v>
      </c>
      <c r="F82" t="s">
        <v>352</v>
      </c>
      <c r="G82" s="92">
        <f>'Gluten HP'!B70</f>
        <v>1.0042500000000001</v>
      </c>
      <c r="H82" t="s">
        <v>352</v>
      </c>
    </row>
    <row r="83" spans="1:8" x14ac:dyDescent="0.35">
      <c r="A83" t="s">
        <v>542</v>
      </c>
      <c r="B83" t="s">
        <v>1004</v>
      </c>
      <c r="C83" t="s">
        <v>347</v>
      </c>
      <c r="D83" t="s">
        <v>353</v>
      </c>
      <c r="E83" t="s">
        <v>352</v>
      </c>
      <c r="F83" t="s">
        <v>352</v>
      </c>
      <c r="G83" s="92">
        <f>'Gluten HP'!B71</f>
        <v>1.2407499999999998</v>
      </c>
      <c r="H83" t="s">
        <v>352</v>
      </c>
    </row>
    <row r="84" spans="1:8" x14ac:dyDescent="0.35">
      <c r="A84" t="s">
        <v>542</v>
      </c>
      <c r="B84" t="s">
        <v>1003</v>
      </c>
      <c r="C84" t="s">
        <v>347</v>
      </c>
      <c r="D84" t="s">
        <v>353</v>
      </c>
      <c r="E84" t="s">
        <v>352</v>
      </c>
      <c r="F84" t="s">
        <v>352</v>
      </c>
      <c r="G84" s="202">
        <f>'Gluten HP'!B72</f>
        <v>1.0793828177040929</v>
      </c>
      <c r="H84" t="s">
        <v>352</v>
      </c>
    </row>
    <row r="85" spans="1:8" x14ac:dyDescent="0.35">
      <c r="A85" t="s">
        <v>542</v>
      </c>
      <c r="B85" t="s">
        <v>1002</v>
      </c>
      <c r="C85" t="s">
        <v>347</v>
      </c>
      <c r="D85" t="s">
        <v>353</v>
      </c>
      <c r="E85" t="s">
        <v>352</v>
      </c>
      <c r="F85" t="s">
        <v>352</v>
      </c>
      <c r="G85" s="69">
        <f>'Gluten HP'!B73</f>
        <v>1.0044999999999999</v>
      </c>
      <c r="H85" t="s">
        <v>352</v>
      </c>
    </row>
    <row r="86" spans="1:8" x14ac:dyDescent="0.35">
      <c r="A86" t="s">
        <v>542</v>
      </c>
      <c r="B86" t="s">
        <v>1001</v>
      </c>
      <c r="C86" t="s">
        <v>347</v>
      </c>
      <c r="D86" t="s">
        <v>353</v>
      </c>
      <c r="E86" t="s">
        <v>352</v>
      </c>
      <c r="F86" t="s">
        <v>352</v>
      </c>
      <c r="G86" s="202">
        <f>'Gluten HP'!B74</f>
        <v>1.0467455293826824</v>
      </c>
      <c r="H86" t="s">
        <v>352</v>
      </c>
    </row>
    <row r="87" spans="1:8" x14ac:dyDescent="0.35">
      <c r="A87" t="s">
        <v>543</v>
      </c>
      <c r="B87" t="s">
        <v>383</v>
      </c>
      <c r="C87" t="s">
        <v>347</v>
      </c>
      <c r="D87" t="s">
        <v>346</v>
      </c>
      <c r="E87">
        <f>SPI!F26</f>
        <v>0.86499999999999999</v>
      </c>
      <c r="F87">
        <f>SPI!G26</f>
        <v>0.95200000000000007</v>
      </c>
      <c r="G87" s="4">
        <f>SPI!H26</f>
        <v>0.92900000000000005</v>
      </c>
      <c r="H87" t="s">
        <v>352</v>
      </c>
    </row>
    <row r="88" spans="1:8" x14ac:dyDescent="0.35">
      <c r="A88" t="s">
        <v>543</v>
      </c>
      <c r="B88" t="s">
        <v>382</v>
      </c>
      <c r="C88" t="s">
        <v>347</v>
      </c>
      <c r="D88" t="s">
        <v>346</v>
      </c>
      <c r="E88">
        <f>SPI!F27</f>
        <v>0.51</v>
      </c>
      <c r="F88">
        <f>SPI!G27</f>
        <v>0.625</v>
      </c>
      <c r="G88">
        <f>SPI!H27</f>
        <v>0.59</v>
      </c>
      <c r="H88" t="s">
        <v>352</v>
      </c>
    </row>
    <row r="89" spans="1:8" x14ac:dyDescent="0.35">
      <c r="A89" t="s">
        <v>543</v>
      </c>
      <c r="B89" t="s">
        <v>381</v>
      </c>
      <c r="C89" t="s">
        <v>347</v>
      </c>
      <c r="D89" t="s">
        <v>346</v>
      </c>
      <c r="E89">
        <f>SPI!F28</f>
        <v>0.57299999999999995</v>
      </c>
      <c r="F89">
        <f>SPI!G28</f>
        <v>0.85499999999999998</v>
      </c>
      <c r="G89">
        <f>SPI!H28</f>
        <v>0.75349999999999995</v>
      </c>
      <c r="H89" t="s">
        <v>352</v>
      </c>
    </row>
    <row r="90" spans="1:8" x14ac:dyDescent="0.35">
      <c r="A90" t="s">
        <v>543</v>
      </c>
      <c r="B90" t="s">
        <v>380</v>
      </c>
      <c r="C90" t="s">
        <v>347</v>
      </c>
      <c r="D90" t="s">
        <v>353</v>
      </c>
      <c r="E90" t="str">
        <f>SPI!F29</f>
        <v>NA</v>
      </c>
      <c r="F90" t="str">
        <f>SPI!G29</f>
        <v>NA</v>
      </c>
      <c r="G90">
        <f>SPI!H29</f>
        <v>0.88</v>
      </c>
      <c r="H90" t="s">
        <v>352</v>
      </c>
    </row>
    <row r="91" spans="1:8" x14ac:dyDescent="0.35">
      <c r="A91" t="s">
        <v>543</v>
      </c>
      <c r="B91" t="s">
        <v>737</v>
      </c>
      <c r="C91" t="s">
        <v>347</v>
      </c>
      <c r="D91" t="s">
        <v>353</v>
      </c>
      <c r="E91" t="str">
        <f>SPI!F30</f>
        <v>NA</v>
      </c>
      <c r="F91" t="str">
        <f>SPI!G30</f>
        <v>NA</v>
      </c>
      <c r="G91">
        <f>SPI!H30</f>
        <v>0.95</v>
      </c>
      <c r="H91" t="s">
        <v>352</v>
      </c>
    </row>
    <row r="92" spans="1:8" x14ac:dyDescent="0.35">
      <c r="A92" t="s">
        <v>543</v>
      </c>
      <c r="B92" t="s">
        <v>491</v>
      </c>
      <c r="C92" t="s">
        <v>347</v>
      </c>
      <c r="D92" t="s">
        <v>353</v>
      </c>
      <c r="E92" t="str">
        <f>SPI!F43</f>
        <v>NA</v>
      </c>
      <c r="F92" t="str">
        <f>SPI!G43</f>
        <v>NA</v>
      </c>
      <c r="G92">
        <f>SPI!H43</f>
        <v>23.4</v>
      </c>
      <c r="H92" t="s">
        <v>352</v>
      </c>
    </row>
    <row r="93" spans="1:8" x14ac:dyDescent="0.35">
      <c r="A93" t="s">
        <v>543</v>
      </c>
      <c r="B93" t="s">
        <v>761</v>
      </c>
      <c r="C93" t="s">
        <v>347</v>
      </c>
      <c r="D93" t="s">
        <v>346</v>
      </c>
      <c r="E93">
        <f>SPI!F40</f>
        <v>10</v>
      </c>
      <c r="F93">
        <f>SPI!G40</f>
        <v>20</v>
      </c>
      <c r="G93">
        <f>SPI!H40</f>
        <v>10</v>
      </c>
      <c r="H93" t="s">
        <v>352</v>
      </c>
    </row>
    <row r="94" spans="1:8" x14ac:dyDescent="0.35">
      <c r="A94" t="s">
        <v>543</v>
      </c>
      <c r="B94" t="s">
        <v>379</v>
      </c>
      <c r="C94" t="s">
        <v>347</v>
      </c>
      <c r="D94" t="s">
        <v>346</v>
      </c>
      <c r="E94">
        <f>SPI!F36</f>
        <v>28</v>
      </c>
      <c r="F94">
        <f>SPI!G36</f>
        <v>61</v>
      </c>
      <c r="G94">
        <f>SPI!H36</f>
        <v>33</v>
      </c>
      <c r="H94" t="s">
        <v>352</v>
      </c>
    </row>
    <row r="95" spans="1:8" x14ac:dyDescent="0.35">
      <c r="A95" t="s">
        <v>543</v>
      </c>
      <c r="B95" t="s">
        <v>492</v>
      </c>
      <c r="C95" t="s">
        <v>347</v>
      </c>
      <c r="D95" t="s">
        <v>353</v>
      </c>
      <c r="E95" t="s">
        <v>352</v>
      </c>
      <c r="F95" t="s">
        <v>352</v>
      </c>
      <c r="G95" s="231">
        <f>SPI!F46</f>
        <v>0.27450157783849927</v>
      </c>
      <c r="H95" t="s">
        <v>352</v>
      </c>
    </row>
    <row r="96" spans="1:8" x14ac:dyDescent="0.35">
      <c r="A96" t="s">
        <v>543</v>
      </c>
      <c r="B96" t="s">
        <v>493</v>
      </c>
      <c r="C96" t="s">
        <v>347</v>
      </c>
      <c r="D96" t="s">
        <v>353</v>
      </c>
      <c r="E96" t="s">
        <v>352</v>
      </c>
      <c r="F96" t="s">
        <v>352</v>
      </c>
      <c r="G96" s="202">
        <f>SPI!F47</f>
        <v>0.57879302254975029</v>
      </c>
      <c r="H96" t="s">
        <v>352</v>
      </c>
    </row>
    <row r="97" spans="1:8" x14ac:dyDescent="0.35">
      <c r="A97" t="s">
        <v>543</v>
      </c>
      <c r="B97" t="s">
        <v>494</v>
      </c>
      <c r="C97" t="s">
        <v>347</v>
      </c>
      <c r="D97" t="s">
        <v>353</v>
      </c>
      <c r="E97" t="s">
        <v>352</v>
      </c>
      <c r="F97" t="s">
        <v>352</v>
      </c>
      <c r="G97" s="231">
        <f>SPI!F50</f>
        <v>2.9166666666666664E-3</v>
      </c>
      <c r="H97" t="s">
        <v>352</v>
      </c>
    </row>
    <row r="98" spans="1:8" x14ac:dyDescent="0.35">
      <c r="A98" t="s">
        <v>543</v>
      </c>
      <c r="B98" t="s">
        <v>495</v>
      </c>
      <c r="C98" t="s">
        <v>347</v>
      </c>
      <c r="D98" t="s">
        <v>353</v>
      </c>
      <c r="E98" t="s">
        <v>352</v>
      </c>
      <c r="F98" t="s">
        <v>352</v>
      </c>
      <c r="G98" s="92">
        <f>SPI!F51</f>
        <v>1.25E-3</v>
      </c>
      <c r="H98" t="s">
        <v>352</v>
      </c>
    </row>
    <row r="99" spans="1:8" x14ac:dyDescent="0.35">
      <c r="A99" t="s">
        <v>543</v>
      </c>
      <c r="B99" t="s">
        <v>552</v>
      </c>
      <c r="C99" t="s">
        <v>347</v>
      </c>
      <c r="D99" t="s">
        <v>353</v>
      </c>
      <c r="E99" t="s">
        <v>352</v>
      </c>
      <c r="F99" t="s">
        <v>352</v>
      </c>
      <c r="G99" s="69">
        <f>SPI!F53</f>
        <v>1.0625</v>
      </c>
      <c r="H99" t="s">
        <v>352</v>
      </c>
    </row>
    <row r="100" spans="1:8" x14ac:dyDescent="0.35">
      <c r="A100" t="s">
        <v>543</v>
      </c>
      <c r="B100" t="s">
        <v>553</v>
      </c>
      <c r="C100" t="s">
        <v>347</v>
      </c>
      <c r="D100" t="s">
        <v>353</v>
      </c>
      <c r="E100" t="s">
        <v>352</v>
      </c>
      <c r="F100" t="s">
        <v>352</v>
      </c>
      <c r="G100" s="231">
        <f>SPI!F54</f>
        <v>6.2386722236022561E-2</v>
      </c>
      <c r="H100" t="s">
        <v>352</v>
      </c>
    </row>
    <row r="101" spans="1:8" x14ac:dyDescent="0.35">
      <c r="A101" t="s">
        <v>543</v>
      </c>
      <c r="B101" t="s">
        <v>554</v>
      </c>
      <c r="C101" t="s">
        <v>347</v>
      </c>
      <c r="D101" t="s">
        <v>353</v>
      </c>
      <c r="E101" t="s">
        <v>352</v>
      </c>
      <c r="F101" t="s">
        <v>352</v>
      </c>
      <c r="G101" s="231">
        <f>SPI!F55</f>
        <v>-0.77717997019127161</v>
      </c>
      <c r="H101" t="s">
        <v>352</v>
      </c>
    </row>
    <row r="102" spans="1:8" x14ac:dyDescent="0.35">
      <c r="A102" t="s">
        <v>543</v>
      </c>
      <c r="B102" t="s">
        <v>555</v>
      </c>
      <c r="C102" t="s">
        <v>347</v>
      </c>
      <c r="D102" t="s">
        <v>353</v>
      </c>
      <c r="E102" t="s">
        <v>352</v>
      </c>
      <c r="F102" t="s">
        <v>352</v>
      </c>
      <c r="G102" s="202">
        <f>SPI!F56</f>
        <v>2.2451870345110114</v>
      </c>
      <c r="H102" t="s">
        <v>352</v>
      </c>
    </row>
    <row r="103" spans="1:8" x14ac:dyDescent="0.35">
      <c r="A103" t="s">
        <v>543</v>
      </c>
      <c r="B103" t="s">
        <v>1034</v>
      </c>
      <c r="C103" t="s">
        <v>347</v>
      </c>
      <c r="D103" t="s">
        <v>353</v>
      </c>
      <c r="E103" t="s">
        <v>352</v>
      </c>
      <c r="F103" t="s">
        <v>352</v>
      </c>
      <c r="G103" s="231">
        <f>SPI!F60</f>
        <v>0.10557752993788429</v>
      </c>
      <c r="H103" t="s">
        <v>352</v>
      </c>
    </row>
    <row r="104" spans="1:8" x14ac:dyDescent="0.35">
      <c r="A104" t="s">
        <v>543</v>
      </c>
      <c r="B104" t="s">
        <v>496</v>
      </c>
      <c r="C104" t="s">
        <v>347</v>
      </c>
      <c r="D104" t="s">
        <v>353</v>
      </c>
      <c r="E104" t="s">
        <v>352</v>
      </c>
      <c r="F104" t="s">
        <v>352</v>
      </c>
      <c r="G104" s="69">
        <f>SPI!F58</f>
        <v>1.0625</v>
      </c>
      <c r="H104" t="s">
        <v>352</v>
      </c>
    </row>
    <row r="105" spans="1:8" x14ac:dyDescent="0.35">
      <c r="A105" t="s">
        <v>543</v>
      </c>
      <c r="B105" t="s">
        <v>844</v>
      </c>
      <c r="C105" t="s">
        <v>347</v>
      </c>
      <c r="D105" t="s">
        <v>353</v>
      </c>
      <c r="E105" t="s">
        <v>352</v>
      </c>
      <c r="F105" t="s">
        <v>352</v>
      </c>
      <c r="G105" s="202">
        <f>SPI!F62</f>
        <v>1.0378305084745763</v>
      </c>
      <c r="H105" t="s">
        <v>352</v>
      </c>
    </row>
    <row r="106" spans="1:8" x14ac:dyDescent="0.35">
      <c r="A106" t="s">
        <v>543</v>
      </c>
      <c r="B106" t="s">
        <v>845</v>
      </c>
      <c r="C106" t="s">
        <v>347</v>
      </c>
      <c r="D106" t="s">
        <v>353</v>
      </c>
      <c r="E106" t="s">
        <v>352</v>
      </c>
      <c r="F106" t="s">
        <v>352</v>
      </c>
      <c r="G106" s="202">
        <f>SPI!F63</f>
        <v>1.0357966101694915</v>
      </c>
      <c r="H106" t="s">
        <v>352</v>
      </c>
    </row>
    <row r="107" spans="1:8" x14ac:dyDescent="0.35">
      <c r="A107" t="s">
        <v>543</v>
      </c>
      <c r="B107" t="s">
        <v>846</v>
      </c>
      <c r="C107" t="s">
        <v>347</v>
      </c>
      <c r="D107" t="s">
        <v>353</v>
      </c>
      <c r="E107" t="s">
        <v>352</v>
      </c>
      <c r="F107" t="s">
        <v>352</v>
      </c>
      <c r="G107" s="230">
        <f>SPI!F64</f>
        <v>1.0285339402448046</v>
      </c>
      <c r="H107" t="s">
        <v>352</v>
      </c>
    </row>
    <row r="108" spans="1:8" x14ac:dyDescent="0.35">
      <c r="A108" t="s">
        <v>543</v>
      </c>
      <c r="B108" t="s">
        <v>847</v>
      </c>
      <c r="C108" t="s">
        <v>347</v>
      </c>
      <c r="D108" t="s">
        <v>353</v>
      </c>
      <c r="E108" t="s">
        <v>352</v>
      </c>
      <c r="F108" t="s">
        <v>352</v>
      </c>
      <c r="G108" s="202">
        <f>SPI!F65</f>
        <v>1.0286370496485895</v>
      </c>
      <c r="H108" t="s">
        <v>352</v>
      </c>
    </row>
    <row r="109" spans="1:8" x14ac:dyDescent="0.35">
      <c r="A109" t="s">
        <v>544</v>
      </c>
      <c r="B109" t="s">
        <v>378</v>
      </c>
      <c r="C109" t="s">
        <v>347</v>
      </c>
      <c r="D109" t="s">
        <v>346</v>
      </c>
      <c r="E109" s="231">
        <f>SPC!B26</f>
        <v>0.62105263157894741</v>
      </c>
      <c r="F109" s="231">
        <f>SPC!C26</f>
        <v>0.72631578947368425</v>
      </c>
      <c r="G109" s="3">
        <f>SPC!D26</f>
        <v>0.7</v>
      </c>
      <c r="H109" t="s">
        <v>352</v>
      </c>
    </row>
    <row r="110" spans="1:8" x14ac:dyDescent="0.35">
      <c r="A110" t="s">
        <v>544</v>
      </c>
      <c r="B110" t="s">
        <v>377</v>
      </c>
      <c r="C110" t="s">
        <v>347</v>
      </c>
      <c r="D110" t="s">
        <v>346</v>
      </c>
      <c r="E110" s="5">
        <f>SPC!B27</f>
        <v>0.51</v>
      </c>
      <c r="F110" s="4">
        <f>SPC!C27</f>
        <v>0.625</v>
      </c>
      <c r="G110" s="5">
        <f>SPC!D27</f>
        <v>0.59</v>
      </c>
      <c r="H110" t="s">
        <v>352</v>
      </c>
    </row>
    <row r="111" spans="1:8" x14ac:dyDescent="0.35">
      <c r="A111" t="s">
        <v>544</v>
      </c>
      <c r="B111" t="s">
        <v>376</v>
      </c>
      <c r="C111" t="s">
        <v>347</v>
      </c>
      <c r="D111" t="s">
        <v>346</v>
      </c>
      <c r="E111">
        <f>SPC!B28</f>
        <v>0.9</v>
      </c>
      <c r="F111">
        <f>SPC!C28</f>
        <v>0.98</v>
      </c>
      <c r="G111">
        <f>SPC!D28</f>
        <v>0.92500000000000004</v>
      </c>
      <c r="H111" t="s">
        <v>352</v>
      </c>
    </row>
    <row r="112" spans="1:8" x14ac:dyDescent="0.35">
      <c r="A112" t="s">
        <v>544</v>
      </c>
      <c r="B112" t="s">
        <v>375</v>
      </c>
      <c r="C112" t="s">
        <v>347</v>
      </c>
      <c r="D112" t="s">
        <v>353</v>
      </c>
      <c r="E112" t="str">
        <f>SPC!B29</f>
        <v>NA</v>
      </c>
      <c r="F112" t="str">
        <f>SPC!C29</f>
        <v>NA</v>
      </c>
      <c r="G112">
        <f>SPC!D29</f>
        <v>0.88</v>
      </c>
      <c r="H112" t="s">
        <v>352</v>
      </c>
    </row>
    <row r="113" spans="1:8" x14ac:dyDescent="0.35">
      <c r="A113" t="s">
        <v>544</v>
      </c>
      <c r="B113" t="s">
        <v>738</v>
      </c>
      <c r="C113" t="s">
        <v>347</v>
      </c>
      <c r="D113" t="s">
        <v>353</v>
      </c>
      <c r="E113" t="str">
        <f>SPC!B30</f>
        <v>NA</v>
      </c>
      <c r="F113" t="str">
        <f>SPC!C30</f>
        <v>NA</v>
      </c>
      <c r="G113">
        <f>SPC!D30</f>
        <v>0.95</v>
      </c>
      <c r="H113" t="s">
        <v>352</v>
      </c>
    </row>
    <row r="114" spans="1:8" x14ac:dyDescent="0.35">
      <c r="A114" t="s">
        <v>544</v>
      </c>
      <c r="B114" t="s">
        <v>431</v>
      </c>
      <c r="C114" t="s">
        <v>347</v>
      </c>
      <c r="D114" t="s">
        <v>740</v>
      </c>
      <c r="E114" s="5">
        <f>SPC!B49</f>
        <v>22.57</v>
      </c>
      <c r="F114">
        <f>SPC!C49</f>
        <v>24.19</v>
      </c>
      <c r="G114" t="str">
        <f>SPC!D49</f>
        <v>NA</v>
      </c>
      <c r="H114" t="s">
        <v>352</v>
      </c>
    </row>
    <row r="115" spans="1:8" x14ac:dyDescent="0.35">
      <c r="A115" t="s">
        <v>544</v>
      </c>
      <c r="B115" t="s">
        <v>508</v>
      </c>
      <c r="C115" t="s">
        <v>347</v>
      </c>
      <c r="D115" t="s">
        <v>740</v>
      </c>
      <c r="E115">
        <f>SPC!B45</f>
        <v>0</v>
      </c>
      <c r="F115" s="5">
        <f>SPC!C45</f>
        <v>110.01017420760941</v>
      </c>
      <c r="G115" t="str">
        <f>SPC!D45</f>
        <v>NA</v>
      </c>
      <c r="H115" t="s">
        <v>352</v>
      </c>
    </row>
    <row r="116" spans="1:8" x14ac:dyDescent="0.35">
      <c r="A116" t="s">
        <v>544</v>
      </c>
      <c r="B116" t="s">
        <v>374</v>
      </c>
      <c r="C116" t="s">
        <v>347</v>
      </c>
      <c r="D116" t="s">
        <v>346</v>
      </c>
      <c r="E116" s="5">
        <f>SPC!B46</f>
        <v>0.44075829383886261</v>
      </c>
      <c r="F116" s="5">
        <f>SPC!C46</f>
        <v>0.49821428571428572</v>
      </c>
      <c r="G116" s="5">
        <f>SPC!D46</f>
        <v>0.47773972602739734</v>
      </c>
      <c r="H116" t="s">
        <v>352</v>
      </c>
    </row>
    <row r="117" spans="1:8" x14ac:dyDescent="0.35">
      <c r="A117" t="s">
        <v>544</v>
      </c>
      <c r="B117" t="s">
        <v>373</v>
      </c>
      <c r="C117" t="s">
        <v>347</v>
      </c>
      <c r="D117" t="s">
        <v>346</v>
      </c>
      <c r="E117" s="5">
        <f>SPC!B47</f>
        <v>0.51571164510166367</v>
      </c>
      <c r="F117" s="5">
        <f>SPC!C47</f>
        <v>0.57407407407407418</v>
      </c>
      <c r="G117" s="5">
        <f>SPC!D47</f>
        <v>0.55577689243027895</v>
      </c>
      <c r="H117" t="s">
        <v>352</v>
      </c>
    </row>
    <row r="118" spans="1:8" x14ac:dyDescent="0.35">
      <c r="A118" t="s">
        <v>544</v>
      </c>
      <c r="B118" t="s">
        <v>498</v>
      </c>
      <c r="C118" t="s">
        <v>347</v>
      </c>
      <c r="D118" t="s">
        <v>353</v>
      </c>
      <c r="E118" t="s">
        <v>352</v>
      </c>
      <c r="F118" t="s">
        <v>352</v>
      </c>
      <c r="G118" s="227">
        <f>SPC!B52</f>
        <v>0.39492187499999998</v>
      </c>
      <c r="H118" t="s">
        <v>352</v>
      </c>
    </row>
    <row r="119" spans="1:8" x14ac:dyDescent="0.35">
      <c r="A119" t="s">
        <v>544</v>
      </c>
      <c r="B119" t="s">
        <v>499</v>
      </c>
      <c r="C119" t="s">
        <v>347</v>
      </c>
      <c r="D119" t="s">
        <v>353</v>
      </c>
      <c r="E119" t="s">
        <v>352</v>
      </c>
      <c r="F119" t="s">
        <v>352</v>
      </c>
      <c r="G119" s="202">
        <f>SPC!B54</f>
        <v>2.3550131950409741</v>
      </c>
      <c r="H119" t="s">
        <v>352</v>
      </c>
    </row>
    <row r="120" spans="1:8" x14ac:dyDescent="0.35">
      <c r="A120" t="s">
        <v>544</v>
      </c>
      <c r="B120" t="s">
        <v>500</v>
      </c>
      <c r="C120" t="s">
        <v>347</v>
      </c>
      <c r="D120" t="s">
        <v>353</v>
      </c>
      <c r="E120" t="s">
        <v>352</v>
      </c>
      <c r="F120" t="s">
        <v>352</v>
      </c>
      <c r="G120" s="228">
        <f>SPC!B56</f>
        <v>3.8554687500000008E-3</v>
      </c>
      <c r="H120" t="s">
        <v>352</v>
      </c>
    </row>
    <row r="121" spans="1:8" x14ac:dyDescent="0.35">
      <c r="A121" t="s">
        <v>544</v>
      </c>
      <c r="B121" t="s">
        <v>501</v>
      </c>
      <c r="C121" t="s">
        <v>347</v>
      </c>
      <c r="D121" t="s">
        <v>353</v>
      </c>
      <c r="E121" t="s">
        <v>352</v>
      </c>
      <c r="F121" t="s">
        <v>352</v>
      </c>
      <c r="G121" s="226">
        <f>SPC!B58</f>
        <v>11</v>
      </c>
      <c r="H121" t="s">
        <v>352</v>
      </c>
    </row>
    <row r="122" spans="1:8" x14ac:dyDescent="0.35">
      <c r="A122" t="s">
        <v>544</v>
      </c>
      <c r="B122" t="s">
        <v>502</v>
      </c>
      <c r="C122" t="s">
        <v>347</v>
      </c>
      <c r="D122" t="s">
        <v>353</v>
      </c>
      <c r="E122" t="s">
        <v>352</v>
      </c>
      <c r="F122" t="s">
        <v>352</v>
      </c>
      <c r="G122" s="226">
        <f>SPC!B59</f>
        <v>11</v>
      </c>
      <c r="H122" t="s">
        <v>352</v>
      </c>
    </row>
    <row r="123" spans="1:8" x14ac:dyDescent="0.35">
      <c r="A123" t="s">
        <v>544</v>
      </c>
      <c r="B123" t="s">
        <v>503</v>
      </c>
      <c r="C123" t="s">
        <v>347</v>
      </c>
      <c r="D123" t="s">
        <v>353</v>
      </c>
      <c r="E123" t="s">
        <v>352</v>
      </c>
      <c r="F123" t="s">
        <v>352</v>
      </c>
      <c r="G123" s="230">
        <f>SPC!B60</f>
        <v>6.9384973834652994</v>
      </c>
      <c r="H123" t="s">
        <v>352</v>
      </c>
    </row>
    <row r="124" spans="1:8" x14ac:dyDescent="0.35">
      <c r="A124" t="s">
        <v>544</v>
      </c>
      <c r="B124" t="s">
        <v>504</v>
      </c>
      <c r="C124" t="s">
        <v>347</v>
      </c>
      <c r="D124" t="s">
        <v>353</v>
      </c>
      <c r="E124" t="s">
        <v>352</v>
      </c>
      <c r="F124" t="s">
        <v>352</v>
      </c>
      <c r="G124" s="230">
        <f>SPC!B61</f>
        <v>2.1153715236551016</v>
      </c>
      <c r="H124" t="s">
        <v>352</v>
      </c>
    </row>
    <row r="125" spans="1:8" x14ac:dyDescent="0.35">
      <c r="A125" t="s">
        <v>545</v>
      </c>
      <c r="B125" t="s">
        <v>372</v>
      </c>
      <c r="C125" t="s">
        <v>347</v>
      </c>
      <c r="D125" t="s">
        <v>740</v>
      </c>
      <c r="E125">
        <f>'Energy consumption machinery'!B8</f>
        <v>6.48</v>
      </c>
      <c r="F125">
        <f>'Energy consumption machinery'!C8</f>
        <v>18.62</v>
      </c>
      <c r="G125" t="str">
        <f>'Energy consumption machinery'!D8</f>
        <v>NA</v>
      </c>
      <c r="H125" t="s">
        <v>352</v>
      </c>
    </row>
    <row r="126" spans="1:8" x14ac:dyDescent="0.35">
      <c r="A126" t="s">
        <v>545</v>
      </c>
      <c r="B126" t="s">
        <v>371</v>
      </c>
      <c r="C126" t="s">
        <v>347</v>
      </c>
      <c r="D126" t="s">
        <v>740</v>
      </c>
      <c r="E126">
        <f>'Energy consumption machinery'!B10</f>
        <v>1.4</v>
      </c>
      <c r="F126">
        <f>'Energy consumption machinery'!C10</f>
        <v>2.2000000000000002</v>
      </c>
      <c r="G126" t="str">
        <f>'Energy consumption machinery'!D10</f>
        <v>NA</v>
      </c>
      <c r="H126" t="s">
        <v>352</v>
      </c>
    </row>
    <row r="127" spans="1:8" x14ac:dyDescent="0.35">
      <c r="A127" t="s">
        <v>540</v>
      </c>
      <c r="B127" t="s">
        <v>370</v>
      </c>
      <c r="C127" t="s">
        <v>347</v>
      </c>
      <c r="D127" t="s">
        <v>740</v>
      </c>
      <c r="E127">
        <f>'Energy consumption machinery'!B13</f>
        <v>74</v>
      </c>
      <c r="F127">
        <f>'Energy consumption machinery'!C13</f>
        <v>124</v>
      </c>
      <c r="G127" t="str">
        <f>'Energy consumption machinery'!D13</f>
        <v>NA</v>
      </c>
      <c r="H127" t="s">
        <v>352</v>
      </c>
    </row>
    <row r="128" spans="1:8" x14ac:dyDescent="0.35">
      <c r="A128" t="s">
        <v>546</v>
      </c>
      <c r="B128" t="s">
        <v>369</v>
      </c>
      <c r="C128" t="s">
        <v>347</v>
      </c>
      <c r="D128" t="s">
        <v>346</v>
      </c>
      <c r="E128">
        <f>'Energy consumption machinery'!B14</f>
        <v>1.08</v>
      </c>
      <c r="F128">
        <f>'Energy consumption machinery'!C14</f>
        <v>3.7439999999999998</v>
      </c>
      <c r="G128">
        <f>'Energy consumption machinery'!D14</f>
        <v>3.42</v>
      </c>
      <c r="H128" t="s">
        <v>352</v>
      </c>
    </row>
    <row r="129" spans="1:8" x14ac:dyDescent="0.35">
      <c r="A129" t="s">
        <v>1018</v>
      </c>
      <c r="B129" t="s">
        <v>368</v>
      </c>
      <c r="C129" t="s">
        <v>347</v>
      </c>
      <c r="D129" t="s">
        <v>346</v>
      </c>
      <c r="E129">
        <f>'Energy consumption machinery'!B20</f>
        <v>0.09</v>
      </c>
      <c r="F129">
        <f>'Energy consumption machinery'!C20</f>
        <v>0.16400000000000001</v>
      </c>
      <c r="G129">
        <f>'Energy consumption machinery'!D20</f>
        <v>0.15</v>
      </c>
      <c r="H129" t="s">
        <v>352</v>
      </c>
    </row>
    <row r="130" spans="1:8" x14ac:dyDescent="0.35">
      <c r="A130" t="s">
        <v>542</v>
      </c>
      <c r="B130" t="s">
        <v>968</v>
      </c>
      <c r="C130" t="s">
        <v>347</v>
      </c>
      <c r="D130" t="s">
        <v>740</v>
      </c>
      <c r="E130">
        <f>'Energy consumption machinery'!B21</f>
        <v>0.3</v>
      </c>
      <c r="F130">
        <f>'Energy consumption machinery'!C21</f>
        <v>0.35</v>
      </c>
      <c r="G130" t="str">
        <f>'Energy consumption machinery'!D21</f>
        <v>NA</v>
      </c>
      <c r="H130" t="s">
        <v>352</v>
      </c>
    </row>
    <row r="131" spans="1:8" x14ac:dyDescent="0.35">
      <c r="A131" t="s">
        <v>545</v>
      </c>
      <c r="B131" t="s">
        <v>367</v>
      </c>
      <c r="C131" t="s">
        <v>347</v>
      </c>
      <c r="D131" t="s">
        <v>346</v>
      </c>
      <c r="E131">
        <f>'Energy consumption machinery'!B24</f>
        <v>3200</v>
      </c>
      <c r="F131">
        <f>'Energy consumption machinery'!C24</f>
        <v>5400</v>
      </c>
      <c r="G131">
        <f>'Energy consumption machinery'!D24</f>
        <v>3850</v>
      </c>
      <c r="H131" t="s">
        <v>352</v>
      </c>
    </row>
    <row r="132" spans="1:8" x14ac:dyDescent="0.35">
      <c r="A132" t="s">
        <v>1020</v>
      </c>
      <c r="B132" t="s">
        <v>366</v>
      </c>
      <c r="C132" t="s">
        <v>347</v>
      </c>
      <c r="D132" t="s">
        <v>740</v>
      </c>
      <c r="E132">
        <f>'Energy consumption machinery'!B25</f>
        <v>3268</v>
      </c>
      <c r="F132">
        <f>'Energy consumption machinery'!C25</f>
        <v>6333</v>
      </c>
      <c r="G132" t="str">
        <f>'Energy consumption machinery'!D25</f>
        <v>NA</v>
      </c>
      <c r="H132" t="s">
        <v>352</v>
      </c>
    </row>
    <row r="133" spans="1:8" x14ac:dyDescent="0.35">
      <c r="A133" t="s">
        <v>1020</v>
      </c>
      <c r="B133" t="s">
        <v>365</v>
      </c>
      <c r="C133" t="s">
        <v>347</v>
      </c>
      <c r="D133" t="s">
        <v>346</v>
      </c>
      <c r="E133">
        <f>'Energy consumption machinery'!B26</f>
        <v>0.12</v>
      </c>
      <c r="F133">
        <f>'Energy consumption machinery'!C26</f>
        <v>0.2</v>
      </c>
      <c r="G133">
        <f>'Energy consumption machinery'!D26</f>
        <v>0.16</v>
      </c>
      <c r="H133" t="s">
        <v>352</v>
      </c>
    </row>
    <row r="134" spans="1:8" x14ac:dyDescent="0.35">
      <c r="A134" t="s">
        <v>541</v>
      </c>
      <c r="B134" t="s">
        <v>364</v>
      </c>
      <c r="C134" t="s">
        <v>347</v>
      </c>
      <c r="D134" t="s">
        <v>740</v>
      </c>
      <c r="E134">
        <f>'Energy consumption machinery'!B11</f>
        <v>257</v>
      </c>
      <c r="F134">
        <f>'Energy consumption machinery'!C11</f>
        <v>325</v>
      </c>
      <c r="G134" t="str">
        <f>'Energy consumption machinery'!D11</f>
        <v>NA</v>
      </c>
      <c r="H134" t="s">
        <v>352</v>
      </c>
    </row>
    <row r="135" spans="1:8" x14ac:dyDescent="0.35">
      <c r="A135" t="s">
        <v>541</v>
      </c>
      <c r="B135" t="s">
        <v>363</v>
      </c>
      <c r="C135" t="s">
        <v>347</v>
      </c>
      <c r="D135" t="s">
        <v>346</v>
      </c>
      <c r="E135">
        <f>'Energy consumption machinery'!B12</f>
        <v>2.9</v>
      </c>
      <c r="F135">
        <f>'Energy consumption machinery'!C12</f>
        <v>47.6</v>
      </c>
      <c r="G135">
        <f>'Energy consumption machinery'!D12</f>
        <v>34</v>
      </c>
      <c r="H135" t="s">
        <v>352</v>
      </c>
    </row>
    <row r="136" spans="1:8" x14ac:dyDescent="0.35">
      <c r="A136" t="s">
        <v>542</v>
      </c>
      <c r="B136" t="s">
        <v>362</v>
      </c>
      <c r="C136" t="s">
        <v>347</v>
      </c>
      <c r="D136" t="s">
        <v>740</v>
      </c>
      <c r="E136">
        <f>'Energy consumption machinery'!B15</f>
        <v>7.1999999999999993</v>
      </c>
      <c r="F136">
        <f>'Energy consumption machinery'!C15</f>
        <v>18.899999999999999</v>
      </c>
      <c r="G136" t="str">
        <f>'Energy consumption machinery'!D15</f>
        <v>NA</v>
      </c>
      <c r="H136" t="s">
        <v>352</v>
      </c>
    </row>
    <row r="137" spans="1:8" x14ac:dyDescent="0.35">
      <c r="A137" t="s">
        <v>542</v>
      </c>
      <c r="B137" t="s">
        <v>361</v>
      </c>
      <c r="C137" t="s">
        <v>347</v>
      </c>
      <c r="D137" t="s">
        <v>740</v>
      </c>
      <c r="E137">
        <f>'Energy consumption machinery'!B16</f>
        <v>0.27</v>
      </c>
      <c r="F137">
        <f>'Energy consumption machinery'!C16</f>
        <v>0.61199999999999999</v>
      </c>
      <c r="G137" t="str">
        <f>'Energy consumption machinery'!D16</f>
        <v>NA</v>
      </c>
      <c r="H137" t="s">
        <v>352</v>
      </c>
    </row>
    <row r="138" spans="1:8" x14ac:dyDescent="0.35">
      <c r="A138" t="s">
        <v>542</v>
      </c>
      <c r="B138" t="s">
        <v>360</v>
      </c>
      <c r="C138" t="s">
        <v>347</v>
      </c>
      <c r="D138" t="s">
        <v>346</v>
      </c>
      <c r="E138">
        <f>'Energy consumption machinery'!B17</f>
        <v>1.014</v>
      </c>
      <c r="F138">
        <f>'Energy consumption machinery'!C17</f>
        <v>2.52</v>
      </c>
      <c r="G138">
        <f>'Energy consumption machinery'!D17</f>
        <v>1.5925000000000002</v>
      </c>
      <c r="H138" t="s">
        <v>352</v>
      </c>
    </row>
    <row r="139" spans="1:8" x14ac:dyDescent="0.35">
      <c r="A139" t="s">
        <v>1032</v>
      </c>
      <c r="B139" t="s">
        <v>359</v>
      </c>
      <c r="C139" t="s">
        <v>347</v>
      </c>
      <c r="D139" t="s">
        <v>346</v>
      </c>
      <c r="E139">
        <f>'Energy consumption machinery'!B22</f>
        <v>3600</v>
      </c>
      <c r="F139">
        <f>'Energy consumption machinery'!C22</f>
        <v>5040</v>
      </c>
      <c r="G139">
        <f>'Energy consumption machinery'!D22</f>
        <v>3600</v>
      </c>
      <c r="H139" t="s">
        <v>352</v>
      </c>
    </row>
    <row r="140" spans="1:8" x14ac:dyDescent="0.35">
      <c r="A140" t="s">
        <v>544</v>
      </c>
      <c r="B140" t="s">
        <v>358</v>
      </c>
      <c r="C140" t="s">
        <v>347</v>
      </c>
      <c r="D140" t="s">
        <v>353</v>
      </c>
      <c r="E140" t="str">
        <f>'Energy consumption machinery'!B27</f>
        <v>NA</v>
      </c>
      <c r="F140" t="str">
        <f>'Energy consumption machinery'!C27</f>
        <v>NA</v>
      </c>
      <c r="G140">
        <f>'Energy consumption machinery'!D27</f>
        <v>15.44</v>
      </c>
      <c r="H140" t="s">
        <v>352</v>
      </c>
    </row>
    <row r="141" spans="1:8" x14ac:dyDescent="0.35">
      <c r="A141" t="s">
        <v>1033</v>
      </c>
      <c r="B141" t="s">
        <v>357</v>
      </c>
      <c r="C141" t="s">
        <v>347</v>
      </c>
      <c r="D141" t="s">
        <v>740</v>
      </c>
      <c r="E141">
        <f>'Energy consumption machinery'!B18</f>
        <v>0.39</v>
      </c>
      <c r="F141">
        <f>'Energy consumption machinery'!C18</f>
        <v>1.89</v>
      </c>
      <c r="G141" t="str">
        <f>'Energy consumption machinery'!D18</f>
        <v>NA</v>
      </c>
      <c r="H141" t="s">
        <v>352</v>
      </c>
    </row>
    <row r="142" spans="1:8" x14ac:dyDescent="0.35">
      <c r="A142" t="s">
        <v>1019</v>
      </c>
      <c r="B142" t="s">
        <v>356</v>
      </c>
      <c r="C142" t="s">
        <v>347</v>
      </c>
      <c r="D142" t="s">
        <v>353</v>
      </c>
      <c r="E142" t="str">
        <f>'Energy consumption machinery'!B28</f>
        <v>NA</v>
      </c>
      <c r="F142" t="str">
        <f>'Energy consumption machinery'!C28</f>
        <v>NA</v>
      </c>
      <c r="G142" s="5">
        <f>'Energy consumption machinery'!D28</f>
        <v>2.1148731276885777</v>
      </c>
      <c r="H142" t="s">
        <v>352</v>
      </c>
    </row>
    <row r="143" spans="1:8" x14ac:dyDescent="0.35">
      <c r="A143" t="s">
        <v>544</v>
      </c>
      <c r="B143" t="s">
        <v>355</v>
      </c>
      <c r="C143" t="s">
        <v>347</v>
      </c>
      <c r="D143" t="s">
        <v>353</v>
      </c>
      <c r="E143" t="str">
        <f>'Energy consumption machinery'!B29</f>
        <v>NA</v>
      </c>
      <c r="F143" t="str">
        <f>'Energy consumption machinery'!C29</f>
        <v>NA</v>
      </c>
      <c r="G143" s="5">
        <f>'Energy consumption machinery'!D29</f>
        <v>41.687881968956297</v>
      </c>
      <c r="H143" t="s">
        <v>352</v>
      </c>
    </row>
    <row r="144" spans="1:8" x14ac:dyDescent="0.35">
      <c r="A144" t="s">
        <v>544</v>
      </c>
      <c r="B144" t="s">
        <v>354</v>
      </c>
      <c r="C144" t="s">
        <v>347</v>
      </c>
      <c r="D144" t="s">
        <v>353</v>
      </c>
      <c r="E144" t="str">
        <f>'Energy consumption machinery'!B30</f>
        <v>NA</v>
      </c>
      <c r="F144" t="str">
        <f>'Energy consumption machinery'!C30</f>
        <v>NA</v>
      </c>
      <c r="G144" s="5">
        <f>'Energy consumption machinery'!D30</f>
        <v>1.8638711386815268</v>
      </c>
      <c r="H144" t="s">
        <v>352</v>
      </c>
    </row>
    <row r="145" spans="1:8" x14ac:dyDescent="0.35">
      <c r="A145" t="s">
        <v>544</v>
      </c>
      <c r="B145" t="s">
        <v>351</v>
      </c>
      <c r="C145" t="s">
        <v>347</v>
      </c>
      <c r="D145" t="s">
        <v>346</v>
      </c>
      <c r="E145">
        <f>'Energy consumption machinery'!B19</f>
        <v>180</v>
      </c>
      <c r="F145">
        <f>'Energy consumption machinery'!C19</f>
        <v>544</v>
      </c>
      <c r="G145">
        <f>'Energy consumption machinery'!D19</f>
        <v>400</v>
      </c>
      <c r="H145" t="s">
        <v>352</v>
      </c>
    </row>
    <row r="146" spans="1:8" x14ac:dyDescent="0.35">
      <c r="A146" t="s">
        <v>544</v>
      </c>
      <c r="B146" t="s">
        <v>350</v>
      </c>
      <c r="C146" t="s">
        <v>347</v>
      </c>
      <c r="D146" t="s">
        <v>740</v>
      </c>
      <c r="E146">
        <f>'Energy consumption machinery'!B31</f>
        <v>484.59288191302977</v>
      </c>
      <c r="F146">
        <f>'Energy consumption machinery'!C31</f>
        <v>703.42217892865517</v>
      </c>
      <c r="G146" t="str">
        <f>'Energy consumption machinery'!D31</f>
        <v>NA</v>
      </c>
      <c r="H146" t="s">
        <v>352</v>
      </c>
    </row>
    <row r="147" spans="1:8" x14ac:dyDescent="0.35">
      <c r="A147" t="s">
        <v>1019</v>
      </c>
      <c r="B147" t="s">
        <v>349</v>
      </c>
      <c r="C147" t="s">
        <v>347</v>
      </c>
      <c r="D147" t="s">
        <v>740</v>
      </c>
      <c r="E147">
        <f>'Energy consumption machinery'!B32</f>
        <v>908.21616173155235</v>
      </c>
      <c r="F147">
        <f>'Energy consumption machinery'!C32</f>
        <v>1318.3425</v>
      </c>
      <c r="G147" t="str">
        <f>'Energy consumption machinery'!D32</f>
        <v>NA</v>
      </c>
      <c r="H147" t="s">
        <v>352</v>
      </c>
    </row>
    <row r="148" spans="1:8" x14ac:dyDescent="0.35">
      <c r="A148" t="s">
        <v>544</v>
      </c>
      <c r="B148" t="s">
        <v>348</v>
      </c>
      <c r="C148" t="s">
        <v>347</v>
      </c>
      <c r="D148" t="s">
        <v>740</v>
      </c>
      <c r="E148">
        <f>'Energy consumption machinery'!B33</f>
        <v>1915.9208511108629</v>
      </c>
      <c r="F148">
        <f>'Energy consumption machinery'!C33</f>
        <v>3056.4107392107467</v>
      </c>
      <c r="G148" t="str">
        <f>'Energy consumption machinery'!D33</f>
        <v>NA</v>
      </c>
      <c r="H148" t="s">
        <v>352</v>
      </c>
    </row>
    <row r="149" spans="1:8" x14ac:dyDescent="0.35">
      <c r="A149" t="s">
        <v>544</v>
      </c>
      <c r="B149" t="s">
        <v>505</v>
      </c>
      <c r="C149" t="s">
        <v>347</v>
      </c>
      <c r="D149" t="s">
        <v>740</v>
      </c>
      <c r="E149">
        <f>'Energy consumption machinery'!B23</f>
        <v>4680</v>
      </c>
      <c r="F149">
        <f>'Energy consumption machinery'!C23</f>
        <v>5400</v>
      </c>
      <c r="G149" t="str">
        <f>'Energy consumption machinery'!D23</f>
        <v>NA</v>
      </c>
      <c r="H149" t="s">
        <v>352</v>
      </c>
    </row>
    <row r="150" spans="1:8" x14ac:dyDescent="0.35">
      <c r="A150" t="s">
        <v>542</v>
      </c>
      <c r="B150" t="s">
        <v>988</v>
      </c>
      <c r="C150" t="s">
        <v>347</v>
      </c>
      <c r="D150" t="s">
        <v>740</v>
      </c>
      <c r="E150">
        <f>'Energy consumption machinery'!B9</f>
        <v>124</v>
      </c>
      <c r="F150">
        <f>'Energy consumption machinery'!C9</f>
        <v>273</v>
      </c>
      <c r="G150" t="str">
        <f>'Energy consumption machinery'!D9</f>
        <v>NA</v>
      </c>
      <c r="H150" t="s">
        <v>352</v>
      </c>
    </row>
  </sheetData>
  <dataValidations count="2">
    <dataValidation type="list" allowBlank="1" showInputMessage="1" showErrorMessage="1" sqref="C2:C150" xr:uid="{B2E2630F-A899-4F33-B8A6-C5DC8B905E91}">
      <formula1>"Float, Bool, Enum"</formula1>
    </dataValidation>
    <dataValidation type="list" allowBlank="1" showInputMessage="1" showErrorMessage="1" sqref="D2:D150" xr:uid="{A1ED5D19-97B5-4B17-906D-73D195D7FAE6}">
      <formula1>"FIXED, UNIFORM, TRIANGLE"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51D0-B185-4A10-A34C-B850963291FF}">
  <sheetPr>
    <tabColor theme="5" tint="0.79998168889431442"/>
  </sheetPr>
  <dimension ref="A1:E25"/>
  <sheetViews>
    <sheetView workbookViewId="0">
      <selection activeCell="D29" sqref="D29"/>
    </sheetView>
  </sheetViews>
  <sheetFormatPr defaultRowHeight="14.5" x14ac:dyDescent="0.35"/>
  <cols>
    <col min="1" max="1" width="4.90625" bestFit="1" customWidth="1"/>
    <col min="2" max="2" width="15.6328125" bestFit="1" customWidth="1"/>
    <col min="3" max="3" width="28.6328125" bestFit="1" customWidth="1"/>
    <col min="4" max="4" width="97.81640625" customWidth="1"/>
    <col min="5" max="5" width="4.7265625" bestFit="1" customWidth="1"/>
  </cols>
  <sheetData>
    <row r="1" spans="1:5" x14ac:dyDescent="0.35">
      <c r="A1" t="s">
        <v>432</v>
      </c>
      <c r="B1" t="s">
        <v>418</v>
      </c>
      <c r="C1" t="s">
        <v>421</v>
      </c>
      <c r="D1" t="s">
        <v>419</v>
      </c>
      <c r="E1" t="s">
        <v>19</v>
      </c>
    </row>
    <row r="2" spans="1:5" x14ac:dyDescent="0.35">
      <c r="A2" t="s">
        <v>453</v>
      </c>
      <c r="B2" t="s">
        <v>561</v>
      </c>
      <c r="C2" t="s">
        <v>562</v>
      </c>
      <c r="D2" t="s">
        <v>563</v>
      </c>
      <c r="E2" t="s">
        <v>3</v>
      </c>
    </row>
    <row r="3" spans="1:5" x14ac:dyDescent="0.35">
      <c r="A3" t="s">
        <v>453</v>
      </c>
      <c r="B3" t="s">
        <v>439</v>
      </c>
      <c r="C3" t="s">
        <v>436</v>
      </c>
      <c r="D3" t="s">
        <v>834</v>
      </c>
      <c r="E3" t="s">
        <v>108</v>
      </c>
    </row>
    <row r="4" spans="1:5" x14ac:dyDescent="0.35">
      <c r="A4" t="s">
        <v>453</v>
      </c>
      <c r="B4" t="s">
        <v>439</v>
      </c>
      <c r="C4" t="s">
        <v>435</v>
      </c>
      <c r="D4" t="s">
        <v>556</v>
      </c>
      <c r="E4" t="s">
        <v>434</v>
      </c>
    </row>
    <row r="5" spans="1:5" x14ac:dyDescent="0.35">
      <c r="A5" t="s">
        <v>453</v>
      </c>
      <c r="B5" t="s">
        <v>439</v>
      </c>
      <c r="C5" t="s">
        <v>437</v>
      </c>
      <c r="D5" t="s">
        <v>519</v>
      </c>
      <c r="E5" t="s">
        <v>3</v>
      </c>
    </row>
    <row r="6" spans="1:5" x14ac:dyDescent="0.35">
      <c r="A6" t="s">
        <v>453</v>
      </c>
      <c r="B6" t="s">
        <v>454</v>
      </c>
      <c r="C6" t="s">
        <v>532</v>
      </c>
      <c r="D6" t="s">
        <v>534</v>
      </c>
      <c r="E6" t="s">
        <v>108</v>
      </c>
    </row>
    <row r="7" spans="1:5" x14ac:dyDescent="0.35">
      <c r="A7" t="s">
        <v>453</v>
      </c>
      <c r="B7" t="s">
        <v>454</v>
      </c>
      <c r="C7" t="s">
        <v>570</v>
      </c>
      <c r="D7" t="s">
        <v>521</v>
      </c>
      <c r="E7" t="s">
        <v>108</v>
      </c>
    </row>
    <row r="8" spans="1:5" x14ac:dyDescent="0.35">
      <c r="A8" t="s">
        <v>453</v>
      </c>
      <c r="B8" t="s">
        <v>454</v>
      </c>
      <c r="C8" t="s">
        <v>442</v>
      </c>
      <c r="D8" t="s">
        <v>1057</v>
      </c>
      <c r="E8" t="s">
        <v>108</v>
      </c>
    </row>
    <row r="9" spans="1:5" x14ac:dyDescent="0.35">
      <c r="A9" t="s">
        <v>453</v>
      </c>
      <c r="B9" t="s">
        <v>454</v>
      </c>
      <c r="C9" t="s">
        <v>509</v>
      </c>
      <c r="D9" t="s">
        <v>522</v>
      </c>
      <c r="E9" t="s">
        <v>108</v>
      </c>
    </row>
    <row r="10" spans="1:5" x14ac:dyDescent="0.35">
      <c r="A10" t="s">
        <v>453</v>
      </c>
      <c r="B10" t="s">
        <v>454</v>
      </c>
      <c r="C10" t="s">
        <v>435</v>
      </c>
      <c r="D10" t="s">
        <v>523</v>
      </c>
      <c r="E10" t="s">
        <v>434</v>
      </c>
    </row>
    <row r="11" spans="1:5" x14ac:dyDescent="0.35">
      <c r="A11" t="s">
        <v>453</v>
      </c>
      <c r="B11" t="s">
        <v>454</v>
      </c>
      <c r="C11" t="s">
        <v>443</v>
      </c>
      <c r="D11" t="s">
        <v>524</v>
      </c>
      <c r="E11" t="s">
        <v>446</v>
      </c>
    </row>
    <row r="12" spans="1:5" x14ac:dyDescent="0.35">
      <c r="A12" t="s">
        <v>453</v>
      </c>
      <c r="B12" t="s">
        <v>454</v>
      </c>
      <c r="C12" t="s">
        <v>510</v>
      </c>
      <c r="D12" t="s">
        <v>1063</v>
      </c>
      <c r="E12" t="s">
        <v>447</v>
      </c>
    </row>
    <row r="13" spans="1:5" x14ac:dyDescent="0.35">
      <c r="A13" t="s">
        <v>453</v>
      </c>
      <c r="B13" t="s">
        <v>454</v>
      </c>
      <c r="C13" t="s">
        <v>456</v>
      </c>
      <c r="D13" t="s">
        <v>522</v>
      </c>
      <c r="E13" t="s">
        <v>108</v>
      </c>
    </row>
    <row r="14" spans="1:5" x14ac:dyDescent="0.35">
      <c r="A14" t="s">
        <v>453</v>
      </c>
      <c r="B14" t="s">
        <v>454</v>
      </c>
      <c r="C14" t="s">
        <v>455</v>
      </c>
      <c r="D14" t="s">
        <v>520</v>
      </c>
      <c r="E14" t="s">
        <v>3</v>
      </c>
    </row>
    <row r="15" spans="1:5" x14ac:dyDescent="0.35">
      <c r="A15" t="s">
        <v>453</v>
      </c>
      <c r="B15" t="s">
        <v>441</v>
      </c>
      <c r="C15" t="s">
        <v>533</v>
      </c>
      <c r="D15" t="s">
        <v>839</v>
      </c>
      <c r="E15" t="s">
        <v>108</v>
      </c>
    </row>
    <row r="16" spans="1:5" x14ac:dyDescent="0.35">
      <c r="A16" t="s">
        <v>453</v>
      </c>
      <c r="B16" t="s">
        <v>441</v>
      </c>
      <c r="C16" t="s">
        <v>569</v>
      </c>
      <c r="D16" t="s">
        <v>838</v>
      </c>
      <c r="E16" t="s">
        <v>108</v>
      </c>
    </row>
    <row r="17" spans="1:5" x14ac:dyDescent="0.35">
      <c r="A17" t="s">
        <v>453</v>
      </c>
      <c r="B17" t="s">
        <v>441</v>
      </c>
      <c r="C17" t="s">
        <v>435</v>
      </c>
      <c r="D17" t="s">
        <v>1037</v>
      </c>
      <c r="E17" t="s">
        <v>434</v>
      </c>
    </row>
    <row r="18" spans="1:5" x14ac:dyDescent="0.35">
      <c r="A18" t="s">
        <v>453</v>
      </c>
      <c r="B18" t="s">
        <v>441</v>
      </c>
      <c r="C18" t="s">
        <v>443</v>
      </c>
      <c r="D18" t="s">
        <v>1035</v>
      </c>
      <c r="E18" t="s">
        <v>446</v>
      </c>
    </row>
    <row r="19" spans="1:5" x14ac:dyDescent="0.35">
      <c r="A19" t="s">
        <v>453</v>
      </c>
      <c r="B19" t="s">
        <v>441</v>
      </c>
      <c r="C19" t="s">
        <v>442</v>
      </c>
      <c r="D19" t="s">
        <v>1058</v>
      </c>
      <c r="E19" t="s">
        <v>108</v>
      </c>
    </row>
    <row r="20" spans="1:5" x14ac:dyDescent="0.35">
      <c r="A20" t="s">
        <v>453</v>
      </c>
      <c r="B20" t="s">
        <v>441</v>
      </c>
      <c r="C20" t="s">
        <v>444</v>
      </c>
      <c r="D20" t="s">
        <v>1030</v>
      </c>
      <c r="E20" t="s">
        <v>108</v>
      </c>
    </row>
    <row r="21" spans="1:5" x14ac:dyDescent="0.35">
      <c r="A21" t="s">
        <v>453</v>
      </c>
      <c r="B21" t="s">
        <v>441</v>
      </c>
      <c r="C21" t="s">
        <v>445</v>
      </c>
      <c r="D21" t="s">
        <v>1031</v>
      </c>
      <c r="E21" t="s">
        <v>108</v>
      </c>
    </row>
    <row r="22" spans="1:5" x14ac:dyDescent="0.35">
      <c r="A22" t="s">
        <v>453</v>
      </c>
      <c r="B22" t="s">
        <v>441</v>
      </c>
      <c r="C22" t="s">
        <v>510</v>
      </c>
      <c r="D22" t="s">
        <v>1064</v>
      </c>
      <c r="E22" t="s">
        <v>447</v>
      </c>
    </row>
    <row r="23" spans="1:5" x14ac:dyDescent="0.35">
      <c r="A23" t="s">
        <v>453</v>
      </c>
      <c r="B23" t="s">
        <v>441</v>
      </c>
      <c r="C23" t="s">
        <v>571</v>
      </c>
      <c r="D23" t="s">
        <v>837</v>
      </c>
      <c r="E23" t="s">
        <v>3</v>
      </c>
    </row>
    <row r="24" spans="1:5" x14ac:dyDescent="0.35">
      <c r="A24" t="s">
        <v>453</v>
      </c>
      <c r="B24" t="s">
        <v>441</v>
      </c>
      <c r="C24" t="s">
        <v>450</v>
      </c>
      <c r="D24" t="s">
        <v>836</v>
      </c>
      <c r="E24" t="s">
        <v>3</v>
      </c>
    </row>
    <row r="25" spans="1:5" x14ac:dyDescent="0.35">
      <c r="A25" t="s">
        <v>453</v>
      </c>
      <c r="B25" t="s">
        <v>441</v>
      </c>
      <c r="C25" t="s">
        <v>557</v>
      </c>
      <c r="D25" t="s">
        <v>835</v>
      </c>
      <c r="E25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45EA-0886-4E86-8BFB-BBA960E97FD5}">
  <sheetPr>
    <tabColor theme="5" tint="0.79998168889431442"/>
  </sheetPr>
  <dimension ref="A1:E23"/>
  <sheetViews>
    <sheetView workbookViewId="0">
      <selection activeCell="D44" sqref="D44"/>
    </sheetView>
  </sheetViews>
  <sheetFormatPr defaultRowHeight="14.5" x14ac:dyDescent="0.35"/>
  <cols>
    <col min="2" max="2" width="19.90625" bestFit="1" customWidth="1"/>
    <col min="3" max="3" width="28.6328125" bestFit="1" customWidth="1"/>
    <col min="4" max="4" width="96.26953125" customWidth="1"/>
  </cols>
  <sheetData>
    <row r="1" spans="1:5" x14ac:dyDescent="0.35">
      <c r="A1" t="s">
        <v>432</v>
      </c>
      <c r="B1" t="s">
        <v>418</v>
      </c>
      <c r="C1" t="s">
        <v>421</v>
      </c>
      <c r="D1" t="s">
        <v>419</v>
      </c>
      <c r="E1" t="s">
        <v>19</v>
      </c>
    </row>
    <row r="2" spans="1:5" x14ac:dyDescent="0.35">
      <c r="A2" t="s">
        <v>433</v>
      </c>
      <c r="B2" t="s">
        <v>561</v>
      </c>
      <c r="C2" t="s">
        <v>562</v>
      </c>
      <c r="D2" t="s">
        <v>563</v>
      </c>
      <c r="E2" t="s">
        <v>3</v>
      </c>
    </row>
    <row r="3" spans="1:5" x14ac:dyDescent="0.35">
      <c r="A3" t="s">
        <v>433</v>
      </c>
      <c r="B3" t="s">
        <v>439</v>
      </c>
      <c r="C3" t="s">
        <v>436</v>
      </c>
      <c r="D3" t="s">
        <v>513</v>
      </c>
      <c r="E3" t="s">
        <v>108</v>
      </c>
    </row>
    <row r="4" spans="1:5" x14ac:dyDescent="0.35">
      <c r="A4" t="s">
        <v>433</v>
      </c>
      <c r="B4" t="s">
        <v>439</v>
      </c>
      <c r="C4" t="s">
        <v>511</v>
      </c>
      <c r="D4" t="s">
        <v>579</v>
      </c>
      <c r="E4" t="s">
        <v>108</v>
      </c>
    </row>
    <row r="5" spans="1:5" x14ac:dyDescent="0.35">
      <c r="A5" t="s">
        <v>433</v>
      </c>
      <c r="B5" t="s">
        <v>439</v>
      </c>
      <c r="C5" t="s">
        <v>435</v>
      </c>
      <c r="D5" t="s">
        <v>514</v>
      </c>
      <c r="E5" t="s">
        <v>434</v>
      </c>
    </row>
    <row r="6" spans="1:5" x14ac:dyDescent="0.35">
      <c r="A6" t="s">
        <v>433</v>
      </c>
      <c r="B6" t="s">
        <v>439</v>
      </c>
      <c r="C6" t="s">
        <v>437</v>
      </c>
      <c r="D6" t="s">
        <v>512</v>
      </c>
      <c r="E6" t="s">
        <v>3</v>
      </c>
    </row>
    <row r="7" spans="1:5" x14ac:dyDescent="0.35">
      <c r="A7" t="s">
        <v>433</v>
      </c>
      <c r="B7" t="s">
        <v>440</v>
      </c>
      <c r="C7" t="s">
        <v>528</v>
      </c>
      <c r="D7" t="s">
        <v>530</v>
      </c>
      <c r="E7" t="s">
        <v>108</v>
      </c>
    </row>
    <row r="8" spans="1:5" x14ac:dyDescent="0.35">
      <c r="A8" t="s">
        <v>433</v>
      </c>
      <c r="B8" t="s">
        <v>440</v>
      </c>
      <c r="C8" t="s">
        <v>566</v>
      </c>
      <c r="D8" t="s">
        <v>565</v>
      </c>
      <c r="E8" t="s">
        <v>108</v>
      </c>
    </row>
    <row r="9" spans="1:5" x14ac:dyDescent="0.35">
      <c r="A9" t="s">
        <v>433</v>
      </c>
      <c r="B9" t="s">
        <v>440</v>
      </c>
      <c r="C9" t="s">
        <v>435</v>
      </c>
      <c r="D9" t="s">
        <v>516</v>
      </c>
      <c r="E9" t="s">
        <v>434</v>
      </c>
    </row>
    <row r="10" spans="1:5" x14ac:dyDescent="0.35">
      <c r="A10" t="s">
        <v>433</v>
      </c>
      <c r="B10" t="s">
        <v>440</v>
      </c>
      <c r="C10" t="s">
        <v>511</v>
      </c>
      <c r="D10" t="s">
        <v>578</v>
      </c>
      <c r="E10" t="s">
        <v>108</v>
      </c>
    </row>
    <row r="11" spans="1:5" x14ac:dyDescent="0.35">
      <c r="A11" t="s">
        <v>433</v>
      </c>
      <c r="B11" t="s">
        <v>440</v>
      </c>
      <c r="C11" t="s">
        <v>438</v>
      </c>
      <c r="D11" t="s">
        <v>515</v>
      </c>
      <c r="E11" t="s">
        <v>3</v>
      </c>
    </row>
    <row r="12" spans="1:5" x14ac:dyDescent="0.35">
      <c r="A12" t="s">
        <v>433</v>
      </c>
      <c r="B12" t="s">
        <v>441</v>
      </c>
      <c r="C12" t="s">
        <v>529</v>
      </c>
      <c r="D12" t="s">
        <v>746</v>
      </c>
      <c r="E12" t="s">
        <v>108</v>
      </c>
    </row>
    <row r="13" spans="1:5" x14ac:dyDescent="0.35">
      <c r="A13" t="s">
        <v>433</v>
      </c>
      <c r="B13" t="s">
        <v>441</v>
      </c>
      <c r="C13" t="s">
        <v>567</v>
      </c>
      <c r="D13" t="s">
        <v>747</v>
      </c>
      <c r="E13" t="s">
        <v>108</v>
      </c>
    </row>
    <row r="14" spans="1:5" x14ac:dyDescent="0.35">
      <c r="A14" t="s">
        <v>433</v>
      </c>
      <c r="B14" t="s">
        <v>441</v>
      </c>
      <c r="C14" t="s">
        <v>442</v>
      </c>
      <c r="D14" t="s">
        <v>1059</v>
      </c>
      <c r="E14" t="s">
        <v>108</v>
      </c>
    </row>
    <row r="15" spans="1:5" x14ac:dyDescent="0.35">
      <c r="A15" t="s">
        <v>433</v>
      </c>
      <c r="B15" t="s">
        <v>441</v>
      </c>
      <c r="C15" t="s">
        <v>435</v>
      </c>
      <c r="D15" t="s">
        <v>748</v>
      </c>
      <c r="E15" t="s">
        <v>434</v>
      </c>
    </row>
    <row r="16" spans="1:5" x14ac:dyDescent="0.35">
      <c r="A16" t="s">
        <v>433</v>
      </c>
      <c r="B16" t="s">
        <v>441</v>
      </c>
      <c r="C16" t="s">
        <v>443</v>
      </c>
      <c r="D16" t="s">
        <v>749</v>
      </c>
      <c r="E16" t="s">
        <v>446</v>
      </c>
    </row>
    <row r="17" spans="1:5" x14ac:dyDescent="0.35">
      <c r="A17" t="s">
        <v>433</v>
      </c>
      <c r="B17" t="s">
        <v>441</v>
      </c>
      <c r="C17" t="s">
        <v>444</v>
      </c>
      <c r="D17" t="s">
        <v>750</v>
      </c>
      <c r="E17" t="s">
        <v>108</v>
      </c>
    </row>
    <row r="18" spans="1:5" x14ac:dyDescent="0.35">
      <c r="A18" t="s">
        <v>433</v>
      </c>
      <c r="B18" t="s">
        <v>441</v>
      </c>
      <c r="C18" t="s">
        <v>445</v>
      </c>
      <c r="D18" t="s">
        <v>751</v>
      </c>
      <c r="E18" t="s">
        <v>108</v>
      </c>
    </row>
    <row r="19" spans="1:5" x14ac:dyDescent="0.35">
      <c r="A19" t="s">
        <v>433</v>
      </c>
      <c r="B19" t="s">
        <v>441</v>
      </c>
      <c r="C19" t="s">
        <v>511</v>
      </c>
      <c r="D19">
        <v>0</v>
      </c>
      <c r="E19" t="s">
        <v>108</v>
      </c>
    </row>
    <row r="20" spans="1:5" x14ac:dyDescent="0.35">
      <c r="A20" t="s">
        <v>433</v>
      </c>
      <c r="B20" t="s">
        <v>441</v>
      </c>
      <c r="C20" t="s">
        <v>510</v>
      </c>
      <c r="D20" t="s">
        <v>1065</v>
      </c>
      <c r="E20" t="s">
        <v>447</v>
      </c>
    </row>
    <row r="21" spans="1:5" x14ac:dyDescent="0.35">
      <c r="A21" t="s">
        <v>433</v>
      </c>
      <c r="B21" t="s">
        <v>441</v>
      </c>
      <c r="C21" t="s">
        <v>571</v>
      </c>
      <c r="D21" t="s">
        <v>572</v>
      </c>
      <c r="E21" t="s">
        <v>3</v>
      </c>
    </row>
    <row r="22" spans="1:5" x14ac:dyDescent="0.35">
      <c r="A22" t="s">
        <v>433</v>
      </c>
      <c r="B22" t="s">
        <v>441</v>
      </c>
      <c r="C22" t="s">
        <v>450</v>
      </c>
      <c r="D22" t="s">
        <v>752</v>
      </c>
      <c r="E22" t="s">
        <v>3</v>
      </c>
    </row>
    <row r="23" spans="1:5" x14ac:dyDescent="0.35">
      <c r="A23" t="s">
        <v>433</v>
      </c>
      <c r="B23" t="s">
        <v>441</v>
      </c>
      <c r="C23" t="s">
        <v>557</v>
      </c>
      <c r="D23" t="s">
        <v>753</v>
      </c>
      <c r="E2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32-44CE-4175-8456-DA13FFE1BBD6}">
  <sheetPr>
    <tabColor theme="5" tint="0.79998168889431442"/>
  </sheetPr>
  <dimension ref="A1:E17"/>
  <sheetViews>
    <sheetView workbookViewId="0">
      <selection activeCell="D23" sqref="D23"/>
    </sheetView>
  </sheetViews>
  <sheetFormatPr defaultRowHeight="14.5" x14ac:dyDescent="0.35"/>
  <cols>
    <col min="2" max="2" width="20.1796875" bestFit="1" customWidth="1"/>
    <col min="3" max="3" width="33.08984375" bestFit="1" customWidth="1"/>
    <col min="4" max="4" width="69.1796875" customWidth="1"/>
  </cols>
  <sheetData>
    <row r="1" spans="1:5" x14ac:dyDescent="0.35">
      <c r="A1" t="s">
        <v>432</v>
      </c>
      <c r="B1" t="s">
        <v>418</v>
      </c>
      <c r="C1" t="s">
        <v>421</v>
      </c>
      <c r="D1" t="s">
        <v>419</v>
      </c>
      <c r="E1" t="s">
        <v>19</v>
      </c>
    </row>
    <row r="2" spans="1:5" x14ac:dyDescent="0.35">
      <c r="A2" t="s">
        <v>433</v>
      </c>
      <c r="B2" t="s">
        <v>561</v>
      </c>
      <c r="C2" t="s">
        <v>562</v>
      </c>
      <c r="D2" t="s">
        <v>563</v>
      </c>
      <c r="E2" t="s">
        <v>3</v>
      </c>
    </row>
    <row r="3" spans="1:5" x14ac:dyDescent="0.35">
      <c r="A3" t="s">
        <v>433</v>
      </c>
      <c r="B3" t="s">
        <v>439</v>
      </c>
      <c r="C3" t="s">
        <v>436</v>
      </c>
      <c r="D3" t="s">
        <v>513</v>
      </c>
      <c r="E3" t="s">
        <v>108</v>
      </c>
    </row>
    <row r="4" spans="1:5" x14ac:dyDescent="0.35">
      <c r="A4" t="s">
        <v>433</v>
      </c>
      <c r="B4" t="s">
        <v>439</v>
      </c>
      <c r="C4" t="s">
        <v>511</v>
      </c>
      <c r="D4" t="s">
        <v>579</v>
      </c>
      <c r="E4" t="s">
        <v>108</v>
      </c>
    </row>
    <row r="5" spans="1:5" x14ac:dyDescent="0.35">
      <c r="A5" t="s">
        <v>433</v>
      </c>
      <c r="B5" t="s">
        <v>439</v>
      </c>
      <c r="C5" t="s">
        <v>435</v>
      </c>
      <c r="D5" t="s">
        <v>514</v>
      </c>
      <c r="E5" t="s">
        <v>434</v>
      </c>
    </row>
    <row r="6" spans="1:5" x14ac:dyDescent="0.35">
      <c r="A6" t="s">
        <v>433</v>
      </c>
      <c r="B6" t="s">
        <v>439</v>
      </c>
      <c r="C6" t="s">
        <v>437</v>
      </c>
      <c r="D6" t="s">
        <v>512</v>
      </c>
      <c r="E6" t="s">
        <v>3</v>
      </c>
    </row>
    <row r="7" spans="1:5" x14ac:dyDescent="0.35">
      <c r="A7" t="s">
        <v>433</v>
      </c>
      <c r="B7" t="s">
        <v>440</v>
      </c>
      <c r="C7" t="s">
        <v>528</v>
      </c>
      <c r="D7" t="s">
        <v>530</v>
      </c>
      <c r="E7" t="s">
        <v>108</v>
      </c>
    </row>
    <row r="8" spans="1:5" x14ac:dyDescent="0.35">
      <c r="A8" t="s">
        <v>433</v>
      </c>
      <c r="B8" t="s">
        <v>440</v>
      </c>
      <c r="C8" t="s">
        <v>566</v>
      </c>
      <c r="D8" t="s">
        <v>565</v>
      </c>
      <c r="E8" t="s">
        <v>108</v>
      </c>
    </row>
    <row r="9" spans="1:5" x14ac:dyDescent="0.35">
      <c r="A9" t="s">
        <v>433</v>
      </c>
      <c r="B9" t="s">
        <v>440</v>
      </c>
      <c r="C9" t="s">
        <v>435</v>
      </c>
      <c r="D9" t="s">
        <v>516</v>
      </c>
      <c r="E9" t="s">
        <v>434</v>
      </c>
    </row>
    <row r="10" spans="1:5" x14ac:dyDescent="0.35">
      <c r="A10" t="s">
        <v>433</v>
      </c>
      <c r="B10" t="s">
        <v>440</v>
      </c>
      <c r="C10" t="s">
        <v>511</v>
      </c>
      <c r="D10" t="s">
        <v>578</v>
      </c>
      <c r="E10" t="s">
        <v>108</v>
      </c>
    </row>
    <row r="11" spans="1:5" x14ac:dyDescent="0.35">
      <c r="A11" t="s">
        <v>433</v>
      </c>
      <c r="B11" t="s">
        <v>440</v>
      </c>
      <c r="C11" t="s">
        <v>438</v>
      </c>
      <c r="D11" t="s">
        <v>515</v>
      </c>
      <c r="E11" t="s">
        <v>3</v>
      </c>
    </row>
    <row r="12" spans="1:5" x14ac:dyDescent="0.35">
      <c r="A12" t="s">
        <v>433</v>
      </c>
      <c r="B12" t="s">
        <v>448</v>
      </c>
      <c r="C12" t="s">
        <v>529</v>
      </c>
      <c r="D12" t="s">
        <v>754</v>
      </c>
      <c r="E12" t="s">
        <v>108</v>
      </c>
    </row>
    <row r="13" spans="1:5" x14ac:dyDescent="0.35">
      <c r="A13" t="s">
        <v>433</v>
      </c>
      <c r="B13" t="s">
        <v>448</v>
      </c>
      <c r="C13" t="s">
        <v>567</v>
      </c>
      <c r="D13" t="s">
        <v>755</v>
      </c>
      <c r="E13" t="s">
        <v>108</v>
      </c>
    </row>
    <row r="14" spans="1:5" x14ac:dyDescent="0.35">
      <c r="A14" t="s">
        <v>433</v>
      </c>
      <c r="B14" t="s">
        <v>448</v>
      </c>
      <c r="C14" t="s">
        <v>435</v>
      </c>
      <c r="D14" t="s">
        <v>756</v>
      </c>
      <c r="E14" t="s">
        <v>434</v>
      </c>
    </row>
    <row r="15" spans="1:5" x14ac:dyDescent="0.35">
      <c r="A15" t="s">
        <v>433</v>
      </c>
      <c r="B15" t="s">
        <v>448</v>
      </c>
      <c r="C15" t="s">
        <v>573</v>
      </c>
      <c r="D15" t="s">
        <v>574</v>
      </c>
      <c r="E15" t="s">
        <v>3</v>
      </c>
    </row>
    <row r="16" spans="1:5" x14ac:dyDescent="0.35">
      <c r="A16" t="s">
        <v>433</v>
      </c>
      <c r="B16" t="s">
        <v>448</v>
      </c>
      <c r="C16" t="s">
        <v>451</v>
      </c>
      <c r="D16" t="s">
        <v>757</v>
      </c>
      <c r="E16" t="s">
        <v>3</v>
      </c>
    </row>
    <row r="17" spans="1:5" x14ac:dyDescent="0.35">
      <c r="A17" t="s">
        <v>433</v>
      </c>
      <c r="B17" t="s">
        <v>448</v>
      </c>
      <c r="C17" t="s">
        <v>558</v>
      </c>
      <c r="D17" t="s">
        <v>758</v>
      </c>
      <c r="E17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F994-8B7B-4D10-9ACA-B35698BBB652}">
  <sheetPr>
    <tabColor theme="5" tint="0.79998168889431442"/>
  </sheetPr>
  <dimension ref="A1:E23"/>
  <sheetViews>
    <sheetView workbookViewId="0">
      <selection activeCell="D33" sqref="D33"/>
    </sheetView>
  </sheetViews>
  <sheetFormatPr defaultRowHeight="14.5" x14ac:dyDescent="0.35"/>
  <cols>
    <col min="1" max="1" width="4.90625" bestFit="1" customWidth="1"/>
    <col min="2" max="2" width="20.1796875" bestFit="1" customWidth="1"/>
    <col min="3" max="3" width="33.08984375" bestFit="1" customWidth="1"/>
    <col min="4" max="4" width="92.54296875" customWidth="1"/>
  </cols>
  <sheetData>
    <row r="1" spans="1:5" x14ac:dyDescent="0.35">
      <c r="A1" t="s">
        <v>432</v>
      </c>
      <c r="B1" t="s">
        <v>418</v>
      </c>
      <c r="C1" t="s">
        <v>421</v>
      </c>
      <c r="D1" t="s">
        <v>419</v>
      </c>
      <c r="E1" t="s">
        <v>19</v>
      </c>
    </row>
    <row r="2" spans="1:5" x14ac:dyDescent="0.35">
      <c r="A2" t="s">
        <v>453</v>
      </c>
      <c r="B2" t="s">
        <v>561</v>
      </c>
      <c r="C2" t="s">
        <v>562</v>
      </c>
      <c r="D2" t="s">
        <v>563</v>
      </c>
      <c r="E2" t="s">
        <v>3</v>
      </c>
    </row>
    <row r="3" spans="1:5" x14ac:dyDescent="0.35">
      <c r="A3" t="s">
        <v>453</v>
      </c>
      <c r="B3" t="s">
        <v>439</v>
      </c>
      <c r="C3" t="s">
        <v>436</v>
      </c>
      <c r="D3" t="s">
        <v>834</v>
      </c>
      <c r="E3" t="s">
        <v>108</v>
      </c>
    </row>
    <row r="4" spans="1:5" x14ac:dyDescent="0.35">
      <c r="A4" t="s">
        <v>453</v>
      </c>
      <c r="B4" t="s">
        <v>439</v>
      </c>
      <c r="C4" t="s">
        <v>435</v>
      </c>
      <c r="D4" t="s">
        <v>556</v>
      </c>
      <c r="E4" t="s">
        <v>434</v>
      </c>
    </row>
    <row r="5" spans="1:5" x14ac:dyDescent="0.35">
      <c r="A5" t="s">
        <v>453</v>
      </c>
      <c r="B5" t="s">
        <v>439</v>
      </c>
      <c r="C5" t="s">
        <v>437</v>
      </c>
      <c r="D5" t="s">
        <v>519</v>
      </c>
      <c r="E5" t="s">
        <v>3</v>
      </c>
    </row>
    <row r="6" spans="1:5" x14ac:dyDescent="0.35">
      <c r="A6" t="s">
        <v>453</v>
      </c>
      <c r="B6" t="s">
        <v>454</v>
      </c>
      <c r="C6" t="s">
        <v>532</v>
      </c>
      <c r="D6" t="s">
        <v>534</v>
      </c>
      <c r="E6" t="s">
        <v>108</v>
      </c>
    </row>
    <row r="7" spans="1:5" x14ac:dyDescent="0.35">
      <c r="A7" t="s">
        <v>453</v>
      </c>
      <c r="B7" t="s">
        <v>454</v>
      </c>
      <c r="C7" t="s">
        <v>570</v>
      </c>
      <c r="D7" t="s">
        <v>521</v>
      </c>
      <c r="E7" t="s">
        <v>108</v>
      </c>
    </row>
    <row r="8" spans="1:5" x14ac:dyDescent="0.35">
      <c r="A8" t="s">
        <v>453</v>
      </c>
      <c r="B8" t="s">
        <v>454</v>
      </c>
      <c r="C8" t="s">
        <v>442</v>
      </c>
      <c r="D8" t="s">
        <v>1057</v>
      </c>
      <c r="E8" t="s">
        <v>108</v>
      </c>
    </row>
    <row r="9" spans="1:5" x14ac:dyDescent="0.35">
      <c r="A9" t="s">
        <v>453</v>
      </c>
      <c r="B9" t="s">
        <v>454</v>
      </c>
      <c r="C9" t="s">
        <v>509</v>
      </c>
      <c r="D9" t="s">
        <v>522</v>
      </c>
      <c r="E9" t="s">
        <v>108</v>
      </c>
    </row>
    <row r="10" spans="1:5" x14ac:dyDescent="0.35">
      <c r="A10" t="s">
        <v>453</v>
      </c>
      <c r="B10" t="s">
        <v>454</v>
      </c>
      <c r="C10" t="s">
        <v>435</v>
      </c>
      <c r="D10" t="s">
        <v>523</v>
      </c>
      <c r="E10" t="s">
        <v>434</v>
      </c>
    </row>
    <row r="11" spans="1:5" x14ac:dyDescent="0.35">
      <c r="A11" t="s">
        <v>453</v>
      </c>
      <c r="B11" t="s">
        <v>454</v>
      </c>
      <c r="C11" t="s">
        <v>443</v>
      </c>
      <c r="D11" t="s">
        <v>524</v>
      </c>
      <c r="E11" t="s">
        <v>446</v>
      </c>
    </row>
    <row r="12" spans="1:5" x14ac:dyDescent="0.35">
      <c r="A12" t="s">
        <v>453</v>
      </c>
      <c r="B12" t="s">
        <v>454</v>
      </c>
      <c r="C12" t="s">
        <v>510</v>
      </c>
      <c r="D12" t="s">
        <v>1063</v>
      </c>
      <c r="E12" t="s">
        <v>447</v>
      </c>
    </row>
    <row r="13" spans="1:5" x14ac:dyDescent="0.35">
      <c r="A13" t="s">
        <v>453</v>
      </c>
      <c r="B13" t="s">
        <v>454</v>
      </c>
      <c r="C13" t="s">
        <v>456</v>
      </c>
      <c r="D13" t="s">
        <v>522</v>
      </c>
      <c r="E13" t="s">
        <v>108</v>
      </c>
    </row>
    <row r="14" spans="1:5" x14ac:dyDescent="0.35">
      <c r="A14" t="s">
        <v>453</v>
      </c>
      <c r="B14" t="s">
        <v>454</v>
      </c>
      <c r="C14" t="s">
        <v>455</v>
      </c>
      <c r="D14" t="s">
        <v>520</v>
      </c>
      <c r="E14" t="s">
        <v>3</v>
      </c>
    </row>
    <row r="15" spans="1:5" x14ac:dyDescent="0.35">
      <c r="A15" t="s">
        <v>453</v>
      </c>
      <c r="B15" t="s">
        <v>448</v>
      </c>
      <c r="C15" t="s">
        <v>533</v>
      </c>
      <c r="D15" t="s">
        <v>535</v>
      </c>
      <c r="E15" t="s">
        <v>108</v>
      </c>
    </row>
    <row r="16" spans="1:5" x14ac:dyDescent="0.35">
      <c r="A16" t="s">
        <v>453</v>
      </c>
      <c r="B16" t="s">
        <v>448</v>
      </c>
      <c r="C16" t="s">
        <v>569</v>
      </c>
      <c r="D16" t="s">
        <v>527</v>
      </c>
      <c r="E16" t="s">
        <v>108</v>
      </c>
    </row>
    <row r="17" spans="1:5" x14ac:dyDescent="0.35">
      <c r="A17" t="s">
        <v>453</v>
      </c>
      <c r="B17" t="s">
        <v>448</v>
      </c>
      <c r="C17" t="s">
        <v>435</v>
      </c>
      <c r="D17" t="s">
        <v>759</v>
      </c>
      <c r="E17" t="s">
        <v>434</v>
      </c>
    </row>
    <row r="18" spans="1:5" x14ac:dyDescent="0.35">
      <c r="A18" t="s">
        <v>453</v>
      </c>
      <c r="B18" t="s">
        <v>448</v>
      </c>
      <c r="C18" t="s">
        <v>443</v>
      </c>
      <c r="D18" t="s">
        <v>760</v>
      </c>
      <c r="E18" t="s">
        <v>446</v>
      </c>
    </row>
    <row r="19" spans="1:5" x14ac:dyDescent="0.35">
      <c r="A19" t="s">
        <v>453</v>
      </c>
      <c r="B19" t="s">
        <v>448</v>
      </c>
      <c r="C19" t="s">
        <v>442</v>
      </c>
      <c r="D19" t="s">
        <v>1060</v>
      </c>
      <c r="E19" t="s">
        <v>108</v>
      </c>
    </row>
    <row r="20" spans="1:5" x14ac:dyDescent="0.35">
      <c r="A20" t="s">
        <v>453</v>
      </c>
      <c r="B20" t="s">
        <v>448</v>
      </c>
      <c r="C20" t="s">
        <v>497</v>
      </c>
      <c r="D20" t="s">
        <v>526</v>
      </c>
      <c r="E20" t="s">
        <v>108</v>
      </c>
    </row>
    <row r="21" spans="1:5" x14ac:dyDescent="0.35">
      <c r="A21" t="s">
        <v>453</v>
      </c>
      <c r="B21" t="s">
        <v>448</v>
      </c>
      <c r="C21" t="s">
        <v>573</v>
      </c>
      <c r="D21" t="s">
        <v>577</v>
      </c>
      <c r="E21" t="s">
        <v>3</v>
      </c>
    </row>
    <row r="22" spans="1:5" x14ac:dyDescent="0.35">
      <c r="A22" t="s">
        <v>453</v>
      </c>
      <c r="B22" t="s">
        <v>448</v>
      </c>
      <c r="C22" t="s">
        <v>451</v>
      </c>
      <c r="D22" t="s">
        <v>525</v>
      </c>
      <c r="E22" t="s">
        <v>3</v>
      </c>
    </row>
    <row r="23" spans="1:5" x14ac:dyDescent="0.35">
      <c r="A23" t="s">
        <v>453</v>
      </c>
      <c r="B23" t="s">
        <v>448</v>
      </c>
      <c r="C23" t="s">
        <v>558</v>
      </c>
      <c r="D23" t="s">
        <v>560</v>
      </c>
      <c r="E2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320A-F2D2-4948-9831-00C4D11DB776}">
  <sheetPr>
    <tabColor theme="5" tint="0.79998168889431442"/>
  </sheetPr>
  <dimension ref="A1:E17"/>
  <sheetViews>
    <sheetView topLeftCell="B1" workbookViewId="0">
      <selection activeCell="D19" sqref="D19"/>
    </sheetView>
  </sheetViews>
  <sheetFormatPr defaultRowHeight="14.5" x14ac:dyDescent="0.35"/>
  <cols>
    <col min="2" max="2" width="16.6328125" bestFit="1" customWidth="1"/>
    <col min="3" max="3" width="26.54296875" bestFit="1" customWidth="1"/>
    <col min="4" max="4" width="99" customWidth="1"/>
  </cols>
  <sheetData>
    <row r="1" spans="1:5" x14ac:dyDescent="0.35">
      <c r="A1" t="s">
        <v>432</v>
      </c>
      <c r="B1" t="s">
        <v>418</v>
      </c>
      <c r="C1" t="s">
        <v>421</v>
      </c>
      <c r="D1" t="s">
        <v>419</v>
      </c>
      <c r="E1" t="s">
        <v>19</v>
      </c>
    </row>
    <row r="2" spans="1:5" x14ac:dyDescent="0.35">
      <c r="A2" t="s">
        <v>449</v>
      </c>
      <c r="B2" t="s">
        <v>561</v>
      </c>
      <c r="C2" t="s">
        <v>562</v>
      </c>
      <c r="D2" t="s">
        <v>563</v>
      </c>
      <c r="E2" t="s">
        <v>3</v>
      </c>
    </row>
    <row r="3" spans="1:5" x14ac:dyDescent="0.35">
      <c r="A3" t="s">
        <v>449</v>
      </c>
      <c r="B3" t="s">
        <v>440</v>
      </c>
      <c r="C3" t="s">
        <v>436</v>
      </c>
      <c r="D3" t="s">
        <v>564</v>
      </c>
      <c r="E3" t="s">
        <v>108</v>
      </c>
    </row>
    <row r="4" spans="1:5" x14ac:dyDescent="0.35">
      <c r="A4" t="s">
        <v>449</v>
      </c>
      <c r="B4" t="s">
        <v>440</v>
      </c>
      <c r="C4" t="s">
        <v>442</v>
      </c>
      <c r="D4" t="s">
        <v>1061</v>
      </c>
      <c r="E4" t="s">
        <v>108</v>
      </c>
    </row>
    <row r="5" spans="1:5" x14ac:dyDescent="0.35">
      <c r="A5" t="s">
        <v>449</v>
      </c>
      <c r="B5" t="s">
        <v>440</v>
      </c>
      <c r="C5" t="s">
        <v>435</v>
      </c>
      <c r="D5" t="s">
        <v>518</v>
      </c>
      <c r="E5" t="s">
        <v>434</v>
      </c>
    </row>
    <row r="6" spans="1:5" x14ac:dyDescent="0.35">
      <c r="A6" t="s">
        <v>449</v>
      </c>
      <c r="B6" t="s">
        <v>440</v>
      </c>
      <c r="C6" t="s">
        <v>511</v>
      </c>
      <c r="D6" t="s">
        <v>580</v>
      </c>
      <c r="E6" t="s">
        <v>108</v>
      </c>
    </row>
    <row r="7" spans="1:5" x14ac:dyDescent="0.35">
      <c r="A7" t="s">
        <v>449</v>
      </c>
      <c r="B7" t="s">
        <v>440</v>
      </c>
      <c r="C7" t="s">
        <v>510</v>
      </c>
      <c r="D7" t="s">
        <v>581</v>
      </c>
      <c r="E7" t="s">
        <v>447</v>
      </c>
    </row>
    <row r="8" spans="1:5" x14ac:dyDescent="0.35">
      <c r="A8" t="s">
        <v>449</v>
      </c>
      <c r="B8" t="s">
        <v>440</v>
      </c>
      <c r="C8" t="s">
        <v>438</v>
      </c>
      <c r="D8" t="s">
        <v>517</v>
      </c>
      <c r="E8" t="s">
        <v>3</v>
      </c>
    </row>
    <row r="9" spans="1:5" x14ac:dyDescent="0.35">
      <c r="A9" t="s">
        <v>449</v>
      </c>
      <c r="B9" t="s">
        <v>536</v>
      </c>
      <c r="C9" t="s">
        <v>531</v>
      </c>
      <c r="D9" t="s">
        <v>1023</v>
      </c>
      <c r="E9" t="s">
        <v>108</v>
      </c>
    </row>
    <row r="10" spans="1:5" x14ac:dyDescent="0.35">
      <c r="A10" t="s">
        <v>449</v>
      </c>
      <c r="B10" t="s">
        <v>536</v>
      </c>
      <c r="C10" t="s">
        <v>568</v>
      </c>
      <c r="D10" t="s">
        <v>1022</v>
      </c>
      <c r="E10" t="s">
        <v>108</v>
      </c>
    </row>
    <row r="11" spans="1:5" ht="16" customHeight="1" x14ac:dyDescent="0.35">
      <c r="A11" t="s">
        <v>449</v>
      </c>
      <c r="B11" t="s">
        <v>536</v>
      </c>
      <c r="C11" t="s">
        <v>435</v>
      </c>
      <c r="D11" s="221" t="s">
        <v>1040</v>
      </c>
      <c r="E11" t="s">
        <v>434</v>
      </c>
    </row>
    <row r="12" spans="1:5" x14ac:dyDescent="0.35">
      <c r="A12" t="s">
        <v>449</v>
      </c>
      <c r="B12" t="s">
        <v>536</v>
      </c>
      <c r="C12" t="s">
        <v>443</v>
      </c>
      <c r="D12" t="s">
        <v>1041</v>
      </c>
      <c r="E12" t="s">
        <v>446</v>
      </c>
    </row>
    <row r="13" spans="1:5" x14ac:dyDescent="0.35">
      <c r="A13" t="s">
        <v>449</v>
      </c>
      <c r="B13" t="s">
        <v>536</v>
      </c>
      <c r="C13" t="s">
        <v>442</v>
      </c>
      <c r="D13" t="s">
        <v>1062</v>
      </c>
      <c r="E13" t="s">
        <v>108</v>
      </c>
    </row>
    <row r="14" spans="1:5" x14ac:dyDescent="0.35">
      <c r="A14" t="s">
        <v>449</v>
      </c>
      <c r="B14" t="s">
        <v>536</v>
      </c>
      <c r="C14" t="s">
        <v>510</v>
      </c>
      <c r="D14" t="s">
        <v>1021</v>
      </c>
      <c r="E14" t="s">
        <v>447</v>
      </c>
    </row>
    <row r="15" spans="1:5" x14ac:dyDescent="0.35">
      <c r="A15" t="s">
        <v>449</v>
      </c>
      <c r="B15" t="s">
        <v>536</v>
      </c>
      <c r="C15" t="s">
        <v>575</v>
      </c>
      <c r="D15" t="s">
        <v>576</v>
      </c>
      <c r="E15" t="s">
        <v>3</v>
      </c>
    </row>
    <row r="16" spans="1:5" x14ac:dyDescent="0.35">
      <c r="A16" t="s">
        <v>449</v>
      </c>
      <c r="B16" t="s">
        <v>536</v>
      </c>
      <c r="C16" t="s">
        <v>452</v>
      </c>
      <c r="D16" t="s">
        <v>1042</v>
      </c>
      <c r="E16" t="s">
        <v>3</v>
      </c>
    </row>
    <row r="17" spans="1:5" x14ac:dyDescent="0.35">
      <c r="A17" t="s">
        <v>449</v>
      </c>
      <c r="B17" t="s">
        <v>536</v>
      </c>
      <c r="C17" t="s">
        <v>559</v>
      </c>
      <c r="D17" t="s">
        <v>1043</v>
      </c>
      <c r="E1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F56-8CC8-4674-A06E-61D464ED0A47}">
  <sheetPr>
    <tabColor theme="2"/>
  </sheetPr>
  <dimension ref="A1:B62"/>
  <sheetViews>
    <sheetView workbookViewId="0">
      <selection activeCell="B9" sqref="B9"/>
    </sheetView>
  </sheetViews>
  <sheetFormatPr defaultRowHeight="14.5" x14ac:dyDescent="0.35"/>
  <cols>
    <col min="1" max="1" width="24.7265625" customWidth="1"/>
    <col min="2" max="2" width="255.453125" customWidth="1"/>
  </cols>
  <sheetData>
    <row r="1" spans="1:2" x14ac:dyDescent="0.35">
      <c r="A1" t="s">
        <v>786</v>
      </c>
    </row>
    <row r="2" spans="1:2" x14ac:dyDescent="0.35">
      <c r="A2" t="s">
        <v>762</v>
      </c>
      <c r="B2" t="s">
        <v>763</v>
      </c>
    </row>
    <row r="3" spans="1:2" x14ac:dyDescent="0.35">
      <c r="A3" t="s">
        <v>764</v>
      </c>
      <c r="B3" t="s">
        <v>765</v>
      </c>
    </row>
    <row r="4" spans="1:2" x14ac:dyDescent="0.35">
      <c r="A4" t="s">
        <v>766</v>
      </c>
      <c r="B4" t="s">
        <v>767</v>
      </c>
    </row>
    <row r="5" spans="1:2" x14ac:dyDescent="0.35">
      <c r="A5" t="s">
        <v>768</v>
      </c>
      <c r="B5" t="s">
        <v>769</v>
      </c>
    </row>
    <row r="6" spans="1:2" x14ac:dyDescent="0.35">
      <c r="A6" t="s">
        <v>770</v>
      </c>
      <c r="B6" t="s">
        <v>771</v>
      </c>
    </row>
    <row r="7" spans="1:2" x14ac:dyDescent="0.35">
      <c r="A7" t="s">
        <v>784</v>
      </c>
      <c r="B7" t="s">
        <v>785</v>
      </c>
    </row>
    <row r="9" spans="1:2" x14ac:dyDescent="0.35">
      <c r="A9" t="s">
        <v>661</v>
      </c>
    </row>
    <row r="10" spans="1:2" x14ac:dyDescent="0.35">
      <c r="A10" t="s">
        <v>4</v>
      </c>
      <c r="B10" t="s">
        <v>787</v>
      </c>
    </row>
    <row r="11" spans="1:2" x14ac:dyDescent="0.35">
      <c r="A11" t="s">
        <v>865</v>
      </c>
      <c r="B11" t="s">
        <v>793</v>
      </c>
    </row>
    <row r="12" spans="1:2" x14ac:dyDescent="0.35">
      <c r="A12" t="s">
        <v>866</v>
      </c>
      <c r="B12" t="s">
        <v>788</v>
      </c>
    </row>
    <row r="13" spans="1:2" x14ac:dyDescent="0.35">
      <c r="A13" t="s">
        <v>867</v>
      </c>
      <c r="B13" t="s">
        <v>789</v>
      </c>
    </row>
    <row r="14" spans="1:2" x14ac:dyDescent="0.35">
      <c r="A14" t="s">
        <v>868</v>
      </c>
      <c r="B14" t="s">
        <v>792</v>
      </c>
    </row>
    <row r="15" spans="1:2" x14ac:dyDescent="0.35">
      <c r="A15" t="s">
        <v>870</v>
      </c>
      <c r="B15" t="s">
        <v>791</v>
      </c>
    </row>
    <row r="16" spans="1:2" x14ac:dyDescent="0.35">
      <c r="A16" t="s">
        <v>869</v>
      </c>
      <c r="B16" t="s">
        <v>794</v>
      </c>
    </row>
    <row r="17" spans="1:2" x14ac:dyDescent="0.35">
      <c r="A17" t="s">
        <v>871</v>
      </c>
      <c r="B17" t="s">
        <v>795</v>
      </c>
    </row>
    <row r="18" spans="1:2" x14ac:dyDescent="0.35">
      <c r="A18" t="s">
        <v>772</v>
      </c>
      <c r="B18" t="s">
        <v>774</v>
      </c>
    </row>
    <row r="19" spans="1:2" x14ac:dyDescent="0.35">
      <c r="A19" t="s">
        <v>872</v>
      </c>
      <c r="B19" t="s">
        <v>796</v>
      </c>
    </row>
    <row r="20" spans="1:2" x14ac:dyDescent="0.35">
      <c r="A20" t="s">
        <v>918</v>
      </c>
      <c r="B20" t="s">
        <v>919</v>
      </c>
    </row>
    <row r="21" spans="1:2" x14ac:dyDescent="0.35">
      <c r="A21" t="s">
        <v>873</v>
      </c>
      <c r="B21" t="s">
        <v>797</v>
      </c>
    </row>
    <row r="22" spans="1:2" x14ac:dyDescent="0.35">
      <c r="A22" t="s">
        <v>221</v>
      </c>
      <c r="B22" t="s">
        <v>798</v>
      </c>
    </row>
    <row r="23" spans="1:2" x14ac:dyDescent="0.35">
      <c r="A23" t="s">
        <v>875</v>
      </c>
      <c r="B23" t="s">
        <v>810</v>
      </c>
    </row>
    <row r="24" spans="1:2" x14ac:dyDescent="0.35">
      <c r="A24" t="s">
        <v>874</v>
      </c>
      <c r="B24" t="s">
        <v>799</v>
      </c>
    </row>
    <row r="25" spans="1:2" x14ac:dyDescent="0.35">
      <c r="A25" t="s">
        <v>876</v>
      </c>
      <c r="B25" t="s">
        <v>800</v>
      </c>
    </row>
    <row r="26" spans="1:2" x14ac:dyDescent="0.35">
      <c r="A26" t="s">
        <v>877</v>
      </c>
      <c r="B26" t="s">
        <v>801</v>
      </c>
    </row>
    <row r="27" spans="1:2" x14ac:dyDescent="0.35">
      <c r="A27" t="s">
        <v>878</v>
      </c>
      <c r="B27" t="s">
        <v>833</v>
      </c>
    </row>
    <row r="28" spans="1:2" x14ac:dyDescent="0.35">
      <c r="A28" t="s">
        <v>133</v>
      </c>
      <c r="B28" t="s">
        <v>776</v>
      </c>
    </row>
    <row r="29" spans="1:2" x14ac:dyDescent="0.35">
      <c r="A29" t="s">
        <v>879</v>
      </c>
      <c r="B29" t="s">
        <v>802</v>
      </c>
    </row>
    <row r="30" spans="1:2" x14ac:dyDescent="0.35">
      <c r="A30" t="s">
        <v>773</v>
      </c>
      <c r="B30" t="s">
        <v>775</v>
      </c>
    </row>
    <row r="31" spans="1:2" x14ac:dyDescent="0.35">
      <c r="A31" t="s">
        <v>880</v>
      </c>
      <c r="B31" t="s">
        <v>803</v>
      </c>
    </row>
    <row r="32" spans="1:2" x14ac:dyDescent="0.35">
      <c r="A32" t="s">
        <v>777</v>
      </c>
      <c r="B32" t="s">
        <v>790</v>
      </c>
    </row>
    <row r="33" spans="1:2" x14ac:dyDescent="0.35">
      <c r="A33" t="s">
        <v>881</v>
      </c>
      <c r="B33" t="s">
        <v>804</v>
      </c>
    </row>
    <row r="34" spans="1:2" x14ac:dyDescent="0.35">
      <c r="A34" t="s">
        <v>882</v>
      </c>
      <c r="B34" t="s">
        <v>805</v>
      </c>
    </row>
    <row r="35" spans="1:2" x14ac:dyDescent="0.35">
      <c r="A35" t="s">
        <v>883</v>
      </c>
      <c r="B35" t="s">
        <v>806</v>
      </c>
    </row>
    <row r="36" spans="1:2" x14ac:dyDescent="0.35">
      <c r="A36" t="s">
        <v>884</v>
      </c>
      <c r="B36" t="s">
        <v>807</v>
      </c>
    </row>
    <row r="37" spans="1:2" x14ac:dyDescent="0.35">
      <c r="A37" t="s">
        <v>885</v>
      </c>
      <c r="B37" t="s">
        <v>808</v>
      </c>
    </row>
    <row r="38" spans="1:2" x14ac:dyDescent="0.35">
      <c r="A38" t="s">
        <v>886</v>
      </c>
      <c r="B38" t="s">
        <v>809</v>
      </c>
    </row>
    <row r="39" spans="1:2" x14ac:dyDescent="0.35">
      <c r="A39" t="s">
        <v>905</v>
      </c>
      <c r="B39" t="s">
        <v>941</v>
      </c>
    </row>
    <row r="40" spans="1:2" x14ac:dyDescent="0.35">
      <c r="A40" t="s">
        <v>937</v>
      </c>
      <c r="B40" t="s">
        <v>940</v>
      </c>
    </row>
    <row r="41" spans="1:2" x14ac:dyDescent="0.35">
      <c r="A41" t="s">
        <v>887</v>
      </c>
      <c r="B41" t="s">
        <v>811</v>
      </c>
    </row>
    <row r="42" spans="1:2" x14ac:dyDescent="0.35">
      <c r="A42" t="s">
        <v>888</v>
      </c>
      <c r="B42" t="s">
        <v>812</v>
      </c>
    </row>
    <row r="43" spans="1:2" x14ac:dyDescent="0.35">
      <c r="A43" t="s">
        <v>889</v>
      </c>
      <c r="B43" t="s">
        <v>813</v>
      </c>
    </row>
    <row r="44" spans="1:2" x14ac:dyDescent="0.35">
      <c r="A44" t="s">
        <v>890</v>
      </c>
      <c r="B44" t="s">
        <v>814</v>
      </c>
    </row>
    <row r="45" spans="1:2" x14ac:dyDescent="0.35">
      <c r="A45" t="s">
        <v>891</v>
      </c>
      <c r="B45" t="s">
        <v>815</v>
      </c>
    </row>
    <row r="46" spans="1:2" x14ac:dyDescent="0.35">
      <c r="A46" t="s">
        <v>892</v>
      </c>
      <c r="B46" t="s">
        <v>816</v>
      </c>
    </row>
    <row r="47" spans="1:2" x14ac:dyDescent="0.35">
      <c r="A47" t="s">
        <v>893</v>
      </c>
      <c r="B47" t="s">
        <v>817</v>
      </c>
    </row>
    <row r="48" spans="1:2" x14ac:dyDescent="0.35">
      <c r="A48" t="s">
        <v>894</v>
      </c>
      <c r="B48" t="s">
        <v>818</v>
      </c>
    </row>
    <row r="49" spans="1:2" x14ac:dyDescent="0.35">
      <c r="A49" t="s">
        <v>895</v>
      </c>
      <c r="B49" t="s">
        <v>819</v>
      </c>
    </row>
    <row r="50" spans="1:2" x14ac:dyDescent="0.35">
      <c r="A50" t="s">
        <v>896</v>
      </c>
      <c r="B50" t="s">
        <v>820</v>
      </c>
    </row>
    <row r="51" spans="1:2" x14ac:dyDescent="0.35">
      <c r="A51" t="s">
        <v>897</v>
      </c>
      <c r="B51" t="s">
        <v>821</v>
      </c>
    </row>
    <row r="52" spans="1:2" x14ac:dyDescent="0.35">
      <c r="A52" t="s">
        <v>220</v>
      </c>
      <c r="B52" t="s">
        <v>822</v>
      </c>
    </row>
    <row r="53" spans="1:2" x14ac:dyDescent="0.35">
      <c r="A53" t="s">
        <v>898</v>
      </c>
      <c r="B53" t="s">
        <v>823</v>
      </c>
    </row>
    <row r="54" spans="1:2" x14ac:dyDescent="0.35">
      <c r="A54" t="s">
        <v>899</v>
      </c>
      <c r="B54" t="s">
        <v>824</v>
      </c>
    </row>
    <row r="55" spans="1:2" x14ac:dyDescent="0.35">
      <c r="A55" t="s">
        <v>778</v>
      </c>
      <c r="B55" t="s">
        <v>825</v>
      </c>
    </row>
    <row r="56" spans="1:2" x14ac:dyDescent="0.35">
      <c r="A56" t="s">
        <v>900</v>
      </c>
      <c r="B56" t="s">
        <v>826</v>
      </c>
    </row>
    <row r="57" spans="1:2" x14ac:dyDescent="0.35">
      <c r="A57" t="s">
        <v>901</v>
      </c>
      <c r="B57" t="s">
        <v>827</v>
      </c>
    </row>
    <row r="58" spans="1:2" x14ac:dyDescent="0.35">
      <c r="A58" t="s">
        <v>902</v>
      </c>
      <c r="B58" t="s">
        <v>828</v>
      </c>
    </row>
    <row r="59" spans="1:2" x14ac:dyDescent="0.35">
      <c r="A59" t="s">
        <v>903</v>
      </c>
      <c r="B59" t="s">
        <v>829</v>
      </c>
    </row>
    <row r="60" spans="1:2" x14ac:dyDescent="0.35">
      <c r="A60" t="s">
        <v>904</v>
      </c>
      <c r="B60" t="s">
        <v>830</v>
      </c>
    </row>
    <row r="61" spans="1:2" x14ac:dyDescent="0.35">
      <c r="A61" t="s">
        <v>905</v>
      </c>
      <c r="B61" t="s">
        <v>831</v>
      </c>
    </row>
    <row r="62" spans="1:2" x14ac:dyDescent="0.35">
      <c r="A62" t="s">
        <v>906</v>
      </c>
      <c r="B62" t="s">
        <v>832</v>
      </c>
    </row>
  </sheetData>
  <sortState xmlns:xlrd2="http://schemas.microsoft.com/office/spreadsheetml/2017/richdata2" ref="A10:B62">
    <sortCondition ref="A10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33"/>
  <sheetViews>
    <sheetView zoomScaleNormal="100" workbookViewId="0">
      <selection activeCell="F46" sqref="F46"/>
    </sheetView>
  </sheetViews>
  <sheetFormatPr defaultRowHeight="14.5" x14ac:dyDescent="0.35"/>
  <cols>
    <col min="1" max="1" width="28.453125" bestFit="1" customWidth="1"/>
    <col min="6" max="6" width="59.26953125" customWidth="1"/>
    <col min="7" max="7" width="146.1796875" customWidth="1"/>
  </cols>
  <sheetData>
    <row r="1" spans="1:7" ht="15" thickBot="1" x14ac:dyDescent="0.4">
      <c r="A1" s="1" t="s">
        <v>420</v>
      </c>
      <c r="B1" t="s">
        <v>582</v>
      </c>
      <c r="C1" t="s">
        <v>583</v>
      </c>
      <c r="D1" t="s">
        <v>584</v>
      </c>
      <c r="E1" t="s">
        <v>19</v>
      </c>
      <c r="F1" t="s">
        <v>594</v>
      </c>
      <c r="G1" t="s">
        <v>586</v>
      </c>
    </row>
    <row r="2" spans="1:7" x14ac:dyDescent="0.35">
      <c r="A2" s="153" t="s">
        <v>590</v>
      </c>
      <c r="B2" s="71">
        <f>0.3*0.6</f>
        <v>0.18</v>
      </c>
      <c r="C2" s="71">
        <f>2*0.7</f>
        <v>1.4</v>
      </c>
      <c r="D2" s="71" t="s">
        <v>352</v>
      </c>
      <c r="E2" s="71" t="s">
        <v>585</v>
      </c>
      <c r="F2" s="71" t="s">
        <v>848</v>
      </c>
      <c r="G2" s="72" t="s">
        <v>990</v>
      </c>
    </row>
    <row r="3" spans="1:7" x14ac:dyDescent="0.35">
      <c r="A3" s="73" t="s">
        <v>592</v>
      </c>
      <c r="B3" s="12">
        <f>8*0.6</f>
        <v>4.8</v>
      </c>
      <c r="C3" s="12">
        <f>16*0.7</f>
        <v>11.2</v>
      </c>
      <c r="D3" s="12" t="s">
        <v>352</v>
      </c>
      <c r="E3" s="12" t="s">
        <v>585</v>
      </c>
      <c r="F3" s="12" t="s">
        <v>848</v>
      </c>
      <c r="G3" s="74" t="s">
        <v>991</v>
      </c>
    </row>
    <row r="4" spans="1:7" x14ac:dyDescent="0.35">
      <c r="A4" s="73" t="s">
        <v>591</v>
      </c>
      <c r="B4" s="12">
        <v>5</v>
      </c>
      <c r="C4" s="12">
        <v>30</v>
      </c>
      <c r="D4" s="12">
        <v>23.4</v>
      </c>
      <c r="E4" s="12" t="s">
        <v>585</v>
      </c>
      <c r="F4" s="12" t="s">
        <v>849</v>
      </c>
      <c r="G4" s="74"/>
    </row>
    <row r="5" spans="1:7" x14ac:dyDescent="0.35">
      <c r="A5" s="73" t="s">
        <v>587</v>
      </c>
      <c r="B5" s="12">
        <f>42*0.6</f>
        <v>25.2</v>
      </c>
      <c r="C5" s="12">
        <f>324*0.7</f>
        <v>226.79999999999998</v>
      </c>
      <c r="D5" s="12" t="s">
        <v>352</v>
      </c>
      <c r="E5" s="12" t="s">
        <v>585</v>
      </c>
      <c r="F5" s="12" t="s">
        <v>848</v>
      </c>
      <c r="G5" s="74"/>
    </row>
    <row r="6" spans="1:7" ht="29" x14ac:dyDescent="0.35">
      <c r="A6" s="179" t="s">
        <v>588</v>
      </c>
      <c r="B6" s="180">
        <v>180</v>
      </c>
      <c r="C6" s="180">
        <v>544</v>
      </c>
      <c r="D6" s="180">
        <v>400</v>
      </c>
      <c r="E6" s="180" t="s">
        <v>585</v>
      </c>
      <c r="F6" s="218" t="s">
        <v>850</v>
      </c>
      <c r="G6" s="219" t="s">
        <v>595</v>
      </c>
    </row>
    <row r="7" spans="1:7" ht="29" x14ac:dyDescent="0.35">
      <c r="A7" s="179" t="s">
        <v>589</v>
      </c>
      <c r="B7" s="180">
        <v>52.271999999999998</v>
      </c>
      <c r="C7" s="180">
        <v>236.96795454545455</v>
      </c>
      <c r="D7" s="180">
        <v>143.80146794995827</v>
      </c>
      <c r="E7" s="180" t="s">
        <v>585</v>
      </c>
      <c r="F7" s="218" t="s">
        <v>851</v>
      </c>
      <c r="G7" s="219" t="s">
        <v>597</v>
      </c>
    </row>
    <row r="8" spans="1:7" x14ac:dyDescent="0.35">
      <c r="A8" s="179" t="s">
        <v>372</v>
      </c>
      <c r="B8" s="180">
        <f>10.8*0.6</f>
        <v>6.48</v>
      </c>
      <c r="C8" s="180">
        <f>26.6*0.7</f>
        <v>18.62</v>
      </c>
      <c r="D8" s="180" t="s">
        <v>352</v>
      </c>
      <c r="E8" s="180" t="s">
        <v>585</v>
      </c>
      <c r="F8" s="218" t="s">
        <v>858</v>
      </c>
      <c r="G8" s="219" t="s">
        <v>987</v>
      </c>
    </row>
    <row r="9" spans="1:7" x14ac:dyDescent="0.35">
      <c r="A9" s="179" t="s">
        <v>988</v>
      </c>
      <c r="B9" s="180">
        <v>124</v>
      </c>
      <c r="C9" s="180">
        <v>273</v>
      </c>
      <c r="D9" s="180" t="s">
        <v>352</v>
      </c>
      <c r="E9" s="180" t="s">
        <v>585</v>
      </c>
      <c r="F9" s="218" t="s">
        <v>989</v>
      </c>
      <c r="G9" s="219"/>
    </row>
    <row r="10" spans="1:7" x14ac:dyDescent="0.35">
      <c r="A10" s="73" t="s">
        <v>371</v>
      </c>
      <c r="B10" s="12">
        <v>1.4</v>
      </c>
      <c r="C10" s="12">
        <v>2.2000000000000002</v>
      </c>
      <c r="D10" s="12" t="s">
        <v>352</v>
      </c>
      <c r="E10" s="12" t="s">
        <v>585</v>
      </c>
      <c r="F10" s="12" t="s">
        <v>984</v>
      </c>
      <c r="G10" s="74"/>
    </row>
    <row r="11" spans="1:7" x14ac:dyDescent="0.35">
      <c r="A11" s="73" t="s">
        <v>364</v>
      </c>
      <c r="B11" s="12">
        <v>257</v>
      </c>
      <c r="C11" s="12">
        <v>325</v>
      </c>
      <c r="D11" s="12" t="s">
        <v>352</v>
      </c>
      <c r="E11" s="12" t="s">
        <v>585</v>
      </c>
      <c r="F11" s="209" t="s">
        <v>852</v>
      </c>
      <c r="G11" s="74"/>
    </row>
    <row r="12" spans="1:7" x14ac:dyDescent="0.35">
      <c r="A12" s="73" t="s">
        <v>363</v>
      </c>
      <c r="B12" s="12">
        <v>2.9</v>
      </c>
      <c r="C12" s="12">
        <v>47.6</v>
      </c>
      <c r="D12" s="12">
        <v>34</v>
      </c>
      <c r="E12" s="12" t="s">
        <v>585</v>
      </c>
      <c r="F12" s="209" t="s">
        <v>853</v>
      </c>
      <c r="G12" s="74" t="s">
        <v>598</v>
      </c>
    </row>
    <row r="13" spans="1:7" x14ac:dyDescent="0.35">
      <c r="A13" s="73" t="s">
        <v>370</v>
      </c>
      <c r="B13" s="12">
        <v>74</v>
      </c>
      <c r="C13" s="12">
        <v>124</v>
      </c>
      <c r="D13" s="12" t="s">
        <v>352</v>
      </c>
      <c r="E13" s="12" t="s">
        <v>596</v>
      </c>
      <c r="F13" s="12" t="s">
        <v>854</v>
      </c>
      <c r="G13" s="74" t="s">
        <v>616</v>
      </c>
    </row>
    <row r="14" spans="1:7" ht="29" x14ac:dyDescent="0.35">
      <c r="A14" s="179" t="s">
        <v>369</v>
      </c>
      <c r="B14" s="180">
        <v>1.08</v>
      </c>
      <c r="C14" s="180">
        <f>5.76*0.65</f>
        <v>3.7439999999999998</v>
      </c>
      <c r="D14" s="180">
        <v>3.42</v>
      </c>
      <c r="E14" s="180" t="s">
        <v>596</v>
      </c>
      <c r="F14" s="218" t="s">
        <v>855</v>
      </c>
      <c r="G14" s="222" t="s">
        <v>992</v>
      </c>
    </row>
    <row r="15" spans="1:7" x14ac:dyDescent="0.35">
      <c r="A15" s="73" t="s">
        <v>362</v>
      </c>
      <c r="B15" s="12">
        <f>12*0.6</f>
        <v>7.1999999999999993</v>
      </c>
      <c r="C15" s="12">
        <f>27*0.7</f>
        <v>18.899999999999999</v>
      </c>
      <c r="D15" s="12" t="s">
        <v>352</v>
      </c>
      <c r="E15" s="12" t="s">
        <v>596</v>
      </c>
      <c r="F15" s="12" t="s">
        <v>856</v>
      </c>
      <c r="G15" s="74" t="s">
        <v>993</v>
      </c>
    </row>
    <row r="16" spans="1:7" x14ac:dyDescent="0.35">
      <c r="A16" s="73" t="s">
        <v>361</v>
      </c>
      <c r="B16" s="12">
        <v>0.27</v>
      </c>
      <c r="C16" s="12">
        <v>0.61199999999999999</v>
      </c>
      <c r="D16" s="12" t="s">
        <v>352</v>
      </c>
      <c r="E16" s="12" t="s">
        <v>596</v>
      </c>
      <c r="F16" s="12" t="s">
        <v>848</v>
      </c>
      <c r="G16" s="74" t="s">
        <v>993</v>
      </c>
    </row>
    <row r="17" spans="1:7" x14ac:dyDescent="0.35">
      <c r="A17" s="73" t="s">
        <v>360</v>
      </c>
      <c r="B17" s="12">
        <f>1.69*0.6</f>
        <v>1.014</v>
      </c>
      <c r="C17" s="12">
        <f>3.6*0.7</f>
        <v>2.52</v>
      </c>
      <c r="D17" s="12">
        <f>2.45*0.65</f>
        <v>1.5925000000000002</v>
      </c>
      <c r="E17" s="12" t="s">
        <v>596</v>
      </c>
      <c r="F17" s="12" t="s">
        <v>857</v>
      </c>
      <c r="G17" s="74" t="s">
        <v>599</v>
      </c>
    </row>
    <row r="18" spans="1:7" x14ac:dyDescent="0.35">
      <c r="A18" s="73" t="s">
        <v>357</v>
      </c>
      <c r="B18" s="12">
        <f>0.65*0.6</f>
        <v>0.39</v>
      </c>
      <c r="C18" s="12">
        <f>2.7*0.7</f>
        <v>1.89</v>
      </c>
      <c r="D18" s="12" t="s">
        <v>352</v>
      </c>
      <c r="E18" s="12" t="s">
        <v>585</v>
      </c>
      <c r="F18" s="12" t="s">
        <v>858</v>
      </c>
      <c r="G18" s="74"/>
    </row>
    <row r="19" spans="1:7" x14ac:dyDescent="0.35">
      <c r="A19" s="73" t="s">
        <v>351</v>
      </c>
      <c r="B19" s="12">
        <v>180</v>
      </c>
      <c r="C19" s="12">
        <v>544</v>
      </c>
      <c r="D19" s="12">
        <v>400</v>
      </c>
      <c r="E19" s="12" t="s">
        <v>585</v>
      </c>
      <c r="F19" s="12" t="s">
        <v>3</v>
      </c>
      <c r="G19" s="74" t="s">
        <v>600</v>
      </c>
    </row>
    <row r="20" spans="1:7" x14ac:dyDescent="0.35">
      <c r="A20" s="73" t="s">
        <v>967</v>
      </c>
      <c r="B20" s="12">
        <v>0.09</v>
      </c>
      <c r="C20" s="12">
        <v>0.16400000000000001</v>
      </c>
      <c r="D20" s="12">
        <v>0.15</v>
      </c>
      <c r="E20" s="12" t="s">
        <v>194</v>
      </c>
      <c r="F20" s="12" t="s">
        <v>859</v>
      </c>
      <c r="G20" s="74" t="s">
        <v>618</v>
      </c>
    </row>
    <row r="21" spans="1:7" x14ac:dyDescent="0.35">
      <c r="A21" s="73" t="s">
        <v>968</v>
      </c>
      <c r="B21" s="12">
        <v>0.3</v>
      </c>
      <c r="C21" s="12">
        <v>0.35</v>
      </c>
      <c r="D21" s="12" t="s">
        <v>352</v>
      </c>
      <c r="E21" s="12" t="s">
        <v>194</v>
      </c>
      <c r="F21" s="12" t="s">
        <v>952</v>
      </c>
      <c r="G21" s="74"/>
    </row>
    <row r="22" spans="1:7" ht="29" x14ac:dyDescent="0.35">
      <c r="A22" s="179" t="s">
        <v>359</v>
      </c>
      <c r="B22" s="180">
        <v>3600</v>
      </c>
      <c r="C22" s="180">
        <v>5040</v>
      </c>
      <c r="D22" s="180">
        <v>3600</v>
      </c>
      <c r="E22" s="180" t="s">
        <v>585</v>
      </c>
      <c r="F22" s="218" t="s">
        <v>860</v>
      </c>
      <c r="G22" s="219"/>
    </row>
    <row r="23" spans="1:7" x14ac:dyDescent="0.35">
      <c r="A23" s="73" t="s">
        <v>505</v>
      </c>
      <c r="B23" s="12">
        <v>4680</v>
      </c>
      <c r="C23" s="12">
        <v>5400</v>
      </c>
      <c r="D23" s="12" t="s">
        <v>352</v>
      </c>
      <c r="E23" s="12" t="s">
        <v>585</v>
      </c>
      <c r="F23" s="12" t="s">
        <v>861</v>
      </c>
      <c r="G23" s="74"/>
    </row>
    <row r="24" spans="1:7" x14ac:dyDescent="0.35">
      <c r="A24" s="73" t="s">
        <v>367</v>
      </c>
      <c r="B24" s="12">
        <v>3200</v>
      </c>
      <c r="C24" s="12">
        <v>5400</v>
      </c>
      <c r="D24" s="12">
        <v>3850</v>
      </c>
      <c r="E24" s="12" t="s">
        <v>585</v>
      </c>
      <c r="F24" s="12" t="s">
        <v>862</v>
      </c>
      <c r="G24" s="74" t="s">
        <v>595</v>
      </c>
    </row>
    <row r="25" spans="1:7" x14ac:dyDescent="0.35">
      <c r="A25" s="73" t="s">
        <v>366</v>
      </c>
      <c r="B25" s="12">
        <v>3268</v>
      </c>
      <c r="C25" s="12">
        <v>6333</v>
      </c>
      <c r="D25" s="12" t="s">
        <v>352</v>
      </c>
      <c r="E25" s="12" t="s">
        <v>585</v>
      </c>
      <c r="F25" s="12" t="s">
        <v>863</v>
      </c>
      <c r="G25" s="74" t="s">
        <v>595</v>
      </c>
    </row>
    <row r="26" spans="1:7" x14ac:dyDescent="0.35">
      <c r="A26" s="73" t="s">
        <v>365</v>
      </c>
      <c r="B26" s="12">
        <v>0.12</v>
      </c>
      <c r="C26" s="12">
        <v>0.2</v>
      </c>
      <c r="D26" s="12">
        <v>0.16</v>
      </c>
      <c r="E26" s="12" t="s">
        <v>194</v>
      </c>
      <c r="F26" s="12" t="s">
        <v>617</v>
      </c>
      <c r="G26" s="74"/>
    </row>
    <row r="27" spans="1:7" x14ac:dyDescent="0.35">
      <c r="A27" s="73" t="s">
        <v>358</v>
      </c>
      <c r="B27" s="12" t="s">
        <v>352</v>
      </c>
      <c r="C27" s="12" t="s">
        <v>352</v>
      </c>
      <c r="D27" s="12">
        <v>15.44</v>
      </c>
      <c r="E27" s="12" t="s">
        <v>585</v>
      </c>
      <c r="F27" s="12" t="s">
        <v>864</v>
      </c>
      <c r="G27" s="74" t="s">
        <v>601</v>
      </c>
    </row>
    <row r="28" spans="1:7" x14ac:dyDescent="0.35">
      <c r="A28" s="73" t="s">
        <v>356</v>
      </c>
      <c r="B28" s="12" t="s">
        <v>352</v>
      </c>
      <c r="C28" s="12" t="s">
        <v>352</v>
      </c>
      <c r="D28" s="80">
        <v>2.1148731276885777</v>
      </c>
      <c r="E28" s="12" t="s">
        <v>585</v>
      </c>
      <c r="F28" s="12" t="s">
        <v>864</v>
      </c>
      <c r="G28" s="74" t="s">
        <v>601</v>
      </c>
    </row>
    <row r="29" spans="1:7" x14ac:dyDescent="0.35">
      <c r="A29" s="73" t="s">
        <v>355</v>
      </c>
      <c r="B29" s="12" t="s">
        <v>352</v>
      </c>
      <c r="C29" s="12" t="s">
        <v>352</v>
      </c>
      <c r="D29" s="80">
        <v>41.687881968956297</v>
      </c>
      <c r="E29" s="12" t="s">
        <v>585</v>
      </c>
      <c r="F29" s="12" t="s">
        <v>864</v>
      </c>
      <c r="G29" s="74" t="s">
        <v>601</v>
      </c>
    </row>
    <row r="30" spans="1:7" x14ac:dyDescent="0.35">
      <c r="A30" s="73" t="s">
        <v>354</v>
      </c>
      <c r="B30" s="12" t="s">
        <v>352</v>
      </c>
      <c r="C30" s="12" t="s">
        <v>352</v>
      </c>
      <c r="D30" s="80">
        <v>1.8638711386815268</v>
      </c>
      <c r="E30" s="12" t="s">
        <v>585</v>
      </c>
      <c r="F30" s="12" t="s">
        <v>864</v>
      </c>
      <c r="G30" s="74" t="s">
        <v>601</v>
      </c>
    </row>
    <row r="31" spans="1:7" x14ac:dyDescent="0.35">
      <c r="A31" s="73" t="s">
        <v>350</v>
      </c>
      <c r="B31" s="80">
        <v>484.59288191302977</v>
      </c>
      <c r="C31" s="80">
        <v>703.42217892865517</v>
      </c>
      <c r="D31" s="12" t="s">
        <v>352</v>
      </c>
      <c r="E31" s="12" t="s">
        <v>585</v>
      </c>
      <c r="F31" s="12" t="s">
        <v>864</v>
      </c>
      <c r="G31" s="74" t="s">
        <v>601</v>
      </c>
    </row>
    <row r="32" spans="1:7" x14ac:dyDescent="0.35">
      <c r="A32" s="73" t="s">
        <v>349</v>
      </c>
      <c r="B32" s="80">
        <v>908.21616173155235</v>
      </c>
      <c r="C32" s="80">
        <v>1318.3425</v>
      </c>
      <c r="D32" s="12" t="s">
        <v>352</v>
      </c>
      <c r="E32" s="12" t="s">
        <v>585</v>
      </c>
      <c r="F32" s="12" t="s">
        <v>864</v>
      </c>
      <c r="G32" s="74" t="s">
        <v>601</v>
      </c>
    </row>
    <row r="33" spans="1:7" ht="15" thickBot="1" x14ac:dyDescent="0.4">
      <c r="A33" s="75" t="s">
        <v>348</v>
      </c>
      <c r="B33" s="76">
        <v>1915.9208511108629</v>
      </c>
      <c r="C33" s="76">
        <v>3056.4107392107467</v>
      </c>
      <c r="D33" s="77" t="s">
        <v>352</v>
      </c>
      <c r="E33" s="77" t="s">
        <v>585</v>
      </c>
      <c r="F33" s="77" t="s">
        <v>864</v>
      </c>
      <c r="G33" s="79" t="s">
        <v>601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33C-D778-4621-93F0-7759DADE09DF}">
  <sheetPr>
    <tabColor theme="4" tint="0.79998168889431442"/>
  </sheetPr>
  <dimension ref="A1:G35"/>
  <sheetViews>
    <sheetView workbookViewId="0">
      <selection activeCell="D39" sqref="D39"/>
    </sheetView>
  </sheetViews>
  <sheetFormatPr defaultRowHeight="14.5" x14ac:dyDescent="0.35"/>
  <cols>
    <col min="1" max="1" width="30.81640625" bestFit="1" customWidth="1"/>
    <col min="2" max="2" width="13" customWidth="1"/>
    <col min="4" max="4" width="13.1796875" bestFit="1" customWidth="1"/>
    <col min="6" max="6" width="35.54296875" bestFit="1" customWidth="1"/>
    <col min="7" max="7" width="52.1796875" bestFit="1" customWidth="1"/>
  </cols>
  <sheetData>
    <row r="1" spans="1:7" ht="18.5" x14ac:dyDescent="0.45">
      <c r="A1" s="70" t="s">
        <v>627</v>
      </c>
      <c r="B1" s="71"/>
      <c r="C1" s="71"/>
      <c r="D1" s="71"/>
      <c r="E1" s="71"/>
      <c r="F1" s="71"/>
      <c r="G1" s="72"/>
    </row>
    <row r="2" spans="1:7" x14ac:dyDescent="0.35">
      <c r="A2" s="73"/>
      <c r="B2" s="12" t="s">
        <v>17</v>
      </c>
      <c r="C2" s="12" t="s">
        <v>18</v>
      </c>
      <c r="D2" s="12" t="s">
        <v>634</v>
      </c>
      <c r="E2" s="12" t="s">
        <v>619</v>
      </c>
      <c r="F2" s="12" t="s">
        <v>594</v>
      </c>
      <c r="G2" s="74" t="s">
        <v>586</v>
      </c>
    </row>
    <row r="3" spans="1:7" x14ac:dyDescent="0.35">
      <c r="A3" s="73" t="s">
        <v>621</v>
      </c>
      <c r="B3" s="12" t="s">
        <v>352</v>
      </c>
      <c r="C3" s="12" t="s">
        <v>352</v>
      </c>
      <c r="D3" s="12">
        <v>5.2499999999999998E-2</v>
      </c>
      <c r="E3" s="12" t="s">
        <v>620</v>
      </c>
      <c r="F3" s="12" t="s">
        <v>907</v>
      </c>
      <c r="G3" s="74"/>
    </row>
    <row r="4" spans="1:7" x14ac:dyDescent="0.35">
      <c r="A4" s="73" t="s">
        <v>344</v>
      </c>
      <c r="B4" s="12">
        <v>8.7999999999999995E-2</v>
      </c>
      <c r="C4" s="12">
        <v>0.17649999999999999</v>
      </c>
      <c r="D4" s="12" t="s">
        <v>352</v>
      </c>
      <c r="E4" s="12" t="s">
        <v>620</v>
      </c>
      <c r="F4" s="12" t="s">
        <v>908</v>
      </c>
      <c r="G4" s="74"/>
    </row>
    <row r="5" spans="1:7" x14ac:dyDescent="0.35">
      <c r="A5" s="73" t="s">
        <v>624</v>
      </c>
      <c r="B5" s="12">
        <v>0.3</v>
      </c>
      <c r="C5" s="12">
        <v>2</v>
      </c>
      <c r="D5" s="12" t="s">
        <v>352</v>
      </c>
      <c r="E5" s="12" t="s">
        <v>585</v>
      </c>
      <c r="F5" s="12" t="s">
        <v>593</v>
      </c>
      <c r="G5" s="74" t="s">
        <v>626</v>
      </c>
    </row>
    <row r="6" spans="1:7" x14ac:dyDescent="0.35">
      <c r="A6" s="73" t="s">
        <v>623</v>
      </c>
      <c r="B6" s="80">
        <v>8</v>
      </c>
      <c r="C6" s="154">
        <v>16</v>
      </c>
      <c r="D6" s="81" t="s">
        <v>352</v>
      </c>
      <c r="E6" s="12" t="s">
        <v>585</v>
      </c>
      <c r="F6" s="12" t="s">
        <v>593</v>
      </c>
      <c r="G6" s="74" t="s">
        <v>625</v>
      </c>
    </row>
    <row r="7" spans="1:7" x14ac:dyDescent="0.35">
      <c r="A7" s="87" t="s">
        <v>345</v>
      </c>
      <c r="B7" s="12"/>
      <c r="C7" s="12"/>
      <c r="D7" s="12"/>
      <c r="E7" s="12"/>
      <c r="F7" s="12"/>
      <c r="G7" s="74"/>
    </row>
    <row r="8" spans="1:7" ht="15" thickBot="1" x14ac:dyDescent="0.4">
      <c r="A8" s="75" t="s">
        <v>424</v>
      </c>
      <c r="B8" s="78">
        <v>1.294</v>
      </c>
      <c r="C8" s="78">
        <v>2.129</v>
      </c>
      <c r="D8" s="78" t="s">
        <v>352</v>
      </c>
      <c r="E8" s="77" t="s">
        <v>3</v>
      </c>
      <c r="F8" s="77" t="s">
        <v>909</v>
      </c>
      <c r="G8" s="79"/>
    </row>
    <row r="10" spans="1:7" ht="15" thickBot="1" x14ac:dyDescent="0.4"/>
    <row r="11" spans="1:7" ht="18.5" x14ac:dyDescent="0.45">
      <c r="A11" s="175" t="s">
        <v>779</v>
      </c>
      <c r="B11" s="104"/>
    </row>
    <row r="12" spans="1:7" x14ac:dyDescent="0.35">
      <c r="A12" s="109" t="s">
        <v>0</v>
      </c>
      <c r="B12" s="108" t="s">
        <v>584</v>
      </c>
    </row>
    <row r="13" spans="1:7" x14ac:dyDescent="0.35">
      <c r="A13" s="105" t="s">
        <v>197</v>
      </c>
      <c r="B13" s="108">
        <v>1</v>
      </c>
    </row>
    <row r="14" spans="1:7" x14ac:dyDescent="0.35">
      <c r="A14" s="105" t="s">
        <v>198</v>
      </c>
      <c r="B14" s="106">
        <f>(B4+C4)/2</f>
        <v>0.13224999999999998</v>
      </c>
    </row>
    <row r="15" spans="1:7" x14ac:dyDescent="0.35">
      <c r="A15" s="105" t="s">
        <v>199</v>
      </c>
      <c r="B15" s="106">
        <f>D3</f>
        <v>5.2499999999999998E-2</v>
      </c>
    </row>
    <row r="16" spans="1:7" x14ac:dyDescent="0.35">
      <c r="A16" s="109" t="s">
        <v>1</v>
      </c>
      <c r="B16" s="108"/>
    </row>
    <row r="17" spans="1:7" x14ac:dyDescent="0.35">
      <c r="A17" s="105" t="s">
        <v>208</v>
      </c>
      <c r="B17" s="106">
        <f>B15+B14+B13</f>
        <v>1.18475</v>
      </c>
    </row>
    <row r="18" spans="1:7" ht="15" thickBot="1" x14ac:dyDescent="0.4">
      <c r="A18" s="110" t="s">
        <v>622</v>
      </c>
      <c r="B18" s="138">
        <f>((B8+C8)/2+(B7+C7)/2)/3600</f>
        <v>4.7541666666666668E-4</v>
      </c>
    </row>
    <row r="20" spans="1:7" ht="15" thickBot="1" x14ac:dyDescent="0.4"/>
    <row r="21" spans="1:7" ht="18.5" x14ac:dyDescent="0.45">
      <c r="A21" s="70" t="s">
        <v>628</v>
      </c>
      <c r="B21" s="71"/>
      <c r="C21" s="71"/>
      <c r="D21" s="71"/>
      <c r="E21" s="71"/>
      <c r="F21" s="71"/>
      <c r="G21" s="72"/>
    </row>
    <row r="22" spans="1:7" x14ac:dyDescent="0.35">
      <c r="A22" s="73"/>
      <c r="B22" s="12" t="s">
        <v>17</v>
      </c>
      <c r="C22" s="12" t="s">
        <v>18</v>
      </c>
      <c r="D22" s="12" t="s">
        <v>634</v>
      </c>
      <c r="E22" s="12" t="s">
        <v>619</v>
      </c>
      <c r="F22" s="12" t="s">
        <v>594</v>
      </c>
      <c r="G22" s="74" t="s">
        <v>586</v>
      </c>
    </row>
    <row r="23" spans="1:7" x14ac:dyDescent="0.35">
      <c r="A23" s="73" t="s">
        <v>344</v>
      </c>
      <c r="B23" s="12" t="s">
        <v>352</v>
      </c>
      <c r="C23" s="12" t="s">
        <v>352</v>
      </c>
      <c r="D23" s="12">
        <v>0.08</v>
      </c>
      <c r="E23" s="12" t="s">
        <v>620</v>
      </c>
      <c r="F23" s="12" t="s">
        <v>910</v>
      </c>
      <c r="G23" s="74"/>
    </row>
    <row r="24" spans="1:7" x14ac:dyDescent="0.35">
      <c r="A24" s="73" t="s">
        <v>623</v>
      </c>
      <c r="B24" s="80">
        <v>5</v>
      </c>
      <c r="C24" s="154">
        <v>30</v>
      </c>
      <c r="D24" s="81">
        <v>23.4</v>
      </c>
      <c r="E24" s="12" t="s">
        <v>585</v>
      </c>
      <c r="F24" s="12" t="s">
        <v>911</v>
      </c>
      <c r="G24" s="74"/>
    </row>
    <row r="25" spans="1:7" x14ac:dyDescent="0.35">
      <c r="A25" s="87" t="s">
        <v>345</v>
      </c>
      <c r="B25" s="12"/>
      <c r="C25" s="12"/>
      <c r="D25" s="12"/>
      <c r="E25" s="12"/>
      <c r="F25" s="12"/>
      <c r="G25" s="74"/>
    </row>
    <row r="26" spans="1:7" ht="15" thickBot="1" x14ac:dyDescent="0.4">
      <c r="A26" s="75" t="s">
        <v>424</v>
      </c>
      <c r="B26" s="78" t="s">
        <v>352</v>
      </c>
      <c r="C26" s="78" t="s">
        <v>352</v>
      </c>
      <c r="D26" s="78">
        <v>1</v>
      </c>
      <c r="E26" s="77" t="s">
        <v>3</v>
      </c>
      <c r="F26" s="77"/>
      <c r="G26" s="79" t="s">
        <v>629</v>
      </c>
    </row>
    <row r="28" spans="1:7" ht="15" thickBot="1" x14ac:dyDescent="0.4"/>
    <row r="29" spans="1:7" ht="18.5" x14ac:dyDescent="0.45">
      <c r="A29" s="175" t="s">
        <v>780</v>
      </c>
      <c r="B29" s="104"/>
    </row>
    <row r="30" spans="1:7" x14ac:dyDescent="0.35">
      <c r="A30" s="109" t="s">
        <v>0</v>
      </c>
      <c r="B30" s="108" t="s">
        <v>584</v>
      </c>
    </row>
    <row r="31" spans="1:7" x14ac:dyDescent="0.35">
      <c r="A31" s="105" t="s">
        <v>206</v>
      </c>
      <c r="B31" s="108">
        <v>1</v>
      </c>
    </row>
    <row r="32" spans="1:7" x14ac:dyDescent="0.35">
      <c r="A32" s="105" t="s">
        <v>198</v>
      </c>
      <c r="B32" s="106">
        <f>D23</f>
        <v>0.08</v>
      </c>
    </row>
    <row r="33" spans="1:2" x14ac:dyDescent="0.35">
      <c r="A33" s="109" t="s">
        <v>1</v>
      </c>
      <c r="B33" s="108"/>
    </row>
    <row r="34" spans="1:2" x14ac:dyDescent="0.35">
      <c r="A34" s="105" t="s">
        <v>207</v>
      </c>
      <c r="B34" s="106">
        <f>B31+B32</f>
        <v>1.08</v>
      </c>
    </row>
    <row r="35" spans="1:2" ht="15" thickBot="1" x14ac:dyDescent="0.4">
      <c r="A35" s="110" t="s">
        <v>622</v>
      </c>
      <c r="B35" s="138">
        <f>23.4/3600</f>
        <v>6.4999999999999997E-3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2204-B5B8-4202-866E-CB4A2D31DE20}">
  <sheetPr>
    <tabColor theme="4" tint="0.79998168889431442"/>
  </sheetPr>
  <dimension ref="A1:G38"/>
  <sheetViews>
    <sheetView workbookViewId="0">
      <selection activeCell="C37" sqref="C37"/>
    </sheetView>
  </sheetViews>
  <sheetFormatPr defaultRowHeight="14.5" x14ac:dyDescent="0.35"/>
  <cols>
    <col min="1" max="1" width="35" customWidth="1"/>
    <col min="2" max="2" width="11.81640625" bestFit="1" customWidth="1"/>
    <col min="3" max="3" width="21.08984375" customWidth="1"/>
    <col min="4" max="4" width="13.1796875" bestFit="1" customWidth="1"/>
    <col min="6" max="6" width="26.6328125" customWidth="1"/>
    <col min="7" max="7" width="62.7265625" bestFit="1" customWidth="1"/>
    <col min="8" max="8" width="19.7265625" bestFit="1" customWidth="1"/>
    <col min="10" max="10" width="18.36328125" bestFit="1" customWidth="1"/>
    <col min="13" max="13" width="13.36328125" customWidth="1"/>
  </cols>
  <sheetData>
    <row r="1" spans="1:7" ht="18.5" x14ac:dyDescent="0.45">
      <c r="A1" s="70" t="s">
        <v>635</v>
      </c>
      <c r="B1" s="71"/>
      <c r="C1" s="71"/>
      <c r="D1" s="71"/>
      <c r="E1" s="71"/>
      <c r="F1" s="71"/>
      <c r="G1" s="72"/>
    </row>
    <row r="2" spans="1:7" x14ac:dyDescent="0.35">
      <c r="A2" s="73"/>
      <c r="B2" s="12" t="s">
        <v>17</v>
      </c>
      <c r="C2" s="12" t="s">
        <v>18</v>
      </c>
      <c r="D2" s="12" t="s">
        <v>634</v>
      </c>
      <c r="E2" s="12" t="s">
        <v>619</v>
      </c>
      <c r="F2" s="12" t="s">
        <v>594</v>
      </c>
      <c r="G2" s="74" t="s">
        <v>586</v>
      </c>
    </row>
    <row r="3" spans="1:7" x14ac:dyDescent="0.35">
      <c r="A3" s="73" t="s">
        <v>621</v>
      </c>
      <c r="B3" s="12" t="s">
        <v>352</v>
      </c>
      <c r="C3" s="12" t="s">
        <v>352</v>
      </c>
      <c r="D3" s="12">
        <v>0</v>
      </c>
      <c r="E3" s="12" t="s">
        <v>620</v>
      </c>
      <c r="F3" s="12" t="s">
        <v>3</v>
      </c>
      <c r="G3" s="74" t="s">
        <v>630</v>
      </c>
    </row>
    <row r="4" spans="1:7" x14ac:dyDescent="0.35">
      <c r="A4" s="73" t="s">
        <v>240</v>
      </c>
      <c r="B4" s="80">
        <v>42</v>
      </c>
      <c r="C4" s="12">
        <v>324</v>
      </c>
      <c r="D4" s="12" t="s">
        <v>352</v>
      </c>
      <c r="E4" s="12" t="s">
        <v>585</v>
      </c>
      <c r="F4" s="12" t="s">
        <v>593</v>
      </c>
      <c r="G4" s="74" t="s">
        <v>633</v>
      </c>
    </row>
    <row r="5" spans="1:7" x14ac:dyDescent="0.35">
      <c r="A5" s="87" t="s">
        <v>345</v>
      </c>
      <c r="B5" s="12"/>
      <c r="C5" s="12"/>
      <c r="D5" s="12"/>
      <c r="E5" s="12"/>
      <c r="F5" s="12"/>
      <c r="G5" s="74"/>
    </row>
    <row r="6" spans="1:7" ht="15" thickBot="1" x14ac:dyDescent="0.4">
      <c r="A6" s="75" t="s">
        <v>631</v>
      </c>
      <c r="B6" s="76" t="s">
        <v>352</v>
      </c>
      <c r="C6" s="77" t="s">
        <v>352</v>
      </c>
      <c r="D6" s="77">
        <v>1</v>
      </c>
      <c r="E6" s="77" t="s">
        <v>3</v>
      </c>
      <c r="F6" s="77" t="s">
        <v>3</v>
      </c>
      <c r="G6" s="79" t="s">
        <v>632</v>
      </c>
    </row>
    <row r="8" spans="1:7" ht="15" thickBot="1" x14ac:dyDescent="0.4"/>
    <row r="9" spans="1:7" ht="18.5" x14ac:dyDescent="0.45">
      <c r="A9" s="175" t="s">
        <v>781</v>
      </c>
      <c r="B9" s="104"/>
    </row>
    <row r="10" spans="1:7" x14ac:dyDescent="0.35">
      <c r="A10" s="109" t="s">
        <v>0</v>
      </c>
      <c r="B10" s="108" t="s">
        <v>584</v>
      </c>
    </row>
    <row r="11" spans="1:7" x14ac:dyDescent="0.35">
      <c r="A11" s="105" t="s">
        <v>10</v>
      </c>
      <c r="B11" s="108">
        <v>1</v>
      </c>
    </row>
    <row r="12" spans="1:7" x14ac:dyDescent="0.35">
      <c r="A12" s="109" t="s">
        <v>1</v>
      </c>
      <c r="B12" s="106"/>
    </row>
    <row r="13" spans="1:7" x14ac:dyDescent="0.35">
      <c r="A13" s="105" t="s">
        <v>197</v>
      </c>
      <c r="B13" s="106">
        <v>1</v>
      </c>
    </row>
    <row r="14" spans="1:7" ht="15" thickBot="1" x14ac:dyDescent="0.4">
      <c r="A14" s="110" t="s">
        <v>256</v>
      </c>
      <c r="B14" s="203">
        <f>AVERAGE(B4:C4)/3600</f>
        <v>5.0833333333333335E-2</v>
      </c>
    </row>
    <row r="16" spans="1:7" ht="15" thickBot="1" x14ac:dyDescent="0.4"/>
    <row r="17" spans="1:7" ht="18.5" x14ac:dyDescent="0.45">
      <c r="A17" s="70" t="s">
        <v>636</v>
      </c>
      <c r="B17" s="71"/>
      <c r="C17" s="71"/>
      <c r="D17" s="71"/>
      <c r="E17" s="71"/>
      <c r="F17" s="71"/>
      <c r="G17" s="72"/>
    </row>
    <row r="18" spans="1:7" x14ac:dyDescent="0.35">
      <c r="A18" s="73"/>
      <c r="B18" s="12" t="s">
        <v>17</v>
      </c>
      <c r="C18" s="12" t="s">
        <v>18</v>
      </c>
      <c r="D18" s="12" t="s">
        <v>634</v>
      </c>
      <c r="E18" s="12" t="s">
        <v>619</v>
      </c>
      <c r="F18" s="12" t="s">
        <v>594</v>
      </c>
      <c r="G18" s="74" t="s">
        <v>586</v>
      </c>
    </row>
    <row r="19" spans="1:7" x14ac:dyDescent="0.35">
      <c r="A19" s="73" t="s">
        <v>304</v>
      </c>
      <c r="B19" s="12">
        <v>0.25</v>
      </c>
      <c r="C19" s="12">
        <v>0.36299999999999999</v>
      </c>
      <c r="D19" s="12">
        <v>0.33800000000000002</v>
      </c>
      <c r="E19" s="12" t="s">
        <v>620</v>
      </c>
      <c r="F19" s="12" t="s">
        <v>912</v>
      </c>
      <c r="G19" s="74" t="s">
        <v>595</v>
      </c>
    </row>
    <row r="20" spans="1:7" x14ac:dyDescent="0.35">
      <c r="A20" s="73" t="s">
        <v>305</v>
      </c>
      <c r="B20" s="12">
        <v>180</v>
      </c>
      <c r="C20" s="12">
        <v>544</v>
      </c>
      <c r="D20" s="12">
        <v>400</v>
      </c>
      <c r="E20" s="12" t="s">
        <v>585</v>
      </c>
      <c r="F20" s="12" t="s">
        <v>913</v>
      </c>
      <c r="G20" s="74" t="s">
        <v>595</v>
      </c>
    </row>
    <row r="21" spans="1:7" x14ac:dyDescent="0.35">
      <c r="A21" s="73" t="s">
        <v>306</v>
      </c>
      <c r="B21" s="12">
        <v>0.06</v>
      </c>
      <c r="C21" s="12">
        <v>0.13</v>
      </c>
      <c r="D21" s="12">
        <v>9.4E-2</v>
      </c>
      <c r="E21" s="12" t="s">
        <v>638</v>
      </c>
      <c r="F21" s="12" t="s">
        <v>914</v>
      </c>
      <c r="G21" s="74" t="s">
        <v>595</v>
      </c>
    </row>
    <row r="22" spans="1:7" x14ac:dyDescent="0.35">
      <c r="A22" s="73" t="s">
        <v>315</v>
      </c>
      <c r="B22" s="12">
        <v>0.06</v>
      </c>
      <c r="C22" s="12">
        <v>0.13</v>
      </c>
      <c r="D22" s="12">
        <v>9.4E-2</v>
      </c>
      <c r="E22" s="12" t="s">
        <v>638</v>
      </c>
      <c r="F22" s="12" t="s">
        <v>914</v>
      </c>
      <c r="G22" s="74" t="s">
        <v>595</v>
      </c>
    </row>
    <row r="23" spans="1:7" x14ac:dyDescent="0.35">
      <c r="A23" s="73" t="s">
        <v>307</v>
      </c>
      <c r="B23" s="155">
        <v>6.4999999999999997E-3</v>
      </c>
      <c r="C23" s="12">
        <v>1.2699999999999999E-2</v>
      </c>
      <c r="D23" s="12" t="s">
        <v>352</v>
      </c>
      <c r="E23" s="12" t="s">
        <v>620</v>
      </c>
      <c r="F23" s="12" t="s">
        <v>915</v>
      </c>
      <c r="G23" s="74"/>
    </row>
    <row r="24" spans="1:7" x14ac:dyDescent="0.35">
      <c r="A24" s="87" t="s">
        <v>345</v>
      </c>
      <c r="B24" s="80"/>
      <c r="C24" s="12"/>
      <c r="D24" s="12"/>
      <c r="E24" s="12" t="s">
        <v>638</v>
      </c>
      <c r="F24" s="12"/>
      <c r="G24" s="74"/>
    </row>
    <row r="25" spans="1:7" ht="15" thickBot="1" x14ac:dyDescent="0.4">
      <c r="A25" s="75" t="s">
        <v>639</v>
      </c>
      <c r="B25" s="91">
        <v>1.91</v>
      </c>
      <c r="C25" s="77">
        <v>5.2</v>
      </c>
      <c r="D25" s="77" t="s">
        <v>352</v>
      </c>
      <c r="E25" s="77" t="s">
        <v>3</v>
      </c>
      <c r="F25" s="77" t="s">
        <v>916</v>
      </c>
      <c r="G25" s="79"/>
    </row>
    <row r="27" spans="1:7" ht="15" thickBot="1" x14ac:dyDescent="0.4"/>
    <row r="28" spans="1:7" ht="18.5" x14ac:dyDescent="0.45">
      <c r="A28" s="175" t="s">
        <v>782</v>
      </c>
      <c r="B28" s="104"/>
    </row>
    <row r="29" spans="1:7" x14ac:dyDescent="0.35">
      <c r="A29" s="109" t="s">
        <v>0</v>
      </c>
      <c r="B29" s="108" t="s">
        <v>584</v>
      </c>
    </row>
    <row r="30" spans="1:7" x14ac:dyDescent="0.35">
      <c r="A30" s="105" t="s">
        <v>46</v>
      </c>
      <c r="B30" s="108">
        <v>1</v>
      </c>
    </row>
    <row r="31" spans="1:7" x14ac:dyDescent="0.35">
      <c r="A31" s="105" t="s">
        <v>202</v>
      </c>
      <c r="B31" s="106">
        <f>D19</f>
        <v>0.33800000000000002</v>
      </c>
    </row>
    <row r="32" spans="1:7" x14ac:dyDescent="0.35">
      <c r="A32" s="105" t="s">
        <v>205</v>
      </c>
      <c r="B32" s="195">
        <f>D22/1000</f>
        <v>9.3999999999999994E-5</v>
      </c>
    </row>
    <row r="33" spans="1:2" x14ac:dyDescent="0.35">
      <c r="A33" s="105" t="s">
        <v>203</v>
      </c>
      <c r="B33" s="107">
        <f>(B23+C23)/2</f>
        <v>9.5999999999999992E-3</v>
      </c>
    </row>
    <row r="34" spans="1:2" x14ac:dyDescent="0.35">
      <c r="A34" s="105"/>
      <c r="B34" s="106"/>
    </row>
    <row r="35" spans="1:2" x14ac:dyDescent="0.35">
      <c r="A35" s="109" t="s">
        <v>1</v>
      </c>
      <c r="B35" s="106"/>
    </row>
    <row r="36" spans="1:2" x14ac:dyDescent="0.35">
      <c r="A36" s="105" t="s">
        <v>204</v>
      </c>
      <c r="B36" s="106">
        <f>B30+B31</f>
        <v>1.3380000000000001</v>
      </c>
    </row>
    <row r="37" spans="1:2" x14ac:dyDescent="0.35">
      <c r="A37" s="105" t="s">
        <v>1055</v>
      </c>
      <c r="B37" s="195">
        <f>D21</f>
        <v>9.4E-2</v>
      </c>
    </row>
    <row r="38" spans="1:2" ht="15" thickBot="1" x14ac:dyDescent="0.4">
      <c r="A38" s="110" t="s">
        <v>255</v>
      </c>
      <c r="B38" s="203">
        <f>D20/3600</f>
        <v>0.1111111111111111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FCC3-38B9-4CA1-9230-9D3165471613}">
  <sheetPr>
    <tabColor theme="4" tint="0.79998168889431442"/>
  </sheetPr>
  <dimension ref="A1:Q67"/>
  <sheetViews>
    <sheetView topLeftCell="A9" workbookViewId="0">
      <selection activeCell="E20" sqref="E20"/>
    </sheetView>
  </sheetViews>
  <sheetFormatPr defaultRowHeight="14.5" x14ac:dyDescent="0.35"/>
  <cols>
    <col min="1" max="1" width="45.90625" customWidth="1"/>
    <col min="2" max="2" width="17.453125" bestFit="1" customWidth="1"/>
    <col min="3" max="3" width="14.54296875" bestFit="1" customWidth="1"/>
    <col min="4" max="4" width="15.08984375" bestFit="1" customWidth="1"/>
    <col min="5" max="5" width="19.08984375" customWidth="1"/>
    <col min="6" max="6" width="15.6328125" customWidth="1"/>
    <col min="7" max="7" width="18.26953125" bestFit="1" customWidth="1"/>
    <col min="8" max="8" width="15.08984375" bestFit="1" customWidth="1"/>
    <col min="9" max="9" width="24.54296875" bestFit="1" customWidth="1"/>
    <col min="10" max="10" width="17.54296875" bestFit="1" customWidth="1"/>
    <col min="11" max="11" width="24.26953125" customWidth="1"/>
    <col min="12" max="12" width="11.1796875" bestFit="1" customWidth="1"/>
    <col min="14" max="14" width="18.6328125" customWidth="1"/>
    <col min="15" max="15" width="9.54296875" bestFit="1" customWidth="1"/>
    <col min="16" max="16" width="15.08984375" bestFit="1" customWidth="1"/>
    <col min="17" max="17" width="17.1796875" bestFit="1" customWidth="1"/>
  </cols>
  <sheetData>
    <row r="1" spans="1:16" ht="18.5" x14ac:dyDescent="0.45">
      <c r="A1" s="2" t="s">
        <v>225</v>
      </c>
    </row>
    <row r="3" spans="1:16" x14ac:dyDescent="0.35">
      <c r="A3" s="25" t="s">
        <v>209</v>
      </c>
    </row>
    <row r="5" spans="1:16" x14ac:dyDescent="0.35">
      <c r="A5" s="26" t="s">
        <v>210</v>
      </c>
      <c r="B5" s="26" t="s">
        <v>211</v>
      </c>
      <c r="C5" s="26" t="s">
        <v>195</v>
      </c>
      <c r="D5" s="26" t="s">
        <v>212</v>
      </c>
      <c r="E5" s="26" t="s">
        <v>213</v>
      </c>
      <c r="F5" s="26" t="s">
        <v>196</v>
      </c>
      <c r="G5" s="26" t="s">
        <v>214</v>
      </c>
      <c r="H5" s="26" t="s">
        <v>215</v>
      </c>
      <c r="I5" s="26" t="s">
        <v>216</v>
      </c>
      <c r="J5" s="26" t="s">
        <v>217</v>
      </c>
      <c r="K5" s="26" t="s">
        <v>218</v>
      </c>
      <c r="L5" s="27" t="s">
        <v>219</v>
      </c>
    </row>
    <row r="6" spans="1:16" x14ac:dyDescent="0.35">
      <c r="A6" s="28" t="s">
        <v>220</v>
      </c>
      <c r="B6" s="29">
        <v>1.48742637241813</v>
      </c>
      <c r="C6" s="29">
        <v>1.4757244954056401</v>
      </c>
      <c r="D6" s="30">
        <v>1.38294196183146</v>
      </c>
      <c r="E6" s="29">
        <v>1.38294196183146</v>
      </c>
      <c r="F6" s="29">
        <v>1.2776721903714801</v>
      </c>
      <c r="G6" s="29">
        <v>1.2481269143171301</v>
      </c>
      <c r="H6" s="29">
        <v>1.2481269143171301</v>
      </c>
      <c r="I6" s="29">
        <v>2.6257441294274702</v>
      </c>
      <c r="J6" s="29">
        <v>0.26056703055053798</v>
      </c>
      <c r="K6" s="31">
        <v>1</v>
      </c>
      <c r="L6" s="29">
        <v>0.25247781355532867</v>
      </c>
    </row>
    <row r="7" spans="1:16" x14ac:dyDescent="0.35">
      <c r="A7" s="32" t="s">
        <v>221</v>
      </c>
      <c r="B7" s="26"/>
      <c r="D7" s="33"/>
      <c r="F7" s="26">
        <v>1.21</v>
      </c>
      <c r="G7" s="26"/>
      <c r="H7" s="26"/>
      <c r="I7" s="26"/>
      <c r="J7" s="34">
        <v>0.191</v>
      </c>
      <c r="K7" s="26">
        <v>1</v>
      </c>
      <c r="L7" s="26"/>
      <c r="M7" s="92"/>
    </row>
    <row r="8" spans="1:16" x14ac:dyDescent="0.35">
      <c r="A8" s="31" t="s">
        <v>222</v>
      </c>
      <c r="B8" s="31"/>
      <c r="C8" s="29"/>
      <c r="D8" s="35"/>
      <c r="E8" s="31"/>
      <c r="F8" s="29">
        <v>1.2494004796163101</v>
      </c>
      <c r="G8" s="31"/>
      <c r="H8" s="31"/>
      <c r="I8" s="31"/>
      <c r="J8" s="29">
        <v>0.25899280575539602</v>
      </c>
      <c r="K8" s="31">
        <v>1</v>
      </c>
      <c r="L8" s="31"/>
      <c r="M8" s="92"/>
    </row>
    <row r="9" spans="1:16" x14ac:dyDescent="0.35">
      <c r="A9" s="204" t="s">
        <v>223</v>
      </c>
      <c r="B9" s="204">
        <v>1.34</v>
      </c>
      <c r="C9" s="205"/>
      <c r="D9" s="206"/>
      <c r="E9" s="204"/>
      <c r="F9" s="204">
        <v>1.29</v>
      </c>
      <c r="G9" s="204"/>
      <c r="H9" s="204"/>
      <c r="I9" s="204"/>
      <c r="J9" s="204">
        <v>0.24</v>
      </c>
      <c r="K9" s="204">
        <v>1</v>
      </c>
      <c r="L9" s="204"/>
      <c r="M9" s="92"/>
    </row>
    <row r="10" spans="1:16" x14ac:dyDescent="0.35">
      <c r="A10" s="37" t="s">
        <v>917</v>
      </c>
      <c r="B10" s="31"/>
      <c r="C10" s="39"/>
      <c r="D10" s="38"/>
      <c r="E10" s="39"/>
      <c r="F10" s="31">
        <v>1.27</v>
      </c>
      <c r="G10" s="31"/>
      <c r="H10" s="31"/>
      <c r="I10" s="31"/>
      <c r="J10" s="31">
        <v>0.24</v>
      </c>
      <c r="K10" s="31">
        <v>1</v>
      </c>
      <c r="L10" s="31"/>
      <c r="M10" s="92"/>
    </row>
    <row r="12" spans="1:16" x14ac:dyDescent="0.35">
      <c r="A12" s="25" t="s">
        <v>226</v>
      </c>
      <c r="E12" s="25" t="s">
        <v>260</v>
      </c>
      <c r="I12" s="25" t="s">
        <v>261</v>
      </c>
      <c r="N12" s="1" t="s">
        <v>339</v>
      </c>
    </row>
    <row r="13" spans="1:16" ht="15" thickBot="1" x14ac:dyDescent="0.4"/>
    <row r="14" spans="1:16" x14ac:dyDescent="0.35">
      <c r="A14" s="162" t="s">
        <v>210</v>
      </c>
      <c r="B14" s="19" t="s">
        <v>227</v>
      </c>
      <c r="C14" s="20" t="s">
        <v>228</v>
      </c>
      <c r="E14" s="162" t="s">
        <v>210</v>
      </c>
      <c r="F14" s="19" t="s">
        <v>648</v>
      </c>
      <c r="G14" s="20" t="s">
        <v>228</v>
      </c>
      <c r="I14" s="162" t="s">
        <v>210</v>
      </c>
      <c r="J14" s="19" t="s">
        <v>648</v>
      </c>
      <c r="K14" s="20" t="s">
        <v>228</v>
      </c>
      <c r="N14" s="162" t="s">
        <v>210</v>
      </c>
      <c r="O14" s="19" t="s">
        <v>227</v>
      </c>
      <c r="P14" s="20" t="s">
        <v>228</v>
      </c>
    </row>
    <row r="15" spans="1:16" ht="15" thickBot="1" x14ac:dyDescent="0.4">
      <c r="A15" s="163" t="s">
        <v>220</v>
      </c>
      <c r="B15" s="160">
        <v>1.9E-3</v>
      </c>
      <c r="C15" s="166" t="s">
        <v>229</v>
      </c>
      <c r="E15" s="163" t="s">
        <v>220</v>
      </c>
      <c r="F15" s="160">
        <f>311/71975.4</f>
        <v>4.3209207590371159E-3</v>
      </c>
      <c r="G15" s="166" t="s">
        <v>229</v>
      </c>
      <c r="I15" s="163" t="s">
        <v>220</v>
      </c>
      <c r="J15" s="159">
        <f>7358.26/71975.4</f>
        <v>0.10223298515881817</v>
      </c>
      <c r="K15" s="166" t="s">
        <v>229</v>
      </c>
      <c r="N15" s="23" t="s">
        <v>259</v>
      </c>
      <c r="O15" s="164" t="s">
        <v>340</v>
      </c>
      <c r="P15" s="170" t="s">
        <v>229</v>
      </c>
    </row>
    <row r="16" spans="1:16" x14ac:dyDescent="0.35">
      <c r="A16" s="22" t="s">
        <v>221</v>
      </c>
      <c r="B16" s="158">
        <v>2.9E-4</v>
      </c>
      <c r="C16" s="21" t="s">
        <v>229</v>
      </c>
      <c r="E16" s="22" t="s">
        <v>259</v>
      </c>
      <c r="F16" s="161">
        <f>2547/4131</f>
        <v>0.61655773420479298</v>
      </c>
      <c r="G16" s="21" t="s">
        <v>229</v>
      </c>
      <c r="I16" s="22" t="s">
        <v>259</v>
      </c>
      <c r="J16" s="161">
        <f>1383/4131</f>
        <v>0.33478576615831518</v>
      </c>
      <c r="K16" s="21" t="s">
        <v>229</v>
      </c>
      <c r="N16" t="s">
        <v>649</v>
      </c>
    </row>
    <row r="17" spans="1:17" ht="14.5" customHeight="1" thickBot="1" x14ac:dyDescent="0.4">
      <c r="A17" s="22" t="s">
        <v>259</v>
      </c>
      <c r="B17" s="167">
        <v>7.2999999999999996E-4</v>
      </c>
      <c r="C17" s="21" t="s">
        <v>229</v>
      </c>
      <c r="E17" s="252" t="s">
        <v>1068</v>
      </c>
      <c r="F17" s="165">
        <f>34462/109450</f>
        <v>0.3148652352672453</v>
      </c>
      <c r="G17" s="170" t="s">
        <v>229</v>
      </c>
      <c r="I17" s="252" t="s">
        <v>1068</v>
      </c>
      <c r="J17" s="164">
        <f>34462/109450</f>
        <v>0.3148652352672453</v>
      </c>
      <c r="K17" s="170" t="s">
        <v>229</v>
      </c>
    </row>
    <row r="18" spans="1:17" x14ac:dyDescent="0.35">
      <c r="A18" s="22" t="s">
        <v>222</v>
      </c>
      <c r="B18" s="168">
        <v>1.37410071942446E-3</v>
      </c>
      <c r="C18" s="21" t="s">
        <v>229</v>
      </c>
    </row>
    <row r="19" spans="1:17" ht="15" thickBot="1" x14ac:dyDescent="0.4">
      <c r="A19" s="251" t="s">
        <v>1068</v>
      </c>
      <c r="B19" s="169">
        <f>238/65537</f>
        <v>3.6315363840273432E-3</v>
      </c>
      <c r="C19" s="24" t="s">
        <v>229</v>
      </c>
      <c r="E19" s="69"/>
      <c r="G19" s="5"/>
      <c r="N19" s="1" t="s">
        <v>342</v>
      </c>
    </row>
    <row r="20" spans="1:17" ht="15" thickBot="1" x14ac:dyDescent="0.4">
      <c r="F20" s="69"/>
    </row>
    <row r="21" spans="1:17" x14ac:dyDescent="0.35">
      <c r="A21" s="1" t="s">
        <v>230</v>
      </c>
      <c r="N21" s="162" t="s">
        <v>210</v>
      </c>
      <c r="O21" s="19" t="s">
        <v>113</v>
      </c>
      <c r="P21" s="19" t="s">
        <v>341</v>
      </c>
      <c r="Q21" s="20" t="s">
        <v>642</v>
      </c>
    </row>
    <row r="22" spans="1:17" ht="15" thickBot="1" x14ac:dyDescent="0.4">
      <c r="N22" s="163" t="s">
        <v>343</v>
      </c>
      <c r="O22" s="159">
        <v>1</v>
      </c>
      <c r="P22" s="160">
        <v>2.5299999999999998</v>
      </c>
      <c r="Q22" s="21">
        <f t="shared" ref="Q22:Q23" si="0">O22/P22</f>
        <v>0.39525691699604748</v>
      </c>
    </row>
    <row r="23" spans="1:17" ht="15" thickBot="1" x14ac:dyDescent="0.4">
      <c r="A23" s="42" t="s">
        <v>210</v>
      </c>
      <c r="B23" s="42" t="s">
        <v>231</v>
      </c>
      <c r="C23" s="48" t="s">
        <v>232</v>
      </c>
      <c r="D23" s="48" t="s">
        <v>233</v>
      </c>
      <c r="E23" s="43" t="s">
        <v>234</v>
      </c>
      <c r="F23" s="43" t="s">
        <v>235</v>
      </c>
      <c r="G23" s="46" t="s">
        <v>236</v>
      </c>
      <c r="H23" s="46" t="s">
        <v>237</v>
      </c>
      <c r="I23" s="46" t="s">
        <v>238</v>
      </c>
      <c r="J23" s="47" t="s">
        <v>239</v>
      </c>
      <c r="K23" s="236" t="s">
        <v>241</v>
      </c>
      <c r="N23" s="22" t="s">
        <v>4</v>
      </c>
      <c r="O23" s="161">
        <v>1</v>
      </c>
      <c r="P23" s="158">
        <v>1.94</v>
      </c>
      <c r="Q23" s="21">
        <f t="shared" si="0"/>
        <v>0.51546391752577325</v>
      </c>
    </row>
    <row r="24" spans="1:17" ht="29.5" thickBot="1" x14ac:dyDescent="0.4">
      <c r="A24" s="41" t="s">
        <v>220</v>
      </c>
      <c r="B24" s="41" t="s">
        <v>240</v>
      </c>
      <c r="C24" s="49">
        <v>14.4</v>
      </c>
      <c r="D24" s="49">
        <v>60</v>
      </c>
      <c r="E24" s="54">
        <v>16.030031097734113</v>
      </c>
      <c r="F24" s="54">
        <v>9.8907799318933378</v>
      </c>
      <c r="G24" s="55">
        <v>4.8479448793133821</v>
      </c>
      <c r="H24" s="55">
        <v>59.891425234703398</v>
      </c>
      <c r="I24" s="55">
        <v>63.292966999136098</v>
      </c>
      <c r="J24" s="56">
        <v>35.842761478163496</v>
      </c>
      <c r="K24" s="237"/>
      <c r="N24" s="252" t="s">
        <v>1068</v>
      </c>
      <c r="O24" s="164">
        <v>1</v>
      </c>
      <c r="P24" s="165">
        <v>1.91</v>
      </c>
      <c r="Q24" s="24">
        <f>O24/P24</f>
        <v>0.52356020942408377</v>
      </c>
    </row>
    <row r="25" spans="1:17" x14ac:dyDescent="0.35">
      <c r="A25" s="40" t="s">
        <v>242</v>
      </c>
      <c r="B25" s="40"/>
      <c r="C25" s="50"/>
      <c r="D25" s="50"/>
      <c r="E25" s="57">
        <v>22.168602654519727</v>
      </c>
      <c r="F25" s="57">
        <v>12.63717446006444</v>
      </c>
      <c r="G25" s="58">
        <v>6.0508504829969434</v>
      </c>
      <c r="H25" s="58">
        <v>74.752099772245444</v>
      </c>
      <c r="I25" s="58">
        <v>63.292966999136098</v>
      </c>
      <c r="J25" s="59">
        <v>9.0495020497918794</v>
      </c>
      <c r="K25" s="237"/>
      <c r="M25" s="5"/>
    </row>
    <row r="26" spans="1:17" x14ac:dyDescent="0.35">
      <c r="A26" s="40" t="s">
        <v>243</v>
      </c>
      <c r="B26" s="40"/>
      <c r="C26" s="50"/>
      <c r="D26" s="50"/>
      <c r="E26" s="57"/>
      <c r="F26" s="57"/>
      <c r="G26" s="58">
        <v>4.1991824600520263E-2</v>
      </c>
      <c r="H26" s="58">
        <v>0.51876625789669295</v>
      </c>
      <c r="I26" s="58">
        <v>0.43924191750278674</v>
      </c>
      <c r="J26" s="59"/>
      <c r="K26" s="237"/>
    </row>
    <row r="27" spans="1:17" ht="15" thickBot="1" x14ac:dyDescent="0.4">
      <c r="A27" s="42" t="s">
        <v>244</v>
      </c>
      <c r="B27" s="42"/>
      <c r="C27" s="48"/>
      <c r="D27" s="48"/>
      <c r="E27" s="60">
        <v>0.12391499551032605</v>
      </c>
      <c r="F27" s="60">
        <v>7.0637533672553307E-2</v>
      </c>
      <c r="G27" s="61">
        <v>3.3822208919485203E-2</v>
      </c>
      <c r="H27" s="61">
        <v>0.41783897036815354</v>
      </c>
      <c r="I27" s="61">
        <v>0.35378629152948199</v>
      </c>
      <c r="J27" s="62"/>
      <c r="K27" s="237"/>
    </row>
    <row r="28" spans="1:17" ht="15" thickBot="1" x14ac:dyDescent="0.4">
      <c r="A28" s="44" t="s">
        <v>220</v>
      </c>
      <c r="B28" s="44" t="s">
        <v>245</v>
      </c>
      <c r="C28" s="51"/>
      <c r="D28" s="51">
        <v>1198</v>
      </c>
      <c r="E28" s="63"/>
      <c r="F28" s="63"/>
      <c r="G28" s="64"/>
      <c r="H28" s="64"/>
      <c r="I28" s="64"/>
      <c r="J28" s="65"/>
      <c r="K28" s="237"/>
    </row>
    <row r="29" spans="1:17" ht="15" thickBot="1" x14ac:dyDescent="0.4">
      <c r="A29" s="41" t="s">
        <v>220</v>
      </c>
      <c r="B29" s="41" t="s">
        <v>246</v>
      </c>
      <c r="C29" s="49"/>
      <c r="D29" s="49"/>
      <c r="E29" s="54"/>
      <c r="F29" s="54"/>
      <c r="G29" s="55">
        <v>206.58224383676156</v>
      </c>
      <c r="H29" s="55"/>
      <c r="I29" s="55">
        <v>884.86506800355005</v>
      </c>
      <c r="J29" s="56">
        <v>403.11327077230914</v>
      </c>
      <c r="K29" s="238"/>
      <c r="M29" s="5"/>
    </row>
    <row r="30" spans="1:17" x14ac:dyDescent="0.35">
      <c r="A30" s="40" t="s">
        <v>242</v>
      </c>
      <c r="B30" s="40"/>
      <c r="C30" s="50"/>
      <c r="D30" s="50"/>
      <c r="E30" s="57"/>
      <c r="F30" s="57"/>
      <c r="G30" s="58">
        <v>257.8408585526862</v>
      </c>
      <c r="H30" s="58"/>
      <c r="I30" s="58">
        <v>884.86506800355005</v>
      </c>
      <c r="J30" s="59">
        <v>101.77715721972979</v>
      </c>
      <c r="K30" s="236"/>
    </row>
    <row r="31" spans="1:17" x14ac:dyDescent="0.35">
      <c r="A31" s="40" t="s">
        <v>243</v>
      </c>
      <c r="B31" s="40"/>
      <c r="C31" s="50"/>
      <c r="D31" s="50"/>
      <c r="E31" s="57"/>
      <c r="F31" s="57"/>
      <c r="G31" s="58">
        <v>0.22564060670424557</v>
      </c>
      <c r="H31" s="58"/>
      <c r="I31" s="58">
        <v>0.77435939329575454</v>
      </c>
      <c r="J31" s="59"/>
      <c r="K31" s="237"/>
    </row>
    <row r="32" spans="1:17" ht="15" thickBot="1" x14ac:dyDescent="0.4">
      <c r="A32" s="42" t="s">
        <v>244</v>
      </c>
      <c r="B32" s="42"/>
      <c r="C32" s="48"/>
      <c r="D32" s="48"/>
      <c r="E32" s="60">
        <v>0</v>
      </c>
      <c r="F32" s="60">
        <v>0</v>
      </c>
      <c r="G32" s="61">
        <v>0.22564060670424557</v>
      </c>
      <c r="H32" s="61">
        <v>0</v>
      </c>
      <c r="I32" s="61">
        <v>0.77435939329575454</v>
      </c>
      <c r="J32" s="62"/>
      <c r="K32" s="238"/>
    </row>
    <row r="33" spans="1:11" x14ac:dyDescent="0.35">
      <c r="A33" s="41" t="s">
        <v>247</v>
      </c>
      <c r="B33" s="41" t="s">
        <v>240</v>
      </c>
      <c r="C33" s="49"/>
      <c r="D33" s="49"/>
      <c r="E33" s="54"/>
      <c r="F33" s="54"/>
      <c r="G33" s="242">
        <v>141.87</v>
      </c>
      <c r="H33" s="243"/>
      <c r="I33" s="244"/>
      <c r="J33" s="56"/>
      <c r="K33" s="236" t="s">
        <v>248</v>
      </c>
    </row>
    <row r="34" spans="1:11" x14ac:dyDescent="0.35">
      <c r="A34" s="40" t="s">
        <v>247</v>
      </c>
      <c r="B34" s="40" t="s">
        <v>249</v>
      </c>
      <c r="C34" s="50"/>
      <c r="D34" s="50"/>
      <c r="E34" s="57"/>
      <c r="F34" s="57"/>
      <c r="G34" s="248">
        <v>642.86</v>
      </c>
      <c r="H34" s="249"/>
      <c r="I34" s="250"/>
      <c r="J34" s="59"/>
      <c r="K34" s="237"/>
    </row>
    <row r="35" spans="1:11" ht="15" thickBot="1" x14ac:dyDescent="0.4">
      <c r="A35" s="42" t="s">
        <v>247</v>
      </c>
      <c r="B35" s="42" t="s">
        <v>250</v>
      </c>
      <c r="C35" s="48"/>
      <c r="D35" s="48"/>
      <c r="E35" s="60"/>
      <c r="F35" s="60"/>
      <c r="G35" s="245">
        <v>118.27</v>
      </c>
      <c r="H35" s="246"/>
      <c r="I35" s="247"/>
      <c r="J35" s="62"/>
      <c r="K35" s="238"/>
    </row>
    <row r="36" spans="1:11" ht="38" customHeight="1" x14ac:dyDescent="0.35">
      <c r="A36" s="41" t="s">
        <v>224</v>
      </c>
      <c r="B36" s="41" t="s">
        <v>240</v>
      </c>
      <c r="C36" s="49"/>
      <c r="D36" s="49"/>
      <c r="E36" s="54"/>
      <c r="F36" s="54"/>
      <c r="G36" s="242">
        <v>251.85</v>
      </c>
      <c r="H36" s="243"/>
      <c r="I36" s="244"/>
      <c r="J36" s="56">
        <f>J25/SUM(G25:J25)*G36</f>
        <v>14.882045454545445</v>
      </c>
      <c r="K36" s="239" t="s">
        <v>263</v>
      </c>
    </row>
    <row r="37" spans="1:11" ht="38" customHeight="1" thickBot="1" x14ac:dyDescent="0.4">
      <c r="A37" s="42" t="s">
        <v>224</v>
      </c>
      <c r="B37" s="42" t="s">
        <v>251</v>
      </c>
      <c r="C37" s="48"/>
      <c r="D37" s="48"/>
      <c r="E37" s="60"/>
      <c r="F37" s="60"/>
      <c r="G37" s="245">
        <v>1522.01</v>
      </c>
      <c r="H37" s="246"/>
      <c r="I37" s="247"/>
      <c r="J37" s="62">
        <f>J30/SUM(G30:J30)*G37</f>
        <v>124.47405117793257</v>
      </c>
      <c r="K37" s="241"/>
    </row>
    <row r="38" spans="1:11" x14ac:dyDescent="0.35">
      <c r="A38" s="41" t="s">
        <v>221</v>
      </c>
      <c r="B38" s="41" t="s">
        <v>240</v>
      </c>
      <c r="C38" s="49"/>
      <c r="D38" s="49"/>
      <c r="E38" s="54"/>
      <c r="F38" s="54"/>
      <c r="G38" s="242">
        <v>52.271999999999998</v>
      </c>
      <c r="H38" s="243"/>
      <c r="I38" s="244"/>
      <c r="J38" s="56"/>
      <c r="K38" s="239" t="s">
        <v>262</v>
      </c>
    </row>
    <row r="39" spans="1:11" x14ac:dyDescent="0.35">
      <c r="A39" s="26" t="s">
        <v>221</v>
      </c>
      <c r="B39" s="26" t="s">
        <v>252</v>
      </c>
      <c r="C39" s="52"/>
      <c r="D39" s="52"/>
      <c r="E39" s="36"/>
      <c r="F39" s="36"/>
      <c r="G39" s="248">
        <v>175.45</v>
      </c>
      <c r="H39" s="249"/>
      <c r="I39" s="250"/>
      <c r="J39" s="66"/>
      <c r="K39" s="240"/>
    </row>
    <row r="40" spans="1:11" ht="15" thickBot="1" x14ac:dyDescent="0.4">
      <c r="A40" s="45" t="s">
        <v>221</v>
      </c>
      <c r="B40" s="45" t="s">
        <v>253</v>
      </c>
      <c r="C40" s="53"/>
      <c r="D40" s="53"/>
      <c r="E40" s="67"/>
      <c r="F40" s="67"/>
      <c r="G40" s="245">
        <v>341.22</v>
      </c>
      <c r="H40" s="246"/>
      <c r="I40" s="247"/>
      <c r="J40" s="68"/>
      <c r="K40" s="241"/>
    </row>
    <row r="41" spans="1:11" ht="15" thickBot="1" x14ac:dyDescent="0.4"/>
    <row r="42" spans="1:11" ht="18.5" x14ac:dyDescent="0.45">
      <c r="A42" s="70" t="s">
        <v>1067</v>
      </c>
      <c r="B42" s="71"/>
      <c r="C42" s="71"/>
      <c r="D42" s="71"/>
      <c r="E42" s="71"/>
      <c r="F42" s="71"/>
      <c r="G42" s="72"/>
    </row>
    <row r="43" spans="1:11" x14ac:dyDescent="0.35">
      <c r="A43" s="87"/>
      <c r="B43" s="12" t="s">
        <v>17</v>
      </c>
      <c r="C43" s="12" t="s">
        <v>18</v>
      </c>
      <c r="D43" s="12" t="s">
        <v>640</v>
      </c>
      <c r="E43" s="12" t="s">
        <v>19</v>
      </c>
      <c r="F43" s="12" t="s">
        <v>594</v>
      </c>
      <c r="G43" s="74" t="s">
        <v>586</v>
      </c>
    </row>
    <row r="44" spans="1:11" x14ac:dyDescent="0.35">
      <c r="A44" s="73" t="s">
        <v>643</v>
      </c>
      <c r="B44" s="81">
        <f>J7</f>
        <v>0.191</v>
      </c>
      <c r="C44" s="81">
        <v>0.26</v>
      </c>
      <c r="D44" s="81">
        <f>J9</f>
        <v>0.24</v>
      </c>
      <c r="E44" s="81" t="s">
        <v>620</v>
      </c>
      <c r="F44" s="12" t="s">
        <v>650</v>
      </c>
      <c r="G44" s="74"/>
    </row>
    <row r="45" spans="1:11" x14ac:dyDescent="0.35">
      <c r="A45" s="73" t="s">
        <v>637</v>
      </c>
      <c r="B45" s="155">
        <f>J15</f>
        <v>0.10223298515881817</v>
      </c>
      <c r="C45" s="155">
        <f>J16</f>
        <v>0.33478576615831518</v>
      </c>
      <c r="D45" s="155">
        <f>J17</f>
        <v>0.3148652352672453</v>
      </c>
      <c r="E45" s="155" t="s">
        <v>638</v>
      </c>
      <c r="F45" s="12" t="s">
        <v>650</v>
      </c>
      <c r="G45" s="74"/>
    </row>
    <row r="46" spans="1:11" x14ac:dyDescent="0.35">
      <c r="A46" s="73" t="s">
        <v>644</v>
      </c>
      <c r="B46" s="12">
        <f>B16</f>
        <v>2.9E-4</v>
      </c>
      <c r="C46" s="156">
        <f>B19</f>
        <v>3.6315363840273432E-3</v>
      </c>
      <c r="D46" s="156">
        <f>B18</f>
        <v>1.37410071942446E-3</v>
      </c>
      <c r="E46" s="157" t="s">
        <v>620</v>
      </c>
      <c r="F46" s="12" t="s">
        <v>650</v>
      </c>
      <c r="G46" s="74"/>
    </row>
    <row r="47" spans="1:11" x14ac:dyDescent="0.35">
      <c r="A47" s="73" t="s">
        <v>645</v>
      </c>
      <c r="B47" s="12">
        <f>F7</f>
        <v>1.21</v>
      </c>
      <c r="C47" s="12">
        <f>F9</f>
        <v>1.29</v>
      </c>
      <c r="D47" s="81">
        <f>F10</f>
        <v>1.27</v>
      </c>
      <c r="E47" s="81" t="s">
        <v>620</v>
      </c>
      <c r="F47" s="12" t="s">
        <v>650</v>
      </c>
      <c r="G47" s="74"/>
    </row>
    <row r="48" spans="1:11" x14ac:dyDescent="0.35">
      <c r="A48" s="73" t="s">
        <v>75</v>
      </c>
      <c r="B48" s="157">
        <f>F15</f>
        <v>4.3209207590371159E-3</v>
      </c>
      <c r="C48" s="86">
        <f>F16</f>
        <v>0.61655773420479298</v>
      </c>
      <c r="D48" s="155">
        <f>F17</f>
        <v>0.3148652352672453</v>
      </c>
      <c r="E48" s="155" t="s">
        <v>638</v>
      </c>
      <c r="F48" s="12" t="s">
        <v>650</v>
      </c>
      <c r="G48" s="74"/>
    </row>
    <row r="49" spans="1:7" x14ac:dyDescent="0.35">
      <c r="A49" s="73" t="s">
        <v>111</v>
      </c>
      <c r="B49" s="12">
        <f>B16</f>
        <v>2.9E-4</v>
      </c>
      <c r="C49" s="156">
        <f>B19</f>
        <v>3.6315363840273432E-3</v>
      </c>
      <c r="D49" s="156">
        <f>B18</f>
        <v>1.37410071942446E-3</v>
      </c>
      <c r="E49" s="155" t="s">
        <v>620</v>
      </c>
      <c r="F49" s="12" t="s">
        <v>650</v>
      </c>
      <c r="G49" s="74"/>
    </row>
    <row r="50" spans="1:7" x14ac:dyDescent="0.35">
      <c r="A50" s="73" t="s">
        <v>646</v>
      </c>
      <c r="B50" s="81">
        <f>G38</f>
        <v>52.271999999999998</v>
      </c>
      <c r="C50" s="81">
        <f>(G36-J36)</f>
        <v>236.96795454545455</v>
      </c>
      <c r="D50" s="81">
        <f>AVERAGE(G25+H25+I25,G33)</f>
        <v>142.98295862718925</v>
      </c>
      <c r="E50" s="81" t="s">
        <v>585</v>
      </c>
      <c r="F50" s="12" t="s">
        <v>650</v>
      </c>
      <c r="G50" s="74" t="s">
        <v>641</v>
      </c>
    </row>
    <row r="51" spans="1:7" x14ac:dyDescent="0.35">
      <c r="A51" s="73" t="s">
        <v>647</v>
      </c>
      <c r="B51" s="81">
        <f>G39+G40</f>
        <v>516.67000000000007</v>
      </c>
      <c r="C51" s="81">
        <f>G37-J37</f>
        <v>1397.5359488220674</v>
      </c>
      <c r="D51" s="80">
        <f>AVERAGE(G30+I30,G34+G35)</f>
        <v>951.91796327811812</v>
      </c>
      <c r="E51" s="80" t="s">
        <v>585</v>
      </c>
      <c r="F51" s="12" t="s">
        <v>650</v>
      </c>
      <c r="G51" s="74" t="s">
        <v>641</v>
      </c>
    </row>
    <row r="52" spans="1:7" x14ac:dyDescent="0.35">
      <c r="A52" s="87" t="s">
        <v>345</v>
      </c>
      <c r="B52" s="81"/>
      <c r="C52" s="81"/>
      <c r="D52" s="81"/>
      <c r="E52" s="81"/>
      <c r="F52" s="12"/>
      <c r="G52" s="74"/>
    </row>
    <row r="53" spans="1:7" ht="15" thickBot="1" x14ac:dyDescent="0.4">
      <c r="A53" s="75" t="s">
        <v>1066</v>
      </c>
      <c r="B53" s="78">
        <f>Q22</f>
        <v>0.39525691699604748</v>
      </c>
      <c r="C53" s="78">
        <f>Q24</f>
        <v>0.52356020942408377</v>
      </c>
      <c r="D53" s="78">
        <f>Q23</f>
        <v>0.51546391752577325</v>
      </c>
      <c r="E53" s="76" t="s">
        <v>3</v>
      </c>
      <c r="F53" s="77" t="s">
        <v>650</v>
      </c>
      <c r="G53" s="79"/>
    </row>
    <row r="54" spans="1:7" ht="15" thickBot="1" x14ac:dyDescent="0.4"/>
    <row r="55" spans="1:7" ht="18.5" x14ac:dyDescent="0.45">
      <c r="A55" s="175" t="s">
        <v>783</v>
      </c>
      <c r="B55" s="104"/>
    </row>
    <row r="56" spans="1:7" x14ac:dyDescent="0.35">
      <c r="A56" s="109" t="s">
        <v>0</v>
      </c>
      <c r="B56" s="108" t="s">
        <v>584</v>
      </c>
    </row>
    <row r="57" spans="1:7" x14ac:dyDescent="0.35">
      <c r="A57" s="105" t="s">
        <v>651</v>
      </c>
      <c r="B57" s="108">
        <v>1</v>
      </c>
    </row>
    <row r="58" spans="1:7" x14ac:dyDescent="0.35">
      <c r="A58" s="105" t="s">
        <v>254</v>
      </c>
      <c r="B58" s="106">
        <f>D44</f>
        <v>0.24</v>
      </c>
    </row>
    <row r="59" spans="1:7" x14ac:dyDescent="0.35">
      <c r="A59" s="105" t="s">
        <v>205</v>
      </c>
      <c r="B59" s="195">
        <f>D45/1000</f>
        <v>3.148652352672453E-4</v>
      </c>
    </row>
    <row r="60" spans="1:7" x14ac:dyDescent="0.35">
      <c r="A60" s="105" t="s">
        <v>257</v>
      </c>
      <c r="B60" s="107">
        <f>D46</f>
        <v>1.37410071942446E-3</v>
      </c>
    </row>
    <row r="61" spans="1:7" x14ac:dyDescent="0.35">
      <c r="A61" s="105"/>
      <c r="B61" s="106"/>
    </row>
    <row r="62" spans="1:7" x14ac:dyDescent="0.35">
      <c r="A62" s="109" t="s">
        <v>1</v>
      </c>
      <c r="B62" s="106"/>
    </row>
    <row r="63" spans="1:7" x14ac:dyDescent="0.35">
      <c r="A63" s="105" t="s">
        <v>206</v>
      </c>
      <c r="B63" s="106">
        <f>D47</f>
        <v>1.27</v>
      </c>
    </row>
    <row r="64" spans="1:7" x14ac:dyDescent="0.35">
      <c r="A64" s="105" t="s">
        <v>1056</v>
      </c>
      <c r="B64" s="195">
        <f>D48</f>
        <v>0.3148652352672453</v>
      </c>
    </row>
    <row r="65" spans="1:2" x14ac:dyDescent="0.35">
      <c r="A65" s="105" t="s">
        <v>258</v>
      </c>
      <c r="B65" s="195">
        <f>D49</f>
        <v>1.37410071942446E-3</v>
      </c>
    </row>
    <row r="66" spans="1:2" x14ac:dyDescent="0.35">
      <c r="A66" s="105" t="s">
        <v>2</v>
      </c>
      <c r="B66" s="195">
        <f>D51</f>
        <v>951.91796327811812</v>
      </c>
    </row>
    <row r="67" spans="1:2" ht="15" thickBot="1" x14ac:dyDescent="0.4">
      <c r="A67" s="110" t="s">
        <v>652</v>
      </c>
      <c r="B67" s="203">
        <f>D50</f>
        <v>142.98295862718925</v>
      </c>
    </row>
  </sheetData>
  <mergeCells count="13">
    <mergeCell ref="K23:K29"/>
    <mergeCell ref="K30:K32"/>
    <mergeCell ref="K38:K40"/>
    <mergeCell ref="K36:K37"/>
    <mergeCell ref="G36:I36"/>
    <mergeCell ref="G37:I37"/>
    <mergeCell ref="G38:I38"/>
    <mergeCell ref="G39:I39"/>
    <mergeCell ref="G40:I40"/>
    <mergeCell ref="G33:I33"/>
    <mergeCell ref="K33:K35"/>
    <mergeCell ref="G34:I34"/>
    <mergeCell ref="G35:I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2C6C-F7E4-49DD-AC25-F2CC97D59F32}">
  <sheetPr>
    <tabColor theme="4" tint="0.79998168889431442"/>
  </sheetPr>
  <dimension ref="A1:Q68"/>
  <sheetViews>
    <sheetView topLeftCell="A33" zoomScaleNormal="100" workbookViewId="0">
      <selection activeCell="I63" sqref="I63"/>
    </sheetView>
  </sheetViews>
  <sheetFormatPr defaultRowHeight="14.5" x14ac:dyDescent="0.35"/>
  <cols>
    <col min="1" max="1" width="18.26953125" customWidth="1"/>
    <col min="2" max="2" width="21.90625" bestFit="1" customWidth="1"/>
    <col min="3" max="3" width="27.81640625" customWidth="1"/>
    <col min="4" max="4" width="5.36328125" bestFit="1" customWidth="1"/>
    <col min="5" max="5" width="38.81640625" customWidth="1"/>
    <col min="6" max="6" width="21.1796875" bestFit="1" customWidth="1"/>
    <col min="7" max="7" width="6.36328125" bestFit="1" customWidth="1"/>
    <col min="8" max="8" width="20" customWidth="1"/>
    <col min="9" max="9" width="33.1796875" customWidth="1"/>
    <col min="10" max="10" width="41.54296875" bestFit="1" customWidth="1"/>
    <col min="11" max="11" width="26.7265625" bestFit="1" customWidth="1"/>
    <col min="12" max="12" width="36.81640625" bestFit="1" customWidth="1"/>
    <col min="13" max="13" width="30.6328125" bestFit="1" customWidth="1"/>
    <col min="14" max="14" width="17.54296875" bestFit="1" customWidth="1"/>
    <col min="15" max="15" width="12.08984375" customWidth="1"/>
    <col min="16" max="17" width="7.36328125" bestFit="1" customWidth="1"/>
    <col min="18" max="18" width="4.453125" bestFit="1" customWidth="1"/>
  </cols>
  <sheetData>
    <row r="1" spans="1:17" ht="18.5" x14ac:dyDescent="0.45">
      <c r="A1" s="2" t="s">
        <v>58</v>
      </c>
      <c r="B1" t="s">
        <v>59</v>
      </c>
    </row>
    <row r="2" spans="1:17" ht="15" thickBot="1" x14ac:dyDescent="0.4"/>
    <row r="3" spans="1:17" x14ac:dyDescent="0.35">
      <c r="A3" s="94"/>
      <c r="B3" s="111" t="s">
        <v>63</v>
      </c>
      <c r="C3" s="182" t="s">
        <v>659</v>
      </c>
      <c r="E3" s="114"/>
      <c r="F3" s="115" t="s">
        <v>16</v>
      </c>
      <c r="G3" s="116"/>
      <c r="H3" s="116"/>
      <c r="I3" s="116"/>
      <c r="J3" s="116"/>
      <c r="K3" s="116"/>
      <c r="L3" s="116"/>
      <c r="M3" s="116"/>
      <c r="N3" s="116"/>
      <c r="O3" s="117"/>
    </row>
    <row r="4" spans="1:17" x14ac:dyDescent="0.35">
      <c r="A4" s="97" t="s">
        <v>931</v>
      </c>
      <c r="B4" s="103">
        <v>79</v>
      </c>
      <c r="C4" s="98" t="s">
        <v>3</v>
      </c>
      <c r="E4" s="118"/>
      <c r="F4" s="119" t="s">
        <v>17</v>
      </c>
      <c r="G4" s="119" t="s">
        <v>18</v>
      </c>
      <c r="H4" s="119" t="s">
        <v>285</v>
      </c>
      <c r="I4" s="119" t="s">
        <v>19</v>
      </c>
      <c r="J4" s="119" t="s">
        <v>83</v>
      </c>
      <c r="K4" s="119" t="s">
        <v>547</v>
      </c>
      <c r="L4" s="119" t="s">
        <v>707</v>
      </c>
      <c r="M4" s="119" t="s">
        <v>688</v>
      </c>
      <c r="N4" s="125" t="s">
        <v>285</v>
      </c>
      <c r="O4" s="143" t="s">
        <v>19</v>
      </c>
      <c r="Q4" s="3"/>
    </row>
    <row r="5" spans="1:17" x14ac:dyDescent="0.35">
      <c r="A5" s="97"/>
      <c r="B5" s="103">
        <v>84.8</v>
      </c>
      <c r="C5" s="98" t="s">
        <v>3</v>
      </c>
      <c r="E5" s="118" t="s">
        <v>92</v>
      </c>
      <c r="F5" s="119"/>
      <c r="G5" s="119"/>
      <c r="H5" s="119"/>
      <c r="I5" s="119" t="s">
        <v>21</v>
      </c>
      <c r="J5" s="121">
        <f>H40+1+I51/I47</f>
        <v>11.0625</v>
      </c>
      <c r="K5" s="121" t="s">
        <v>352</v>
      </c>
      <c r="L5" s="121" t="s">
        <v>352</v>
      </c>
      <c r="M5" s="144">
        <f>J5*I47</f>
        <v>21.961264100862643</v>
      </c>
      <c r="N5" s="144"/>
      <c r="O5" s="143" t="s">
        <v>23</v>
      </c>
      <c r="Q5" s="4"/>
    </row>
    <row r="6" spans="1:17" x14ac:dyDescent="0.35">
      <c r="A6" s="97"/>
      <c r="B6" s="103">
        <v>81.3</v>
      </c>
      <c r="C6" s="98" t="s">
        <v>3</v>
      </c>
      <c r="E6" s="118" t="s">
        <v>78</v>
      </c>
      <c r="F6" s="121">
        <f>'Energy consumption machinery'!B14</f>
        <v>1.08</v>
      </c>
      <c r="G6" s="121">
        <f>'Energy consumption machinery'!C14</f>
        <v>3.7439999999999998</v>
      </c>
      <c r="H6" s="144">
        <f>'Energy consumption machinery'!D14</f>
        <v>3.42</v>
      </c>
      <c r="I6" s="151" t="s">
        <v>43</v>
      </c>
      <c r="J6" s="121">
        <f>H40+1+I51/I47</f>
        <v>11.0625</v>
      </c>
      <c r="K6" s="123">
        <f>0.93/J6*K22+1-0.93/J6</f>
        <v>1.0378305084745763</v>
      </c>
      <c r="L6" s="121">
        <f>J6/K6</f>
        <v>10.659254964724328</v>
      </c>
      <c r="M6" s="144">
        <f>L6*I47</f>
        <v>21.160742454123596</v>
      </c>
      <c r="N6" s="144">
        <f>M6*H6</f>
        <v>72.369739193102703</v>
      </c>
      <c r="O6" s="143" t="s">
        <v>23</v>
      </c>
    </row>
    <row r="7" spans="1:17" x14ac:dyDescent="0.35">
      <c r="A7" s="97"/>
      <c r="B7" s="103">
        <v>85.5</v>
      </c>
      <c r="C7" s="98" t="s">
        <v>3</v>
      </c>
      <c r="E7" s="118" t="s">
        <v>79</v>
      </c>
      <c r="F7" s="121">
        <f>'Energy consumption machinery'!B14</f>
        <v>1.08</v>
      </c>
      <c r="G7" s="121">
        <f>'Energy consumption machinery'!C14</f>
        <v>3.7439999999999998</v>
      </c>
      <c r="H7" s="144">
        <f>'Energy consumption machinery'!D14</f>
        <v>3.42</v>
      </c>
      <c r="I7" s="151" t="s">
        <v>43</v>
      </c>
      <c r="J7" s="121">
        <f>I55/I47*0.2/H29*J6</f>
        <v>0.69015311473599961</v>
      </c>
      <c r="K7" s="123">
        <f>I55*0.2/(J7*I47)*K22+1-I55*0.2/(J7*I47)</f>
        <v>1.0357966101694915</v>
      </c>
      <c r="L7" s="121">
        <f>J7/K7</f>
        <v>0.66630177001937385</v>
      </c>
      <c r="M7" s="144">
        <f>L7*I47</f>
        <v>1.3227416173801321</v>
      </c>
      <c r="N7" s="144">
        <f>M7*H7</f>
        <v>4.5237763314400512</v>
      </c>
      <c r="O7" s="143" t="s">
        <v>23</v>
      </c>
    </row>
    <row r="8" spans="1:17" x14ac:dyDescent="0.35">
      <c r="A8" s="97"/>
      <c r="B8" s="103">
        <v>82.4</v>
      </c>
      <c r="C8" s="98" t="s">
        <v>3</v>
      </c>
      <c r="E8" s="118" t="s">
        <v>80</v>
      </c>
      <c r="F8" s="121">
        <f>'Energy consumption machinery'!B14</f>
        <v>1.08</v>
      </c>
      <c r="G8" s="121">
        <f>'Energy consumption machinery'!C14</f>
        <v>3.7439999999999998</v>
      </c>
      <c r="H8" s="144">
        <f>'Energy consumption machinery'!D14</f>
        <v>3.42</v>
      </c>
      <c r="I8" s="151" t="s">
        <v>43</v>
      </c>
      <c r="J8" s="121">
        <f>J6-(H29-H30/I47)*0.4/0.65*3.5+I52/I47</f>
        <v>10.285320029808728</v>
      </c>
      <c r="K8" s="123">
        <f>(I57*0.95+I56*0.03)/(J8*I47)*K22+1-(I57*0.95+I56*0.03)/(J8*I47)</f>
        <v>1.0285339402448046</v>
      </c>
      <c r="L8" s="121">
        <f>J8/K8</f>
        <v>9.9999811648030654</v>
      </c>
      <c r="M8" s="144">
        <f>L8*I47</f>
        <v>19.851952756058047</v>
      </c>
      <c r="N8" s="144">
        <f>M8*H8</f>
        <v>67.89367842571852</v>
      </c>
      <c r="O8" s="143" t="s">
        <v>23</v>
      </c>
    </row>
    <row r="9" spans="1:17" x14ac:dyDescent="0.35">
      <c r="A9" s="97"/>
      <c r="B9" s="103">
        <v>78.5</v>
      </c>
      <c r="C9" s="98" t="s">
        <v>3</v>
      </c>
      <c r="E9" s="118" t="s">
        <v>81</v>
      </c>
      <c r="F9" s="121">
        <f>'Energy consumption machinery'!B14</f>
        <v>1.08</v>
      </c>
      <c r="G9" s="121">
        <f>'Energy consumption machinery'!C14</f>
        <v>3.7439999999999998</v>
      </c>
      <c r="H9" s="144">
        <f>'Energy consumption machinery'!D14</f>
        <v>3.42</v>
      </c>
      <c r="I9" s="151" t="s">
        <v>43</v>
      </c>
      <c r="J9" s="121">
        <f>J8-I56/I47+6/I47</f>
        <v>7.5197568090135087</v>
      </c>
      <c r="K9" s="123">
        <f>I57*0.95/(J9*I47)*K22+1-I57*0.95/(J9*I47)</f>
        <v>1.0286370496485895</v>
      </c>
      <c r="L9" s="121">
        <f>J9/K9</f>
        <v>7.310408284032218</v>
      </c>
      <c r="M9" s="144">
        <f>L9*I47</f>
        <v>14.512615323007061</v>
      </c>
      <c r="N9" s="144">
        <f>M9*H9</f>
        <v>49.633144404684145</v>
      </c>
      <c r="O9" s="143" t="s">
        <v>23</v>
      </c>
    </row>
    <row r="10" spans="1:17" x14ac:dyDescent="0.35">
      <c r="A10" s="97"/>
      <c r="B10" s="103">
        <v>76.3</v>
      </c>
      <c r="C10" s="98" t="s">
        <v>3</v>
      </c>
      <c r="E10" s="118" t="s">
        <v>1026</v>
      </c>
      <c r="F10" s="121">
        <f>'Energy consumption machinery'!B18</f>
        <v>0.39</v>
      </c>
      <c r="G10" s="121">
        <f>'Energy consumption machinery'!C18</f>
        <v>1.89</v>
      </c>
      <c r="H10" s="213">
        <f>(F10+G10)/2</f>
        <v>1.1399999999999999</v>
      </c>
      <c r="I10" s="140" t="s">
        <v>21</v>
      </c>
      <c r="J10" s="121">
        <f>(I47*H29-I57*H30)*0.4/0.65/0.2/I47</f>
        <v>1.2352571002732466</v>
      </c>
      <c r="K10" s="123" t="s">
        <v>352</v>
      </c>
      <c r="L10" s="121" t="s">
        <v>352</v>
      </c>
      <c r="M10" s="144">
        <f>J10*I47</f>
        <v>2.4522311784466924</v>
      </c>
      <c r="N10" s="144">
        <f>M10*H10</f>
        <v>2.7955435434292291</v>
      </c>
      <c r="O10" s="143" t="s">
        <v>23</v>
      </c>
    </row>
    <row r="11" spans="1:17" x14ac:dyDescent="0.35">
      <c r="A11" s="97"/>
      <c r="B11" s="103">
        <v>73.3</v>
      </c>
      <c r="C11" s="98" t="s">
        <v>3</v>
      </c>
      <c r="E11" s="118"/>
      <c r="F11" s="119"/>
      <c r="G11" s="119"/>
      <c r="H11" s="119"/>
      <c r="I11" s="119"/>
      <c r="J11" s="119" t="s">
        <v>77</v>
      </c>
      <c r="K11" s="119"/>
      <c r="L11" s="119"/>
      <c r="M11" s="125"/>
      <c r="N11" s="125"/>
      <c r="O11" s="143"/>
    </row>
    <row r="12" spans="1:17" x14ac:dyDescent="0.35">
      <c r="A12" s="97"/>
      <c r="B12" s="103">
        <v>74</v>
      </c>
      <c r="C12" s="98" t="s">
        <v>3</v>
      </c>
      <c r="E12" s="118" t="s">
        <v>193</v>
      </c>
      <c r="F12" s="119">
        <f>'Energy consumption machinery'!B20</f>
        <v>0.09</v>
      </c>
      <c r="G12" s="119">
        <f>'Energy consumption machinery'!C20</f>
        <v>0.16400000000000001</v>
      </c>
      <c r="H12" s="125">
        <f>'Energy consumption machinery'!D20</f>
        <v>0.15</v>
      </c>
      <c r="I12" s="119" t="s">
        <v>194</v>
      </c>
      <c r="J12" s="119" t="s">
        <v>3</v>
      </c>
      <c r="K12" s="121" t="s">
        <v>352</v>
      </c>
      <c r="L12" s="121" t="s">
        <v>352</v>
      </c>
      <c r="M12" s="144" t="s">
        <v>352</v>
      </c>
      <c r="N12" s="144">
        <f>SUM(N5:N10)*H12</f>
        <v>29.582382284756196</v>
      </c>
      <c r="O12" s="143" t="s">
        <v>23</v>
      </c>
    </row>
    <row r="13" spans="1:17" x14ac:dyDescent="0.35">
      <c r="A13" s="97"/>
      <c r="B13" s="103">
        <v>78.2</v>
      </c>
      <c r="C13" s="98" t="s">
        <v>3</v>
      </c>
      <c r="E13" s="118"/>
      <c r="F13" s="119"/>
      <c r="G13" s="119"/>
      <c r="H13" s="119"/>
      <c r="I13" s="119"/>
      <c r="J13" s="119"/>
      <c r="K13" s="119"/>
      <c r="L13" s="119"/>
      <c r="M13" s="119"/>
      <c r="N13" s="125"/>
      <c r="O13" s="143"/>
    </row>
    <row r="14" spans="1:17" x14ac:dyDescent="0.35">
      <c r="A14" s="97"/>
      <c r="B14" s="103">
        <v>79.400000000000006</v>
      </c>
      <c r="C14" s="98" t="s">
        <v>3</v>
      </c>
      <c r="E14" s="118"/>
      <c r="F14" s="125" t="s">
        <v>135</v>
      </c>
      <c r="G14" s="119"/>
      <c r="H14" s="119"/>
      <c r="I14" s="119"/>
      <c r="J14" s="119"/>
      <c r="K14" s="119"/>
      <c r="L14" s="119"/>
      <c r="M14" s="119"/>
      <c r="N14" s="125"/>
      <c r="O14" s="143"/>
    </row>
    <row r="15" spans="1:17" x14ac:dyDescent="0.35">
      <c r="A15" s="97"/>
      <c r="B15" s="103">
        <v>78.099999999999994</v>
      </c>
      <c r="C15" s="98" t="s">
        <v>3</v>
      </c>
      <c r="E15" s="118"/>
      <c r="F15" s="119" t="s">
        <v>17</v>
      </c>
      <c r="G15" s="119" t="s">
        <v>18</v>
      </c>
      <c r="H15" s="119" t="s">
        <v>285</v>
      </c>
      <c r="I15" s="119" t="s">
        <v>19</v>
      </c>
      <c r="J15" s="119" t="s">
        <v>708</v>
      </c>
      <c r="K15" s="119" t="s">
        <v>547</v>
      </c>
      <c r="L15" s="119" t="s">
        <v>709</v>
      </c>
      <c r="M15" s="119" t="s">
        <v>710</v>
      </c>
      <c r="N15" s="125" t="s">
        <v>285</v>
      </c>
      <c r="O15" s="143" t="s">
        <v>19</v>
      </c>
    </row>
    <row r="16" spans="1:17" x14ac:dyDescent="0.35">
      <c r="A16" s="97"/>
      <c r="B16" s="103">
        <v>77.7</v>
      </c>
      <c r="C16" s="98" t="s">
        <v>3</v>
      </c>
      <c r="E16" s="118" t="s">
        <v>82</v>
      </c>
      <c r="F16" s="119">
        <f>4.2*F36</f>
        <v>117.60000000000001</v>
      </c>
      <c r="G16" s="119">
        <f>4.2*G36</f>
        <v>256.2</v>
      </c>
      <c r="H16" s="125">
        <f>4.2*H36</f>
        <v>138.6</v>
      </c>
      <c r="I16" s="119" t="s">
        <v>21</v>
      </c>
      <c r="J16" s="123">
        <f>H40+1+I51/I47</f>
        <v>11.0625</v>
      </c>
      <c r="K16" s="121" t="s">
        <v>352</v>
      </c>
      <c r="L16" s="121" t="s">
        <v>352</v>
      </c>
      <c r="M16" s="144">
        <f>J16*I47</f>
        <v>21.961264100862643</v>
      </c>
      <c r="N16" s="144">
        <f>M16*H16</f>
        <v>3043.8312043795622</v>
      </c>
      <c r="O16" s="143" t="s">
        <v>23</v>
      </c>
    </row>
    <row r="17" spans="1:15" x14ac:dyDescent="0.35">
      <c r="A17" s="97"/>
      <c r="B17" s="103">
        <v>75.900000000000006</v>
      </c>
      <c r="C17" s="98" t="s">
        <v>3</v>
      </c>
      <c r="E17" s="118" t="s">
        <v>29</v>
      </c>
      <c r="F17" s="119">
        <f>'Energy consumption machinery'!B25</f>
        <v>3268</v>
      </c>
      <c r="G17" s="119">
        <f>'Energy consumption machinery'!C25</f>
        <v>6333</v>
      </c>
      <c r="H17" s="214">
        <f>(F17+G17)/2</f>
        <v>4800.5</v>
      </c>
      <c r="I17" s="119" t="s">
        <v>21</v>
      </c>
      <c r="J17" s="123">
        <f>(H30/G22-I57)/I47</f>
        <v>2.4871561809529203</v>
      </c>
      <c r="K17" s="121" t="s">
        <v>352</v>
      </c>
      <c r="L17" s="121" t="s">
        <v>352</v>
      </c>
      <c r="M17" s="144">
        <f>J17*I47</f>
        <v>4.9375</v>
      </c>
      <c r="N17" s="144">
        <f>H17*M17</f>
        <v>23702.46875</v>
      </c>
      <c r="O17" s="143" t="s">
        <v>23</v>
      </c>
    </row>
    <row r="18" spans="1:15" x14ac:dyDescent="0.35">
      <c r="A18" s="97"/>
      <c r="B18" s="103">
        <v>74.5</v>
      </c>
      <c r="C18" s="98" t="s">
        <v>3</v>
      </c>
      <c r="E18" s="118" t="s">
        <v>1027</v>
      </c>
      <c r="F18" s="119">
        <f>'Energy consumption machinery'!B22</f>
        <v>3600</v>
      </c>
      <c r="G18" s="119">
        <f>'Energy consumption machinery'!C22</f>
        <v>5040</v>
      </c>
      <c r="H18" s="125">
        <f>'Energy consumption machinery'!D22</f>
        <v>3600</v>
      </c>
      <c r="I18" s="119" t="s">
        <v>21</v>
      </c>
      <c r="J18" s="123">
        <f>(I47*H29-I57*H30)*0.4/0.65*(1/0.65-1/0.9)/I47</f>
        <v>0.10557752993788429</v>
      </c>
      <c r="K18" s="121" t="s">
        <v>352</v>
      </c>
      <c r="L18" s="121" t="s">
        <v>352</v>
      </c>
      <c r="M18" s="144">
        <f>J18*I47</f>
        <v>0.20959240841424714</v>
      </c>
      <c r="N18" s="144">
        <f>M18*H18</f>
        <v>754.53267029128972</v>
      </c>
      <c r="O18" s="143" t="s">
        <v>23</v>
      </c>
    </row>
    <row r="19" spans="1:15" x14ac:dyDescent="0.35">
      <c r="A19" s="97"/>
      <c r="B19" s="103">
        <v>77.8</v>
      </c>
      <c r="C19" s="98" t="s">
        <v>3</v>
      </c>
      <c r="E19" s="118"/>
      <c r="F19" s="119"/>
      <c r="G19" s="119"/>
      <c r="H19" s="119"/>
      <c r="I19" s="119"/>
      <c r="J19" s="119"/>
      <c r="K19" s="119"/>
      <c r="L19" s="119"/>
      <c r="M19" s="119"/>
      <c r="N19" s="119"/>
      <c r="O19" s="120"/>
    </row>
    <row r="20" spans="1:15" x14ac:dyDescent="0.35">
      <c r="A20" s="97"/>
      <c r="B20" s="103">
        <v>78.5</v>
      </c>
      <c r="C20" s="98" t="s">
        <v>3</v>
      </c>
      <c r="E20" s="118" t="s">
        <v>134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20"/>
    </row>
    <row r="21" spans="1:15" x14ac:dyDescent="0.35">
      <c r="A21" s="97"/>
      <c r="B21" s="103">
        <v>74</v>
      </c>
      <c r="C21" s="98" t="s">
        <v>3</v>
      </c>
      <c r="E21" s="118" t="s">
        <v>17</v>
      </c>
      <c r="F21" s="119" t="s">
        <v>18</v>
      </c>
      <c r="G21" s="119" t="s">
        <v>285</v>
      </c>
      <c r="H21" s="119"/>
      <c r="I21" s="119"/>
      <c r="J21" s="119"/>
      <c r="K21" s="125" t="s">
        <v>550</v>
      </c>
      <c r="L21" s="119"/>
      <c r="M21" s="119"/>
      <c r="N21" s="119"/>
      <c r="O21" s="120"/>
    </row>
    <row r="22" spans="1:15" ht="15" thickBot="1" x14ac:dyDescent="0.4">
      <c r="A22" s="97"/>
      <c r="B22" s="103">
        <v>75.8</v>
      </c>
      <c r="C22" s="98" t="s">
        <v>3</v>
      </c>
      <c r="E22" s="126">
        <f>'Energy consumption machinery'!B26</f>
        <v>0.12</v>
      </c>
      <c r="F22" s="130">
        <f>'Energy consumption machinery'!C26</f>
        <v>0.2</v>
      </c>
      <c r="G22" s="130">
        <f>'Energy consumption machinery'!D26</f>
        <v>0.16</v>
      </c>
      <c r="H22" s="130"/>
      <c r="I22" s="130"/>
      <c r="J22" s="130"/>
      <c r="K22" s="130">
        <v>1.45</v>
      </c>
      <c r="L22" s="130" t="s">
        <v>549</v>
      </c>
      <c r="M22" s="130"/>
      <c r="N22" s="127"/>
      <c r="O22" s="128"/>
    </row>
    <row r="23" spans="1:15" ht="15" thickBot="1" x14ac:dyDescent="0.4">
      <c r="A23" s="97"/>
      <c r="B23" s="103">
        <v>78.8</v>
      </c>
      <c r="C23" s="98" t="s">
        <v>3</v>
      </c>
    </row>
    <row r="24" spans="1:15" ht="18.5" x14ac:dyDescent="0.45">
      <c r="A24" s="97"/>
      <c r="B24" s="103">
        <v>74</v>
      </c>
      <c r="C24" s="98" t="s">
        <v>3</v>
      </c>
      <c r="E24" s="70" t="s">
        <v>700</v>
      </c>
      <c r="F24" s="71"/>
      <c r="G24" s="71"/>
      <c r="H24" s="71"/>
      <c r="I24" s="71"/>
      <c r="J24" s="72"/>
    </row>
    <row r="25" spans="1:15" x14ac:dyDescent="0.35">
      <c r="A25" s="97"/>
      <c r="B25" s="103">
        <v>73.7</v>
      </c>
      <c r="C25" s="98" t="s">
        <v>3</v>
      </c>
      <c r="E25" s="73"/>
      <c r="F25" s="12" t="s">
        <v>17</v>
      </c>
      <c r="G25" s="12" t="s">
        <v>18</v>
      </c>
      <c r="H25" s="12" t="s">
        <v>285</v>
      </c>
      <c r="I25" s="12" t="s">
        <v>683</v>
      </c>
      <c r="J25" s="74" t="s">
        <v>698</v>
      </c>
    </row>
    <row r="26" spans="1:15" x14ac:dyDescent="0.35">
      <c r="A26" s="97"/>
      <c r="B26" s="103">
        <v>78.599999999999994</v>
      </c>
      <c r="C26" s="98" t="s">
        <v>3</v>
      </c>
      <c r="E26" s="73" t="s">
        <v>291</v>
      </c>
      <c r="F26" s="81">
        <f>C54/100</f>
        <v>0.86499999999999999</v>
      </c>
      <c r="G26" s="81">
        <f>C55/100</f>
        <v>0.95200000000000007</v>
      </c>
      <c r="H26" s="81">
        <f>C53/100</f>
        <v>0.92900000000000005</v>
      </c>
      <c r="I26" s="81" t="s">
        <v>934</v>
      </c>
      <c r="J26" s="74"/>
    </row>
    <row r="27" spans="1:15" x14ac:dyDescent="0.35">
      <c r="A27" s="97"/>
      <c r="B27" s="103">
        <v>72</v>
      </c>
      <c r="C27" s="98" t="s">
        <v>3</v>
      </c>
      <c r="E27" s="73" t="s">
        <v>292</v>
      </c>
      <c r="F27" s="12">
        <f>A65</f>
        <v>0.51</v>
      </c>
      <c r="G27" s="12">
        <f>B65</f>
        <v>0.625</v>
      </c>
      <c r="H27" s="12">
        <f>C65</f>
        <v>0.59</v>
      </c>
      <c r="I27" s="12" t="s">
        <v>935</v>
      </c>
      <c r="J27" s="83" t="s">
        <v>704</v>
      </c>
    </row>
    <row r="28" spans="1:15" x14ac:dyDescent="0.35">
      <c r="A28" s="97"/>
      <c r="B28" s="103">
        <v>70.5</v>
      </c>
      <c r="C28" s="98" t="s">
        <v>3</v>
      </c>
      <c r="E28" s="73" t="s">
        <v>303</v>
      </c>
      <c r="F28" s="81">
        <f>B54/100</f>
        <v>0.57299999999999995</v>
      </c>
      <c r="G28" s="81">
        <f>B55/100</f>
        <v>0.85499999999999998</v>
      </c>
      <c r="H28" s="81">
        <f>B53/100</f>
        <v>0.75349999999999995</v>
      </c>
      <c r="I28" s="81" t="s">
        <v>931</v>
      </c>
      <c r="J28" s="83"/>
    </row>
    <row r="29" spans="1:15" x14ac:dyDescent="0.35">
      <c r="A29" s="97"/>
      <c r="B29" s="103">
        <v>64.900000000000006</v>
      </c>
      <c r="C29" s="98" t="s">
        <v>3</v>
      </c>
      <c r="E29" s="73" t="s">
        <v>314</v>
      </c>
      <c r="F29" s="12" t="s">
        <v>352</v>
      </c>
      <c r="G29" s="12" t="s">
        <v>352</v>
      </c>
      <c r="H29" s="12">
        <v>0.88</v>
      </c>
      <c r="I29" s="174" t="s">
        <v>703</v>
      </c>
      <c r="J29" s="74"/>
    </row>
    <row r="30" spans="1:15" x14ac:dyDescent="0.35">
      <c r="A30" s="97"/>
      <c r="B30" s="103">
        <v>57.7</v>
      </c>
      <c r="C30" s="98" t="s">
        <v>3</v>
      </c>
      <c r="E30" s="73" t="s">
        <v>712</v>
      </c>
      <c r="F30" s="12" t="s">
        <v>352</v>
      </c>
      <c r="G30" s="12" t="s">
        <v>352</v>
      </c>
      <c r="H30" s="12">
        <v>0.95</v>
      </c>
      <c r="I30" s="82" t="s">
        <v>936</v>
      </c>
      <c r="J30" s="74"/>
    </row>
    <row r="31" spans="1:15" x14ac:dyDescent="0.35">
      <c r="A31" s="97"/>
      <c r="B31" s="103">
        <v>57.3</v>
      </c>
      <c r="C31" s="98" t="s">
        <v>3</v>
      </c>
      <c r="E31" s="73"/>
      <c r="F31" s="12"/>
      <c r="G31" s="12"/>
      <c r="H31" s="12"/>
      <c r="I31" s="12"/>
      <c r="J31" s="74"/>
    </row>
    <row r="32" spans="1:15" x14ac:dyDescent="0.35">
      <c r="A32" s="97"/>
      <c r="B32" s="103">
        <v>66.5</v>
      </c>
      <c r="C32" s="98" t="s">
        <v>3</v>
      </c>
      <c r="E32" s="73" t="s">
        <v>317</v>
      </c>
      <c r="F32" s="12">
        <f>'Energy consumption machinery'!B14</f>
        <v>1.08</v>
      </c>
      <c r="G32" s="12">
        <f>'Energy consumption machinery'!C14</f>
        <v>3.7439999999999998</v>
      </c>
      <c r="H32" s="12">
        <f>'Energy consumption machinery'!D14</f>
        <v>3.42</v>
      </c>
      <c r="I32" s="12" t="s">
        <v>675</v>
      </c>
      <c r="J32" s="74" t="s">
        <v>674</v>
      </c>
    </row>
    <row r="33" spans="1:10" x14ac:dyDescent="0.35">
      <c r="A33" s="97"/>
      <c r="B33" s="103">
        <v>67.400000000000006</v>
      </c>
      <c r="C33" s="98" t="s">
        <v>3</v>
      </c>
      <c r="E33" s="73" t="s">
        <v>322</v>
      </c>
      <c r="F33" s="12">
        <f>'Energy consumption machinery'!B18</f>
        <v>0.39</v>
      </c>
      <c r="G33" s="12">
        <f>'Energy consumption machinery'!C18</f>
        <v>1.89</v>
      </c>
      <c r="H33" s="12" t="str">
        <f>'Energy consumption machinery'!D18</f>
        <v>NA</v>
      </c>
      <c r="I33" s="12" t="s">
        <v>675</v>
      </c>
      <c r="J33" s="74" t="s">
        <v>674</v>
      </c>
    </row>
    <row r="34" spans="1:10" x14ac:dyDescent="0.35">
      <c r="A34" s="97"/>
      <c r="B34" s="103">
        <v>71.5</v>
      </c>
      <c r="C34" s="98" t="s">
        <v>3</v>
      </c>
      <c r="E34" s="73" t="s">
        <v>311</v>
      </c>
      <c r="F34" s="12">
        <f>'Energy consumption machinery'!B20</f>
        <v>0.09</v>
      </c>
      <c r="G34" s="12">
        <f>'Energy consumption machinery'!C20</f>
        <v>0.16400000000000001</v>
      </c>
      <c r="H34" s="12">
        <f>'Energy consumption machinery'!D20</f>
        <v>0.15</v>
      </c>
      <c r="I34" s="12" t="s">
        <v>675</v>
      </c>
      <c r="J34" s="74" t="s">
        <v>674</v>
      </c>
    </row>
    <row r="35" spans="1:10" x14ac:dyDescent="0.35">
      <c r="A35" s="97"/>
      <c r="B35" s="103">
        <v>69.5</v>
      </c>
      <c r="C35" s="98" t="s">
        <v>3</v>
      </c>
      <c r="E35" s="73"/>
      <c r="F35" s="12"/>
      <c r="G35" s="12"/>
      <c r="H35" s="12"/>
      <c r="I35" s="12"/>
      <c r="J35" s="74"/>
    </row>
    <row r="36" spans="1:10" ht="29" x14ac:dyDescent="0.35">
      <c r="A36" s="97"/>
      <c r="B36" s="103">
        <v>74.900000000000006</v>
      </c>
      <c r="C36" s="98" t="s">
        <v>3</v>
      </c>
      <c r="E36" s="179" t="s">
        <v>338</v>
      </c>
      <c r="F36" s="180">
        <v>28</v>
      </c>
      <c r="G36" s="180">
        <v>61</v>
      </c>
      <c r="H36" s="180">
        <v>33</v>
      </c>
      <c r="I36" s="191" t="s">
        <v>938</v>
      </c>
      <c r="J36" s="190" t="s">
        <v>711</v>
      </c>
    </row>
    <row r="37" spans="1:10" x14ac:dyDescent="0.35">
      <c r="A37" s="97"/>
      <c r="B37" s="103">
        <v>68.099999999999994</v>
      </c>
      <c r="C37" s="98" t="s">
        <v>3</v>
      </c>
      <c r="E37" s="73" t="s">
        <v>289</v>
      </c>
      <c r="F37" s="82">
        <f>'Energy consumption machinery'!B25</f>
        <v>3268</v>
      </c>
      <c r="G37" s="82">
        <f>'Energy consumption machinery'!C25</f>
        <v>6333</v>
      </c>
      <c r="H37" s="82" t="str">
        <f>'Energy consumption machinery'!D25</f>
        <v>NA</v>
      </c>
      <c r="I37" s="12" t="s">
        <v>675</v>
      </c>
      <c r="J37" s="74" t="s">
        <v>674</v>
      </c>
    </row>
    <row r="38" spans="1:10" x14ac:dyDescent="0.35">
      <c r="A38" s="97"/>
      <c r="B38" s="103">
        <v>67.3</v>
      </c>
      <c r="C38" s="98" t="s">
        <v>3</v>
      </c>
      <c r="E38" s="73" t="s">
        <v>312</v>
      </c>
      <c r="F38" s="82">
        <f>'Energy consumption machinery'!B22</f>
        <v>3600</v>
      </c>
      <c r="G38" s="82">
        <f>'Energy consumption machinery'!C22</f>
        <v>5040</v>
      </c>
      <c r="H38" s="82">
        <f>'Energy consumption machinery'!D22</f>
        <v>3600</v>
      </c>
      <c r="I38" s="12" t="s">
        <v>675</v>
      </c>
      <c r="J38" s="74" t="s">
        <v>674</v>
      </c>
    </row>
    <row r="39" spans="1:10" x14ac:dyDescent="0.35">
      <c r="A39" s="97"/>
      <c r="B39" s="103">
        <v>77.3</v>
      </c>
      <c r="C39" s="98" t="s">
        <v>3</v>
      </c>
      <c r="E39" s="73"/>
      <c r="F39" s="12"/>
      <c r="G39" s="12"/>
      <c r="H39" s="12"/>
      <c r="I39" s="12"/>
      <c r="J39" s="74"/>
    </row>
    <row r="40" spans="1:10" ht="43.5" x14ac:dyDescent="0.35">
      <c r="A40" s="97"/>
      <c r="B40" s="103">
        <v>73.7</v>
      </c>
      <c r="C40" s="98" t="s">
        <v>3</v>
      </c>
      <c r="E40" s="179" t="s">
        <v>743</v>
      </c>
      <c r="F40" s="180">
        <v>10</v>
      </c>
      <c r="G40" s="180">
        <v>20</v>
      </c>
      <c r="H40" s="180">
        <v>10</v>
      </c>
      <c r="I40" s="218" t="s">
        <v>1069</v>
      </c>
      <c r="J40" s="190" t="s">
        <v>1070</v>
      </c>
    </row>
    <row r="41" spans="1:10" x14ac:dyDescent="0.35">
      <c r="A41" s="97"/>
      <c r="B41" s="103">
        <v>76.099999999999994</v>
      </c>
      <c r="C41" s="98" t="s">
        <v>3</v>
      </c>
      <c r="E41" s="73" t="s">
        <v>293</v>
      </c>
      <c r="F41" s="12">
        <f>'Energy consumption machinery'!B24</f>
        <v>3200</v>
      </c>
      <c r="G41" s="12">
        <f>'Energy consumption machinery'!C24</f>
        <v>5400</v>
      </c>
      <c r="H41" s="12">
        <f>'Energy consumption machinery'!D24</f>
        <v>3850</v>
      </c>
      <c r="I41" s="12" t="s">
        <v>675</v>
      </c>
      <c r="J41" s="74" t="s">
        <v>674</v>
      </c>
    </row>
    <row r="42" spans="1:10" x14ac:dyDescent="0.35">
      <c r="A42" s="97"/>
      <c r="B42" s="103">
        <v>77.7</v>
      </c>
      <c r="C42" s="98" t="s">
        <v>3</v>
      </c>
      <c r="E42" s="87" t="s">
        <v>345</v>
      </c>
      <c r="F42" s="12"/>
      <c r="G42" s="12"/>
      <c r="H42" s="12"/>
      <c r="I42" s="12"/>
      <c r="J42" s="74"/>
    </row>
    <row r="43" spans="1:10" ht="29.5" thickBot="1" x14ac:dyDescent="0.4">
      <c r="A43" s="97"/>
      <c r="B43" s="103">
        <v>74.599999999999994</v>
      </c>
      <c r="C43" s="98"/>
      <c r="E43" s="177" t="s">
        <v>705</v>
      </c>
      <c r="F43" s="187" t="s">
        <v>352</v>
      </c>
      <c r="G43" s="187" t="s">
        <v>352</v>
      </c>
      <c r="H43" s="187">
        <v>23.4</v>
      </c>
      <c r="I43" s="187" t="s">
        <v>4</v>
      </c>
      <c r="J43" s="176" t="s">
        <v>706</v>
      </c>
    </row>
    <row r="44" spans="1:10" ht="15" thickBot="1" x14ac:dyDescent="0.4">
      <c r="A44" s="97" t="s">
        <v>932</v>
      </c>
      <c r="B44" s="103">
        <v>52.8</v>
      </c>
      <c r="C44" s="98">
        <v>88.6</v>
      </c>
    </row>
    <row r="45" spans="1:10" ht="18.5" x14ac:dyDescent="0.45">
      <c r="A45" s="97"/>
      <c r="B45" s="103">
        <v>54.6</v>
      </c>
      <c r="C45" s="98">
        <v>93.5</v>
      </c>
      <c r="E45" s="70" t="s">
        <v>699</v>
      </c>
      <c r="F45" s="72"/>
      <c r="H45" s="175" t="s">
        <v>715</v>
      </c>
      <c r="I45" s="104"/>
    </row>
    <row r="46" spans="1:10" x14ac:dyDescent="0.35">
      <c r="A46" s="97"/>
      <c r="B46" s="103">
        <v>52.8</v>
      </c>
      <c r="C46" s="98">
        <v>95.2</v>
      </c>
      <c r="E46" s="73" t="s">
        <v>320</v>
      </c>
      <c r="F46" s="83">
        <f>I55/I47</f>
        <v>0.27450157783849927</v>
      </c>
      <c r="H46" s="109" t="s">
        <v>7</v>
      </c>
      <c r="I46" s="108" t="s">
        <v>285</v>
      </c>
    </row>
    <row r="47" spans="1:10" x14ac:dyDescent="0.35">
      <c r="A47" s="97"/>
      <c r="B47" s="103">
        <v>54.9</v>
      </c>
      <c r="C47" s="98">
        <v>86.7</v>
      </c>
      <c r="E47" s="73" t="s">
        <v>296</v>
      </c>
      <c r="F47" s="83">
        <f>I56/I47/H40</f>
        <v>0.57879302254975029</v>
      </c>
      <c r="H47" s="105" t="s">
        <v>60</v>
      </c>
      <c r="I47" s="106">
        <f>H30*C53/B53/C65</f>
        <v>1.9851990147672445</v>
      </c>
    </row>
    <row r="48" spans="1:10" x14ac:dyDescent="0.35">
      <c r="A48" s="97"/>
      <c r="B48" s="103">
        <v>57.8</v>
      </c>
      <c r="C48" s="98">
        <v>91</v>
      </c>
      <c r="E48" s="73"/>
      <c r="F48" s="83"/>
      <c r="H48" s="105" t="s">
        <v>14</v>
      </c>
      <c r="I48" s="223">
        <f>SUM(N5:N12)/3600</f>
        <v>6.2999517828647461E-2</v>
      </c>
    </row>
    <row r="49" spans="1:11" x14ac:dyDescent="0.35">
      <c r="A49" s="97"/>
      <c r="B49" s="103">
        <v>51.6</v>
      </c>
      <c r="C49" s="98">
        <v>93.4</v>
      </c>
      <c r="E49" s="73" t="s">
        <v>308</v>
      </c>
      <c r="F49" s="83">
        <f>4.9/I47</f>
        <v>2.4682663871735313</v>
      </c>
      <c r="H49" s="105" t="s">
        <v>2</v>
      </c>
      <c r="I49" s="129">
        <f>N16+N17+N18</f>
        <v>27500.832624670853</v>
      </c>
    </row>
    <row r="50" spans="1:11" x14ac:dyDescent="0.35">
      <c r="A50" s="97"/>
      <c r="B50" s="103">
        <v>55.5</v>
      </c>
      <c r="C50" s="98">
        <v>86.5</v>
      </c>
      <c r="E50" s="73" t="s">
        <v>480</v>
      </c>
      <c r="F50" s="85">
        <f>0.0875/3/H40</f>
        <v>2.9166666666666664E-3</v>
      </c>
      <c r="H50" s="105" t="s">
        <v>1056</v>
      </c>
      <c r="I50" s="107">
        <f>(F47*H40*I47+(1-H30)+I55*0.1+M18+M17-I47*(1-H29))</f>
        <v>16.503555934029084</v>
      </c>
    </row>
    <row r="51" spans="1:11" x14ac:dyDescent="0.35">
      <c r="A51" s="97"/>
      <c r="B51" s="103">
        <v>55.8</v>
      </c>
      <c r="C51" s="98">
        <v>92.9</v>
      </c>
      <c r="E51" s="73" t="s">
        <v>481</v>
      </c>
      <c r="F51" s="74">
        <f>0.0625/5/H40</f>
        <v>1.25E-3</v>
      </c>
      <c r="H51" s="105" t="s">
        <v>61</v>
      </c>
      <c r="I51" s="107">
        <f>0.0625*I47</f>
        <v>0.12407493842295278</v>
      </c>
    </row>
    <row r="52" spans="1:11" x14ac:dyDescent="0.35">
      <c r="A52" s="97"/>
      <c r="B52" s="103">
        <v>50.8</v>
      </c>
      <c r="C52" s="98">
        <v>95.1</v>
      </c>
      <c r="E52" s="73"/>
      <c r="F52" s="74"/>
      <c r="H52" s="105" t="s">
        <v>62</v>
      </c>
      <c r="I52" s="107">
        <f>0.0875*I47</f>
        <v>0.17370491379213387</v>
      </c>
    </row>
    <row r="53" spans="1:11" x14ac:dyDescent="0.35">
      <c r="A53" s="97" t="s">
        <v>584</v>
      </c>
      <c r="B53" s="112">
        <f>MEDIAN(B4:B43)</f>
        <v>75.349999999999994</v>
      </c>
      <c r="C53" s="131">
        <f>MEDIAN(C44:C52)</f>
        <v>92.9</v>
      </c>
      <c r="E53" s="73" t="s">
        <v>611</v>
      </c>
      <c r="F53" s="83">
        <f>J6-H40</f>
        <v>1.0625</v>
      </c>
      <c r="H53" s="105"/>
      <c r="I53" s="108"/>
    </row>
    <row r="54" spans="1:11" x14ac:dyDescent="0.35">
      <c r="A54" s="97" t="s">
        <v>17</v>
      </c>
      <c r="B54" s="112">
        <f>MIN(B4:B43)</f>
        <v>57.3</v>
      </c>
      <c r="C54" s="131">
        <f>MIN(C44:C52)</f>
        <v>86.5</v>
      </c>
      <c r="E54" s="73" t="s">
        <v>612</v>
      </c>
      <c r="F54" s="83">
        <f>J7/J6</f>
        <v>6.2386722236022561E-2</v>
      </c>
      <c r="H54" s="109" t="s">
        <v>6</v>
      </c>
      <c r="I54" s="108"/>
    </row>
    <row r="55" spans="1:11" x14ac:dyDescent="0.35">
      <c r="A55" s="97" t="s">
        <v>18</v>
      </c>
      <c r="B55" s="112">
        <f>MAX(B4:B43)</f>
        <v>85.5</v>
      </c>
      <c r="C55" s="131">
        <f>MAX(C44:C52)</f>
        <v>95.2</v>
      </c>
      <c r="E55" s="73" t="s">
        <v>613</v>
      </c>
      <c r="F55" s="83">
        <f>J8-J6</f>
        <v>-0.77717997019127161</v>
      </c>
      <c r="H55" s="105" t="s">
        <v>318</v>
      </c>
      <c r="I55" s="106">
        <f>(I47*H29-I57*H30)*0.4/0.65/0.9</f>
        <v>0.54494026187704281</v>
      </c>
      <c r="J55" t="s">
        <v>713</v>
      </c>
    </row>
    <row r="56" spans="1:11" x14ac:dyDescent="0.35">
      <c r="A56" s="97"/>
      <c r="B56" s="103"/>
      <c r="C56" s="98"/>
      <c r="E56" s="73" t="s">
        <v>614</v>
      </c>
      <c r="F56" s="83">
        <f>F55+6/I47</f>
        <v>2.2451870345110114</v>
      </c>
      <c r="H56" s="105" t="s">
        <v>1025</v>
      </c>
      <c r="I56" s="106">
        <f>(I47*0.93-I57*H30)*0.25/0.65/(0.3/H40)</f>
        <v>11.490193381199198</v>
      </c>
      <c r="J56" t="s">
        <v>1036</v>
      </c>
    </row>
    <row r="57" spans="1:11" x14ac:dyDescent="0.35">
      <c r="A57" s="97"/>
      <c r="B57" s="113" t="s">
        <v>460</v>
      </c>
      <c r="C57" s="98"/>
      <c r="E57" s="73" t="s">
        <v>1028</v>
      </c>
      <c r="F57" s="83">
        <f>(I47*H29-I57*H30)*0.4/0.65/0.2/I47</f>
        <v>1.2352571002732466</v>
      </c>
      <c r="H57" s="105" t="s">
        <v>319</v>
      </c>
      <c r="I57" s="106">
        <v>1</v>
      </c>
    </row>
    <row r="58" spans="1:11" ht="15" thickBot="1" x14ac:dyDescent="0.4">
      <c r="A58" s="97" t="s">
        <v>877</v>
      </c>
      <c r="B58" s="103">
        <v>55</v>
      </c>
      <c r="C58" s="98"/>
      <c r="E58" s="73" t="s">
        <v>301</v>
      </c>
      <c r="F58" s="83">
        <f>J5-H40</f>
        <v>1.0625</v>
      </c>
      <c r="H58" s="110" t="s">
        <v>15</v>
      </c>
      <c r="I58" s="193">
        <f>M17/1000</f>
        <v>4.9375E-3</v>
      </c>
      <c r="K58" s="5"/>
    </row>
    <row r="59" spans="1:11" x14ac:dyDescent="0.35">
      <c r="A59" s="97" t="s">
        <v>875</v>
      </c>
      <c r="B59" s="103" t="s">
        <v>461</v>
      </c>
      <c r="C59" s="98"/>
      <c r="E59" s="73" t="s">
        <v>302</v>
      </c>
      <c r="F59" s="88" t="s">
        <v>3</v>
      </c>
    </row>
    <row r="60" spans="1:11" x14ac:dyDescent="0.35">
      <c r="A60" s="97" t="s">
        <v>701</v>
      </c>
      <c r="B60" s="103"/>
      <c r="C60" s="98"/>
      <c r="E60" s="73" t="s">
        <v>1029</v>
      </c>
      <c r="F60" s="225">
        <f>(I47*H29-I57*H30)*0.4/0.65*(1/0.65-1/0.9)/I47</f>
        <v>0.10557752993788429</v>
      </c>
    </row>
    <row r="61" spans="1:11" x14ac:dyDescent="0.35">
      <c r="A61" s="97"/>
      <c r="B61" s="113" t="s">
        <v>462</v>
      </c>
      <c r="C61" s="98"/>
      <c r="E61" s="73"/>
      <c r="F61" s="83"/>
      <c r="H61" s="11" t="s">
        <v>137</v>
      </c>
    </row>
    <row r="62" spans="1:11" x14ac:dyDescent="0.35">
      <c r="A62" s="97" t="s">
        <v>933</v>
      </c>
      <c r="B62" s="103" t="s">
        <v>463</v>
      </c>
      <c r="C62" s="98"/>
      <c r="E62" s="73" t="s">
        <v>840</v>
      </c>
      <c r="F62" s="83">
        <f>K6</f>
        <v>1.0378305084745763</v>
      </c>
      <c r="H62" s="12" t="s">
        <v>138</v>
      </c>
    </row>
    <row r="63" spans="1:11" x14ac:dyDescent="0.35">
      <c r="A63" s="97"/>
      <c r="B63" s="103"/>
      <c r="C63" s="98"/>
      <c r="E63" s="73" t="s">
        <v>841</v>
      </c>
      <c r="F63" s="83">
        <f t="shared" ref="F63:F65" si="0">K7</f>
        <v>1.0357966101694915</v>
      </c>
      <c r="H63" s="12" t="s">
        <v>139</v>
      </c>
    </row>
    <row r="64" spans="1:11" x14ac:dyDescent="0.35">
      <c r="A64" s="97" t="s">
        <v>17</v>
      </c>
      <c r="B64" s="103" t="s">
        <v>18</v>
      </c>
      <c r="C64" s="98" t="s">
        <v>285</v>
      </c>
      <c r="E64" s="73" t="s">
        <v>842</v>
      </c>
      <c r="F64" s="83">
        <f t="shared" si="0"/>
        <v>1.0285339402448046</v>
      </c>
      <c r="H64" s="12"/>
    </row>
    <row r="65" spans="1:11" ht="15" thickBot="1" x14ac:dyDescent="0.4">
      <c r="A65" s="99">
        <v>0.51</v>
      </c>
      <c r="B65" s="100">
        <v>0.625</v>
      </c>
      <c r="C65" s="101">
        <v>0.59</v>
      </c>
      <c r="E65" s="75" t="s">
        <v>843</v>
      </c>
      <c r="F65" s="84">
        <f t="shared" si="0"/>
        <v>1.0286370496485895</v>
      </c>
      <c r="H65" s="11" t="s">
        <v>140</v>
      </c>
    </row>
    <row r="66" spans="1:11" x14ac:dyDescent="0.35">
      <c r="H66" s="12" t="s">
        <v>141</v>
      </c>
    </row>
    <row r="67" spans="1:11" x14ac:dyDescent="0.35">
      <c r="F67" s="1"/>
      <c r="H67" s="12" t="s">
        <v>142</v>
      </c>
      <c r="K67" s="224"/>
    </row>
    <row r="68" spans="1:11" x14ac:dyDescent="0.35">
      <c r="F68" s="93"/>
      <c r="H68" s="12" t="s">
        <v>143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F412-2A39-42B5-929F-7696F9337584}">
  <sheetPr>
    <tabColor theme="4" tint="0.79998168889431442"/>
  </sheetPr>
  <dimension ref="A1:Q70"/>
  <sheetViews>
    <sheetView topLeftCell="A15" workbookViewId="0">
      <selection activeCell="B49" sqref="B49"/>
    </sheetView>
  </sheetViews>
  <sheetFormatPr defaultRowHeight="14.5" x14ac:dyDescent="0.35"/>
  <cols>
    <col min="1" max="1" width="29.7265625" bestFit="1" customWidth="1"/>
    <col min="2" max="2" width="37.6328125" customWidth="1"/>
    <col min="4" max="4" width="35.1796875" bestFit="1" customWidth="1"/>
    <col min="5" max="5" width="21.08984375" bestFit="1" customWidth="1"/>
    <col min="6" max="6" width="11.81640625" bestFit="1" customWidth="1"/>
    <col min="7" max="7" width="13.1796875" bestFit="1" customWidth="1"/>
    <col min="8" max="8" width="22.54296875" customWidth="1"/>
    <col min="9" max="9" width="35.26953125" bestFit="1" customWidth="1"/>
    <col min="10" max="10" width="7.36328125" bestFit="1" customWidth="1"/>
    <col min="11" max="11" width="33.90625" bestFit="1" customWidth="1"/>
    <col min="12" max="12" width="28.36328125" bestFit="1" customWidth="1"/>
    <col min="13" max="13" width="28.90625" customWidth="1"/>
    <col min="14" max="14" width="14.54296875" bestFit="1" customWidth="1"/>
    <col min="15" max="16" width="7.36328125" bestFit="1" customWidth="1"/>
    <col min="17" max="17" width="4.453125" bestFit="1" customWidth="1"/>
  </cols>
  <sheetData>
    <row r="1" spans="1:17" ht="18.5" x14ac:dyDescent="0.45">
      <c r="A1" s="2" t="s">
        <v>9</v>
      </c>
      <c r="B1" t="s">
        <v>32</v>
      </c>
      <c r="D1" s="114"/>
      <c r="E1" s="115" t="s">
        <v>16</v>
      </c>
      <c r="F1" s="116"/>
      <c r="G1" s="116"/>
      <c r="H1" s="116"/>
      <c r="I1" s="116"/>
      <c r="J1" s="116"/>
      <c r="K1" s="116"/>
      <c r="L1" s="116"/>
      <c r="M1" s="116"/>
      <c r="N1" s="117"/>
    </row>
    <row r="2" spans="1:17" ht="15" thickBot="1" x14ac:dyDescent="0.4">
      <c r="D2" s="118"/>
      <c r="E2" s="119" t="s">
        <v>17</v>
      </c>
      <c r="F2" s="119" t="s">
        <v>18</v>
      </c>
      <c r="G2" s="119" t="s">
        <v>285</v>
      </c>
      <c r="H2" s="119" t="s">
        <v>19</v>
      </c>
      <c r="I2" s="119" t="s">
        <v>44</v>
      </c>
      <c r="J2" s="119" t="s">
        <v>547</v>
      </c>
      <c r="K2" s="119" t="s">
        <v>548</v>
      </c>
      <c r="L2" s="119" t="s">
        <v>654</v>
      </c>
      <c r="M2" s="125" t="s">
        <v>656</v>
      </c>
      <c r="N2" s="143" t="s">
        <v>19</v>
      </c>
    </row>
    <row r="3" spans="1:17" x14ac:dyDescent="0.35">
      <c r="A3" s="134" t="s">
        <v>39</v>
      </c>
      <c r="B3" s="96"/>
      <c r="D3" s="118" t="s">
        <v>20</v>
      </c>
      <c r="E3" s="119">
        <f>'Energy consumption machinery'!B8</f>
        <v>6.48</v>
      </c>
      <c r="F3" s="119">
        <f>'Energy consumption machinery'!C8</f>
        <v>18.62</v>
      </c>
      <c r="G3" s="125">
        <f>(E3+F3)/2</f>
        <v>12.55</v>
      </c>
      <c r="H3" s="119" t="s">
        <v>21</v>
      </c>
      <c r="I3" s="123">
        <f>1044/300</f>
        <v>3.48</v>
      </c>
      <c r="J3" s="123" t="s">
        <v>352</v>
      </c>
      <c r="K3" s="123" t="s">
        <v>352</v>
      </c>
      <c r="L3" s="144">
        <f>I3*L30</f>
        <v>17.448757505773671</v>
      </c>
      <c r="M3" s="144">
        <f>G3*L3</f>
        <v>218.98190669745958</v>
      </c>
      <c r="N3" s="143" t="s">
        <v>23</v>
      </c>
      <c r="Q3" s="1"/>
    </row>
    <row r="4" spans="1:17" x14ac:dyDescent="0.35">
      <c r="A4" s="97" t="s">
        <v>17</v>
      </c>
      <c r="B4" s="98" t="s">
        <v>18</v>
      </c>
      <c r="D4" s="118" t="s">
        <v>38</v>
      </c>
      <c r="E4" s="119">
        <f>'Energy consumption machinery'!B10</f>
        <v>1.4</v>
      </c>
      <c r="F4" s="119">
        <f>'Energy consumption machinery'!C10</f>
        <v>2.2000000000000002</v>
      </c>
      <c r="G4" s="214">
        <f>(E4+F4)/2</f>
        <v>1.8</v>
      </c>
      <c r="H4" s="119" t="s">
        <v>21</v>
      </c>
      <c r="I4" s="123">
        <f>1544/300</f>
        <v>5.1466666666666665</v>
      </c>
      <c r="J4" s="123" t="s">
        <v>352</v>
      </c>
      <c r="K4" s="123" t="s">
        <v>352</v>
      </c>
      <c r="L4" s="144">
        <f>I4*L30</f>
        <v>25.805442134975621</v>
      </c>
      <c r="M4" s="144">
        <f>G4*L4*15</f>
        <v>696.74693764434187</v>
      </c>
      <c r="N4" s="143" t="s">
        <v>23</v>
      </c>
    </row>
    <row r="5" spans="1:17" x14ac:dyDescent="0.35">
      <c r="A5" s="97">
        <v>65</v>
      </c>
      <c r="B5" s="98">
        <v>85</v>
      </c>
      <c r="D5" s="118" t="s">
        <v>24</v>
      </c>
      <c r="E5" s="119">
        <f>'Energy consumption machinery'!B13</f>
        <v>74</v>
      </c>
      <c r="F5" s="119">
        <f>'Energy consumption machinery'!C13</f>
        <v>124</v>
      </c>
      <c r="G5" s="213">
        <f t="shared" ref="G5" si="0">(F5+E5)/2</f>
        <v>99</v>
      </c>
      <c r="H5" s="151" t="s">
        <v>43</v>
      </c>
      <c r="I5" s="123">
        <f>297/300</f>
        <v>0.99</v>
      </c>
      <c r="J5" s="123">
        <f>0.4*I19+0.6</f>
        <v>1.18</v>
      </c>
      <c r="K5" s="123">
        <f>I5/J5</f>
        <v>0.83898305084745761</v>
      </c>
      <c r="L5" s="144">
        <f>K5*L30</f>
        <v>4.2066700591067443</v>
      </c>
      <c r="M5" s="144">
        <f>G5*L5</f>
        <v>416.46033585156766</v>
      </c>
      <c r="N5" s="143" t="s">
        <v>23</v>
      </c>
    </row>
    <row r="6" spans="1:17" x14ac:dyDescent="0.35">
      <c r="A6" s="173" t="s">
        <v>660</v>
      </c>
      <c r="B6" s="172" t="s">
        <v>659</v>
      </c>
      <c r="D6" s="118" t="s">
        <v>25</v>
      </c>
      <c r="E6" s="121">
        <f>'Energy consumption machinery'!B14</f>
        <v>1.08</v>
      </c>
      <c r="F6" s="121">
        <f>'Energy consumption machinery'!C14</f>
        <v>3.7439999999999998</v>
      </c>
      <c r="G6" s="144">
        <f>'Energy consumption machinery'!D14</f>
        <v>3.42</v>
      </c>
      <c r="H6" s="151" t="s">
        <v>43</v>
      </c>
      <c r="I6" s="123">
        <f>(1544-297)/300</f>
        <v>4.1566666666666663</v>
      </c>
      <c r="J6" s="123">
        <f>(L30*0.87-L42*0.95)/(I6*L30)*I19+(1-(L30*0.87-L42*0.95)/(I6*L30))</f>
        <v>1.0512989174017642</v>
      </c>
      <c r="K6" s="123">
        <f>I6/J6</f>
        <v>3.953839006074193</v>
      </c>
      <c r="L6" s="144">
        <f>K6*L30</f>
        <v>19.824591389039593</v>
      </c>
      <c r="M6" s="144">
        <f>G6*L6</f>
        <v>67.800102550515405</v>
      </c>
      <c r="N6" s="143" t="s">
        <v>23</v>
      </c>
    </row>
    <row r="7" spans="1:17" x14ac:dyDescent="0.35">
      <c r="A7" s="97"/>
      <c r="B7" s="98">
        <v>88.4</v>
      </c>
      <c r="D7" s="118" t="s">
        <v>26</v>
      </c>
      <c r="E7" s="121">
        <f>'Energy consumption machinery'!B14</f>
        <v>1.08</v>
      </c>
      <c r="F7" s="121">
        <f>'Energy consumption machinery'!C14</f>
        <v>3.7439999999999998</v>
      </c>
      <c r="G7" s="144">
        <f>'Energy consumption machinery'!D14</f>
        <v>3.42</v>
      </c>
      <c r="H7" s="151" t="s">
        <v>43</v>
      </c>
      <c r="I7" s="123">
        <f>I6-105/300+0.0875+0.0625</f>
        <v>3.9566666666666661</v>
      </c>
      <c r="J7" s="123">
        <f>(L30*0.87-L42*0.95-0.9*L41)/(I7*L30)*I19+(1-(L30*0.87-L42*0.95-0.9*L41)/(I7*L30))</f>
        <v>1.0459284330244314</v>
      </c>
      <c r="K7" s="123">
        <f>I7/J7</f>
        <v>3.7829229436142922</v>
      </c>
      <c r="L7" s="144">
        <f>K7*L30</f>
        <v>18.96761640981417</v>
      </c>
      <c r="M7" s="144">
        <f>G7*L7</f>
        <v>64.869248121564453</v>
      </c>
      <c r="N7" s="143" t="s">
        <v>23</v>
      </c>
    </row>
    <row r="8" spans="1:17" x14ac:dyDescent="0.35">
      <c r="A8" s="97"/>
      <c r="B8" s="98">
        <v>88.1</v>
      </c>
      <c r="D8" s="118"/>
      <c r="E8" s="119"/>
      <c r="F8" s="119"/>
      <c r="G8" s="119"/>
      <c r="H8" s="119"/>
      <c r="I8" s="119"/>
      <c r="J8" s="119"/>
      <c r="K8" s="119"/>
      <c r="L8" s="125"/>
      <c r="M8" s="125"/>
      <c r="N8" s="143"/>
    </row>
    <row r="9" spans="1:17" x14ac:dyDescent="0.35">
      <c r="A9" s="135"/>
      <c r="B9" s="98">
        <v>87.7</v>
      </c>
      <c r="D9" s="118" t="s">
        <v>193</v>
      </c>
      <c r="E9" s="119">
        <f>'Energy consumption machinery'!B20</f>
        <v>0.09</v>
      </c>
      <c r="F9" s="119">
        <f>'Energy consumption machinery'!C20</f>
        <v>0.16400000000000001</v>
      </c>
      <c r="G9" s="125">
        <f>'Energy consumption machinery'!D20</f>
        <v>0.15</v>
      </c>
      <c r="H9" s="119" t="s">
        <v>194</v>
      </c>
      <c r="I9" s="119" t="s">
        <v>3</v>
      </c>
      <c r="J9" s="119" t="s">
        <v>352</v>
      </c>
      <c r="K9" s="119" t="s">
        <v>352</v>
      </c>
      <c r="L9" s="125" t="s">
        <v>352</v>
      </c>
      <c r="M9" s="144">
        <f>SUM(M3:M7)*G9</f>
        <v>219.72877962981735</v>
      </c>
      <c r="N9" s="143" t="s">
        <v>23</v>
      </c>
    </row>
    <row r="10" spans="1:17" x14ac:dyDescent="0.35">
      <c r="A10" s="136"/>
      <c r="B10" s="98">
        <v>84.5</v>
      </c>
      <c r="D10" s="118"/>
      <c r="E10" s="119"/>
      <c r="F10" s="119"/>
      <c r="G10" s="119"/>
      <c r="H10" s="119"/>
      <c r="I10" s="119"/>
      <c r="J10" s="119"/>
      <c r="K10" s="119"/>
      <c r="L10" s="119"/>
      <c r="M10" s="125"/>
      <c r="N10" s="143"/>
    </row>
    <row r="11" spans="1:17" x14ac:dyDescent="0.35">
      <c r="A11" s="136"/>
      <c r="B11" s="98">
        <v>86.2</v>
      </c>
      <c r="D11" s="118"/>
      <c r="E11" s="125" t="s">
        <v>135</v>
      </c>
      <c r="F11" s="119"/>
      <c r="G11" s="119"/>
      <c r="H11" s="119"/>
      <c r="I11" s="123"/>
      <c r="J11" s="123"/>
      <c r="K11" s="123"/>
      <c r="L11" s="119"/>
      <c r="M11" s="125"/>
      <c r="N11" s="143"/>
    </row>
    <row r="12" spans="1:17" x14ac:dyDescent="0.35">
      <c r="A12" s="97"/>
      <c r="B12" s="98">
        <v>82.6</v>
      </c>
      <c r="D12" s="118"/>
      <c r="E12" s="119" t="s">
        <v>17</v>
      </c>
      <c r="F12" s="119" t="s">
        <v>18</v>
      </c>
      <c r="G12" s="119" t="s">
        <v>285</v>
      </c>
      <c r="H12" s="119" t="s">
        <v>19</v>
      </c>
      <c r="I12" s="119" t="s">
        <v>657</v>
      </c>
      <c r="J12" s="119" t="s">
        <v>547</v>
      </c>
      <c r="K12" s="119" t="s">
        <v>658</v>
      </c>
      <c r="L12" s="119" t="s">
        <v>655</v>
      </c>
      <c r="M12" s="125" t="s">
        <v>656</v>
      </c>
      <c r="N12" s="143" t="s">
        <v>19</v>
      </c>
    </row>
    <row r="13" spans="1:17" x14ac:dyDescent="0.35">
      <c r="A13" s="97"/>
      <c r="B13" s="98">
        <v>84</v>
      </c>
      <c r="D13" s="118" t="s">
        <v>28</v>
      </c>
      <c r="E13" s="119">
        <f>'Energy consumption machinery'!B24</f>
        <v>3200</v>
      </c>
      <c r="F13" s="119">
        <f>'Energy consumption machinery'!C24</f>
        <v>5400</v>
      </c>
      <c r="G13" s="125">
        <f>'Energy consumption machinery'!D24</f>
        <v>3850</v>
      </c>
      <c r="H13" s="119" t="s">
        <v>21</v>
      </c>
      <c r="I13" s="123">
        <f>I5*0.4/0.6-I5*0.4/0.95</f>
        <v>0.24315789473684207</v>
      </c>
      <c r="J13" s="123" t="s">
        <v>352</v>
      </c>
      <c r="K13" s="123" t="s">
        <v>352</v>
      </c>
      <c r="L13" s="144">
        <f>I13*L30</f>
        <v>1.2191963048498844</v>
      </c>
      <c r="M13" s="144">
        <f>G13*L13</f>
        <v>4693.9057736720551</v>
      </c>
      <c r="N13" s="143" t="s">
        <v>23</v>
      </c>
    </row>
    <row r="14" spans="1:17" x14ac:dyDescent="0.35">
      <c r="A14" s="97"/>
      <c r="B14" s="98">
        <v>85.2</v>
      </c>
      <c r="D14" s="118" t="s">
        <v>27</v>
      </c>
      <c r="E14" s="119">
        <f>'Energy consumption machinery'!B24</f>
        <v>3200</v>
      </c>
      <c r="F14" s="119">
        <f>'Energy consumption machinery'!C24</f>
        <v>5400</v>
      </c>
      <c r="G14" s="125">
        <f>'Energy consumption machinery'!D24</f>
        <v>3850</v>
      </c>
      <c r="H14" s="119" t="s">
        <v>21</v>
      </c>
      <c r="I14" s="123">
        <f>I6-I7+0.0875+0.0625-(I6-I7+0.0875+0.0625)*0.2/0.9</f>
        <v>0.27222222222222237</v>
      </c>
      <c r="J14" s="123" t="s">
        <v>352</v>
      </c>
      <c r="K14" s="123" t="s">
        <v>352</v>
      </c>
      <c r="L14" s="144">
        <f>I14*L30</f>
        <v>1.3649251561029858</v>
      </c>
      <c r="M14" s="144">
        <f>G14*L14</f>
        <v>5254.9618509964957</v>
      </c>
      <c r="N14" s="143" t="s">
        <v>23</v>
      </c>
    </row>
    <row r="15" spans="1:17" x14ac:dyDescent="0.35">
      <c r="A15" s="97"/>
      <c r="B15" s="98">
        <v>85.1</v>
      </c>
      <c r="D15" s="118" t="s">
        <v>33</v>
      </c>
      <c r="E15" s="119">
        <f>4.2*E42</f>
        <v>159.6</v>
      </c>
      <c r="F15" s="119">
        <f>4.2*F42</f>
        <v>172.20000000000002</v>
      </c>
      <c r="G15" s="214">
        <f>(E15+F15)/2</f>
        <v>165.9</v>
      </c>
      <c r="H15" s="119" t="s">
        <v>21</v>
      </c>
      <c r="I15" s="123">
        <f>I6-105/300</f>
        <v>3.8066666666666662</v>
      </c>
      <c r="J15" s="123" t="s">
        <v>352</v>
      </c>
      <c r="K15" s="123" t="s">
        <v>352</v>
      </c>
      <c r="L15" s="144">
        <f>I15*L30</f>
        <v>19.086667693097251</v>
      </c>
      <c r="M15" s="144">
        <f>G15*L15</f>
        <v>3166.4781702848341</v>
      </c>
      <c r="N15" s="143" t="s">
        <v>23</v>
      </c>
    </row>
    <row r="16" spans="1:17" x14ac:dyDescent="0.35">
      <c r="A16" s="97"/>
      <c r="B16" s="98">
        <v>86.8</v>
      </c>
      <c r="D16" s="139" t="s">
        <v>29</v>
      </c>
      <c r="E16" s="140">
        <f>'Energy consumption machinery'!B25</f>
        <v>3268</v>
      </c>
      <c r="F16" s="140">
        <f>'Energy consumption machinery'!C25</f>
        <v>6333</v>
      </c>
      <c r="G16" s="214">
        <f>(E16+F16)/2</f>
        <v>4800.5</v>
      </c>
      <c r="H16" s="140" t="s">
        <v>21</v>
      </c>
      <c r="I16" s="142">
        <f>(0.95/F26-L40)/L30</f>
        <v>0.98474060369710747</v>
      </c>
      <c r="J16" s="123" t="s">
        <v>352</v>
      </c>
      <c r="K16" s="123" t="s">
        <v>352</v>
      </c>
      <c r="L16" s="145">
        <f>I16*L30</f>
        <v>4.9375</v>
      </c>
      <c r="M16" s="145">
        <f>G16*L16</f>
        <v>23702.46875</v>
      </c>
      <c r="N16" s="146" t="s">
        <v>23</v>
      </c>
    </row>
    <row r="17" spans="1:14" x14ac:dyDescent="0.35">
      <c r="A17" s="97" t="s">
        <v>584</v>
      </c>
      <c r="B17" s="98">
        <f>MEDIAN(B7:B16)</f>
        <v>85.7</v>
      </c>
      <c r="D17" s="118"/>
      <c r="E17" s="119"/>
      <c r="F17" s="119"/>
      <c r="G17" s="119"/>
      <c r="H17" s="119"/>
      <c r="I17" s="119"/>
      <c r="J17" s="119"/>
      <c r="K17" s="119"/>
      <c r="L17" s="119"/>
      <c r="M17" s="119"/>
      <c r="N17" s="120"/>
    </row>
    <row r="18" spans="1:14" x14ac:dyDescent="0.35">
      <c r="A18" s="97"/>
      <c r="B18" s="98"/>
      <c r="D18" s="118"/>
      <c r="E18" s="125" t="s">
        <v>136</v>
      </c>
      <c r="F18" s="119"/>
      <c r="G18" s="119"/>
      <c r="H18" s="119"/>
      <c r="I18" s="125" t="s">
        <v>550</v>
      </c>
      <c r="J18" s="119"/>
      <c r="K18" s="119"/>
      <c r="L18" s="119"/>
      <c r="M18" s="119"/>
      <c r="N18" s="120"/>
    </row>
    <row r="19" spans="1:14" x14ac:dyDescent="0.35">
      <c r="A19" s="97"/>
      <c r="B19" s="98"/>
      <c r="D19" s="118"/>
      <c r="E19" s="119" t="s">
        <v>22</v>
      </c>
      <c r="F19" s="119"/>
      <c r="G19" s="119"/>
      <c r="H19" s="119"/>
      <c r="I19" s="119">
        <v>1.45</v>
      </c>
      <c r="J19" s="119" t="s">
        <v>549</v>
      </c>
      <c r="K19" s="119"/>
      <c r="L19" s="119"/>
      <c r="M19" s="119"/>
      <c r="N19" s="120"/>
    </row>
    <row r="20" spans="1:14" x14ac:dyDescent="0.35">
      <c r="A20" s="97"/>
      <c r="B20" s="98"/>
      <c r="D20" s="118" t="s">
        <v>20</v>
      </c>
      <c r="E20" s="121">
        <f>L30*(0.87/0.25-1)</f>
        <v>12.434746728252501</v>
      </c>
      <c r="F20" s="119"/>
      <c r="G20" s="119"/>
      <c r="H20" s="119"/>
      <c r="I20" s="119"/>
      <c r="J20" s="119"/>
      <c r="K20" s="119"/>
      <c r="L20" s="119"/>
      <c r="M20" s="119"/>
      <c r="N20" s="120"/>
    </row>
    <row r="21" spans="1:14" x14ac:dyDescent="0.35">
      <c r="A21" s="97"/>
      <c r="B21" s="98"/>
      <c r="D21" s="118" t="s">
        <v>38</v>
      </c>
      <c r="E21" s="121">
        <f>1.667*L30</f>
        <v>8.3583559661277906</v>
      </c>
      <c r="F21" s="119"/>
      <c r="G21" s="119"/>
      <c r="H21" s="119"/>
      <c r="I21" s="119"/>
      <c r="J21" s="119"/>
      <c r="K21" s="119"/>
      <c r="L21" s="119"/>
      <c r="M21" s="119"/>
      <c r="N21" s="120"/>
    </row>
    <row r="22" spans="1:14" x14ac:dyDescent="0.35">
      <c r="A22" s="97"/>
      <c r="B22" s="172" t="s">
        <v>457</v>
      </c>
      <c r="C22" s="5"/>
      <c r="D22" s="118" t="s">
        <v>26</v>
      </c>
      <c r="E22" s="121">
        <f>L16+L40+L43-L7</f>
        <v>4.1178004493082305</v>
      </c>
      <c r="F22" s="119"/>
      <c r="G22" s="119"/>
      <c r="H22" s="119"/>
      <c r="I22" s="125" t="s">
        <v>661</v>
      </c>
      <c r="J22" s="119"/>
      <c r="K22" s="119"/>
      <c r="L22" s="119"/>
      <c r="M22" s="119"/>
      <c r="N22" s="120"/>
    </row>
    <row r="23" spans="1:14" x14ac:dyDescent="0.35">
      <c r="A23" s="97" t="s">
        <v>876</v>
      </c>
      <c r="B23" s="98">
        <v>0.247</v>
      </c>
      <c r="D23" s="118"/>
      <c r="E23" s="119"/>
      <c r="F23" s="119"/>
      <c r="G23" s="119"/>
      <c r="H23" s="119"/>
      <c r="I23" s="119" t="s">
        <v>663</v>
      </c>
      <c r="J23" s="119" t="s">
        <v>664</v>
      </c>
      <c r="K23" s="119"/>
      <c r="L23" s="119"/>
      <c r="M23" s="119"/>
      <c r="N23" s="120"/>
    </row>
    <row r="24" spans="1:14" x14ac:dyDescent="0.35">
      <c r="A24" s="97"/>
      <c r="B24" s="98">
        <v>0.222</v>
      </c>
      <c r="D24" s="118" t="s">
        <v>134</v>
      </c>
      <c r="E24" s="119"/>
      <c r="F24" s="119"/>
      <c r="G24" s="119"/>
      <c r="H24" s="119"/>
      <c r="I24" s="119" t="s">
        <v>662</v>
      </c>
      <c r="J24" s="119" t="s">
        <v>665</v>
      </c>
      <c r="K24" s="119"/>
      <c r="L24" s="119"/>
      <c r="M24" s="119"/>
      <c r="N24" s="120"/>
    </row>
    <row r="25" spans="1:14" x14ac:dyDescent="0.35">
      <c r="A25" s="97"/>
      <c r="B25" s="98">
        <v>0.26100000000000001</v>
      </c>
      <c r="D25" s="118" t="s">
        <v>17</v>
      </c>
      <c r="E25" s="119" t="s">
        <v>18</v>
      </c>
      <c r="F25" s="119" t="s">
        <v>285</v>
      </c>
      <c r="G25" s="119"/>
      <c r="H25" s="119"/>
      <c r="I25" s="119" t="s">
        <v>666</v>
      </c>
      <c r="J25" s="119" t="s">
        <v>667</v>
      </c>
      <c r="K25" s="119"/>
      <c r="L25" s="119"/>
      <c r="M25" s="119"/>
      <c r="N25" s="120"/>
    </row>
    <row r="26" spans="1:14" ht="15" thickBot="1" x14ac:dyDescent="0.4">
      <c r="A26" s="97"/>
      <c r="B26" s="98">
        <v>0.21099999999999999</v>
      </c>
      <c r="D26" s="126">
        <f>'Energy consumption machinery'!B26</f>
        <v>0.12</v>
      </c>
      <c r="E26" s="130">
        <f>'Energy consumption machinery'!C26</f>
        <v>0.2</v>
      </c>
      <c r="F26" s="130">
        <f>'Energy consumption machinery'!D26</f>
        <v>0.16</v>
      </c>
      <c r="G26" s="130"/>
      <c r="H26" s="130"/>
      <c r="I26" s="130" t="s">
        <v>345</v>
      </c>
      <c r="J26" s="130" t="s">
        <v>671</v>
      </c>
      <c r="K26" s="130"/>
      <c r="L26" s="130"/>
      <c r="M26" s="130"/>
      <c r="N26" s="128"/>
    </row>
    <row r="27" spans="1:14" ht="15" thickBot="1" x14ac:dyDescent="0.4">
      <c r="A27" s="97"/>
      <c r="B27" s="98">
        <v>0.22700000000000001</v>
      </c>
    </row>
    <row r="28" spans="1:14" ht="18.5" x14ac:dyDescent="0.45">
      <c r="A28" s="97"/>
      <c r="B28" s="98">
        <v>0.22900000000000001</v>
      </c>
      <c r="D28" s="70" t="s">
        <v>676</v>
      </c>
      <c r="E28" s="71"/>
      <c r="F28" s="71"/>
      <c r="G28" s="71"/>
      <c r="H28" s="71"/>
      <c r="I28" s="72"/>
      <c r="K28" s="175" t="s">
        <v>718</v>
      </c>
      <c r="L28" s="104"/>
    </row>
    <row r="29" spans="1:14" x14ac:dyDescent="0.35">
      <c r="A29" s="97"/>
      <c r="B29" s="98">
        <v>0.23200000000000001</v>
      </c>
      <c r="D29" s="73"/>
      <c r="E29" s="12" t="s">
        <v>17</v>
      </c>
      <c r="F29" s="12" t="s">
        <v>18</v>
      </c>
      <c r="G29" s="12" t="s">
        <v>634</v>
      </c>
      <c r="H29" s="12" t="s">
        <v>673</v>
      </c>
      <c r="I29" s="74" t="s">
        <v>653</v>
      </c>
      <c r="K29" s="109" t="s">
        <v>7</v>
      </c>
      <c r="L29" s="108" t="s">
        <v>22</v>
      </c>
    </row>
    <row r="30" spans="1:14" x14ac:dyDescent="0.35">
      <c r="A30" s="97"/>
      <c r="B30" s="98">
        <v>0.222</v>
      </c>
      <c r="D30" s="73" t="s">
        <v>291</v>
      </c>
      <c r="E30" s="12">
        <f>MIN(B7:B16)/100</f>
        <v>0.82599999999999996</v>
      </c>
      <c r="F30" s="12">
        <f>MAX(B7:B16)/100</f>
        <v>0.88400000000000001</v>
      </c>
      <c r="G30" s="12">
        <f>MEDIAN(B7:B16)/100</f>
        <v>0.85699999999999998</v>
      </c>
      <c r="H30" s="12" t="s">
        <v>678</v>
      </c>
      <c r="I30" s="74"/>
      <c r="K30" s="105" t="s">
        <v>10</v>
      </c>
      <c r="L30" s="137">
        <f>0.95*B17/((B5+A5)/2)/B41</f>
        <v>5.01401077752117</v>
      </c>
    </row>
    <row r="31" spans="1:14" x14ac:dyDescent="0.35">
      <c r="A31" s="97"/>
      <c r="B31" s="98">
        <v>0.22700000000000001</v>
      </c>
      <c r="D31" s="73" t="s">
        <v>292</v>
      </c>
      <c r="E31" s="12">
        <f>MIN(B23:B40)</f>
        <v>0.19400000000000001</v>
      </c>
      <c r="F31" s="12">
        <f>MAX(B23:B40)</f>
        <v>0.26100000000000001</v>
      </c>
      <c r="G31" s="12">
        <f>MEDIAN(B23:B40)</f>
        <v>0.2165</v>
      </c>
      <c r="H31" s="12" t="s">
        <v>921</v>
      </c>
      <c r="I31" s="74"/>
      <c r="K31" s="105" t="s">
        <v>1056</v>
      </c>
      <c r="L31" s="107">
        <f>(E20+E21+E22)</f>
        <v>24.910903143688522</v>
      </c>
    </row>
    <row r="32" spans="1:14" x14ac:dyDescent="0.35">
      <c r="A32" s="97"/>
      <c r="B32" s="98">
        <v>0.223</v>
      </c>
      <c r="D32" s="73" t="s">
        <v>303</v>
      </c>
      <c r="E32" s="12">
        <f>A5/100</f>
        <v>0.65</v>
      </c>
      <c r="F32" s="12">
        <f>B5/100</f>
        <v>0.85</v>
      </c>
      <c r="G32" s="12" t="s">
        <v>352</v>
      </c>
      <c r="H32" s="12" t="s">
        <v>678</v>
      </c>
      <c r="I32" s="74"/>
      <c r="K32" s="105" t="s">
        <v>14</v>
      </c>
      <c r="L32" s="171">
        <f>SUM(M3:M9)/3600</f>
        <v>0.46794091958201844</v>
      </c>
    </row>
    <row r="33" spans="1:12" x14ac:dyDescent="0.35">
      <c r="A33" s="97"/>
      <c r="B33" s="98">
        <v>0.19400000000000001</v>
      </c>
      <c r="D33" s="73" t="s">
        <v>712</v>
      </c>
      <c r="E33" s="12" t="s">
        <v>352</v>
      </c>
      <c r="F33" s="12" t="s">
        <v>352</v>
      </c>
      <c r="G33" s="12">
        <v>0.95</v>
      </c>
      <c r="H33" s="12"/>
      <c r="I33" s="74"/>
      <c r="K33" s="105" t="s">
        <v>2</v>
      </c>
      <c r="L33" s="129">
        <f>SUM(M13:M16)</f>
        <v>36817.814544953384</v>
      </c>
    </row>
    <row r="34" spans="1:12" x14ac:dyDescent="0.35">
      <c r="A34" s="97"/>
      <c r="B34" s="98">
        <v>0.20399999999999999</v>
      </c>
      <c r="D34" s="73"/>
      <c r="E34" s="12"/>
      <c r="F34" s="12"/>
      <c r="G34" s="12"/>
      <c r="H34" s="12"/>
      <c r="I34" s="74"/>
      <c r="K34" s="105" t="s">
        <v>37</v>
      </c>
      <c r="L34" s="106">
        <f>0.0875*L30</f>
        <v>0.43872594303310236</v>
      </c>
    </row>
    <row r="35" spans="1:12" x14ac:dyDescent="0.35">
      <c r="A35" s="97"/>
      <c r="B35" s="98">
        <v>0.19600000000000001</v>
      </c>
      <c r="D35" s="73" t="s">
        <v>286</v>
      </c>
      <c r="E35" s="12">
        <f>'Energy consumption machinery'!B8</f>
        <v>6.48</v>
      </c>
      <c r="F35" s="12">
        <f>'Energy consumption machinery'!C8</f>
        <v>18.62</v>
      </c>
      <c r="G35" s="12" t="str">
        <f>'Energy consumption machinery'!D8</f>
        <v>NA</v>
      </c>
      <c r="H35" s="12" t="s">
        <v>675</v>
      </c>
      <c r="I35" s="74" t="s">
        <v>674</v>
      </c>
      <c r="K35" s="105" t="s">
        <v>36</v>
      </c>
      <c r="L35" s="106">
        <f>0.0625*L30</f>
        <v>0.31337567359507312</v>
      </c>
    </row>
    <row r="36" spans="1:12" x14ac:dyDescent="0.35">
      <c r="A36" s="97"/>
      <c r="B36" s="98">
        <v>0.20100000000000001</v>
      </c>
      <c r="D36" s="73" t="s">
        <v>287</v>
      </c>
      <c r="E36" s="12">
        <f>'Energy consumption machinery'!B10</f>
        <v>1.4</v>
      </c>
      <c r="F36" s="12">
        <f>'Energy consumption machinery'!C10</f>
        <v>2.2000000000000002</v>
      </c>
      <c r="G36" s="12" t="str">
        <f>'Energy consumption machinery'!D10</f>
        <v>NA</v>
      </c>
      <c r="H36" s="12" t="s">
        <v>675</v>
      </c>
      <c r="I36" s="74" t="s">
        <v>674</v>
      </c>
      <c r="K36" s="105" t="s">
        <v>478</v>
      </c>
      <c r="L36" s="106">
        <f>L34/3</f>
        <v>0.14624198101103411</v>
      </c>
    </row>
    <row r="37" spans="1:12" x14ac:dyDescent="0.35">
      <c r="A37" s="97"/>
      <c r="B37" s="98">
        <v>0.20300000000000001</v>
      </c>
      <c r="D37" s="73" t="s">
        <v>606</v>
      </c>
      <c r="E37" s="12">
        <f>'Energy consumption machinery'!B13</f>
        <v>74</v>
      </c>
      <c r="F37" s="12">
        <f>'Energy consumption machinery'!C13</f>
        <v>124</v>
      </c>
      <c r="G37" s="12" t="str">
        <f>'Energy consumption machinery'!D13</f>
        <v>NA</v>
      </c>
      <c r="H37" s="12" t="s">
        <v>675</v>
      </c>
      <c r="I37" s="74" t="s">
        <v>674</v>
      </c>
      <c r="K37" s="105" t="s">
        <v>479</v>
      </c>
      <c r="L37" s="106">
        <f>L35/5</f>
        <v>6.2675134719014619E-2</v>
      </c>
    </row>
    <row r="38" spans="1:12" x14ac:dyDescent="0.35">
      <c r="A38" s="97"/>
      <c r="B38" s="98">
        <v>0.19600000000000001</v>
      </c>
      <c r="D38" s="73" t="s">
        <v>607</v>
      </c>
      <c r="E38" s="12">
        <f>'Energy consumption machinery'!B14</f>
        <v>1.08</v>
      </c>
      <c r="F38" s="12">
        <f>'Energy consumption machinery'!C14</f>
        <v>3.7439999999999998</v>
      </c>
      <c r="G38" s="12">
        <f>'Energy consumption machinery'!D14</f>
        <v>3.42</v>
      </c>
      <c r="H38" s="12" t="s">
        <v>675</v>
      </c>
      <c r="I38" s="74" t="s">
        <v>674</v>
      </c>
      <c r="K38" s="105"/>
      <c r="L38" s="108"/>
    </row>
    <row r="39" spans="1:12" x14ac:dyDescent="0.35">
      <c r="A39" s="97"/>
      <c r="B39" s="98">
        <v>0.20799999999999999</v>
      </c>
      <c r="D39" s="73" t="s">
        <v>311</v>
      </c>
      <c r="E39" s="12">
        <f>'Energy consumption machinery'!B20</f>
        <v>0.09</v>
      </c>
      <c r="F39" s="12">
        <f>'Energy consumption machinery'!C20</f>
        <v>0.16400000000000001</v>
      </c>
      <c r="G39" s="12">
        <f>'Energy consumption machinery'!D20</f>
        <v>0.15</v>
      </c>
      <c r="H39" s="12" t="s">
        <v>675</v>
      </c>
      <c r="I39" s="74" t="s">
        <v>674</v>
      </c>
      <c r="K39" s="109" t="s">
        <v>6</v>
      </c>
      <c r="L39" s="108"/>
    </row>
    <row r="40" spans="1:12" x14ac:dyDescent="0.35">
      <c r="A40" s="97"/>
      <c r="B40" s="98">
        <v>0.20499999999999999</v>
      </c>
      <c r="D40" s="73"/>
      <c r="E40" s="12"/>
      <c r="F40" s="12"/>
      <c r="G40" s="12"/>
      <c r="H40" s="12"/>
      <c r="I40" s="74"/>
      <c r="K40" s="105" t="s">
        <v>11</v>
      </c>
      <c r="L40" s="108">
        <v>1</v>
      </c>
    </row>
    <row r="41" spans="1:12" ht="15" thickBot="1" x14ac:dyDescent="0.4">
      <c r="A41" s="99" t="s">
        <v>285</v>
      </c>
      <c r="B41" s="101">
        <f>MEDIAN(B23:B40)</f>
        <v>0.2165</v>
      </c>
      <c r="D41" s="73" t="s">
        <v>288</v>
      </c>
      <c r="E41" s="12">
        <f>'Energy consumption machinery'!B24</f>
        <v>3200</v>
      </c>
      <c r="F41" s="12">
        <f>'Energy consumption machinery'!C24</f>
        <v>5400</v>
      </c>
      <c r="G41" s="12">
        <f>'Energy consumption machinery'!D24</f>
        <v>3850</v>
      </c>
      <c r="H41" s="12" t="s">
        <v>675</v>
      </c>
      <c r="I41" s="74" t="s">
        <v>674</v>
      </c>
      <c r="K41" s="105" t="s">
        <v>12</v>
      </c>
      <c r="L41" s="107">
        <f>0.0778*L30</f>
        <v>0.39009003849114698</v>
      </c>
    </row>
    <row r="42" spans="1:12" ht="29" x14ac:dyDescent="0.35">
      <c r="D42" s="179" t="s">
        <v>338</v>
      </c>
      <c r="E42" s="180">
        <v>38</v>
      </c>
      <c r="F42" s="180">
        <v>41</v>
      </c>
      <c r="G42" s="180" t="s">
        <v>352</v>
      </c>
      <c r="H42" s="180" t="s">
        <v>678</v>
      </c>
      <c r="I42" s="178" t="s">
        <v>696</v>
      </c>
      <c r="K42" s="105" t="s">
        <v>13</v>
      </c>
      <c r="L42" s="106">
        <f>0.417*L30</f>
        <v>2.0908424942263277</v>
      </c>
    </row>
    <row r="43" spans="1:12" x14ac:dyDescent="0.35">
      <c r="D43" s="73" t="s">
        <v>289</v>
      </c>
      <c r="E43" s="82">
        <f>'Energy consumption machinery'!B25</f>
        <v>3268</v>
      </c>
      <c r="F43" s="82">
        <f>'Energy consumption machinery'!C25</f>
        <v>6333</v>
      </c>
      <c r="G43" s="82" t="str">
        <f>'Energy consumption machinery'!D25</f>
        <v>NA</v>
      </c>
      <c r="H43" s="12" t="s">
        <v>675</v>
      </c>
      <c r="I43" s="74" t="s">
        <v>674</v>
      </c>
      <c r="K43" s="105" t="s">
        <v>1024</v>
      </c>
      <c r="L43" s="137">
        <f>3.42*L30</f>
        <v>17.1479168591224</v>
      </c>
    </row>
    <row r="44" spans="1:12" ht="15" thickBot="1" x14ac:dyDescent="0.4">
      <c r="D44" s="73"/>
      <c r="E44" s="12"/>
      <c r="F44" s="12"/>
      <c r="G44" s="12"/>
      <c r="H44" s="12"/>
      <c r="I44" s="74"/>
      <c r="K44" s="110" t="s">
        <v>15</v>
      </c>
      <c r="L44" s="138">
        <f>L31+(L30+L34+L35)/1000-(L40+L42+L43+L41)/1000</f>
        <v>24.89604040669083</v>
      </c>
    </row>
    <row r="45" spans="1:12" x14ac:dyDescent="0.35">
      <c r="D45" s="73" t="s">
        <v>293</v>
      </c>
      <c r="E45" s="12">
        <f>'Energy consumption machinery'!B26</f>
        <v>0.12</v>
      </c>
      <c r="F45" s="12">
        <f>'Energy consumption machinery'!C26</f>
        <v>0.2</v>
      </c>
      <c r="G45" s="12">
        <f>'Energy consumption machinery'!D26</f>
        <v>0.16</v>
      </c>
      <c r="H45" s="12" t="s">
        <v>675</v>
      </c>
      <c r="I45" s="74" t="s">
        <v>674</v>
      </c>
    </row>
    <row r="46" spans="1:12" x14ac:dyDescent="0.35">
      <c r="D46" s="73" t="s">
        <v>290</v>
      </c>
      <c r="E46" s="12" t="s">
        <v>352</v>
      </c>
      <c r="F46" s="12" t="s">
        <v>352</v>
      </c>
      <c r="G46" s="12">
        <v>15</v>
      </c>
      <c r="H46" s="12" t="s">
        <v>854</v>
      </c>
      <c r="I46" s="74"/>
    </row>
    <row r="47" spans="1:12" x14ac:dyDescent="0.35">
      <c r="D47" s="188" t="s">
        <v>345</v>
      </c>
      <c r="E47" s="180"/>
      <c r="F47" s="180"/>
      <c r="G47" s="180"/>
      <c r="H47" s="180"/>
      <c r="I47" s="74"/>
    </row>
    <row r="48" spans="1:12" ht="29.5" thickBot="1" x14ac:dyDescent="0.4">
      <c r="D48" s="177" t="s">
        <v>427</v>
      </c>
      <c r="E48" s="187">
        <v>2.34</v>
      </c>
      <c r="F48" s="187">
        <v>4.7</v>
      </c>
      <c r="G48" s="187" t="s">
        <v>352</v>
      </c>
      <c r="H48" s="187" t="s">
        <v>922</v>
      </c>
      <c r="I48" s="176" t="s">
        <v>706</v>
      </c>
    </row>
    <row r="49" spans="1:13" ht="15" thickBot="1" x14ac:dyDescent="0.4">
      <c r="A49" s="254" t="s">
        <v>137</v>
      </c>
    </row>
    <row r="50" spans="1:13" ht="18.5" x14ac:dyDescent="0.45">
      <c r="A50" s="82" t="s">
        <v>138</v>
      </c>
      <c r="D50" s="70" t="s">
        <v>677</v>
      </c>
      <c r="E50" s="72" t="s">
        <v>668</v>
      </c>
    </row>
    <row r="51" spans="1:13" x14ac:dyDescent="0.35">
      <c r="A51" s="82" t="s">
        <v>920</v>
      </c>
      <c r="D51" s="73" t="s">
        <v>294</v>
      </c>
      <c r="E51" s="83">
        <v>0.41699999999999998</v>
      </c>
    </row>
    <row r="52" spans="1:13" x14ac:dyDescent="0.35">
      <c r="A52" s="82"/>
      <c r="D52" s="73" t="s">
        <v>295</v>
      </c>
      <c r="E52" s="83">
        <v>7.7799999999999994E-2</v>
      </c>
    </row>
    <row r="53" spans="1:13" x14ac:dyDescent="0.35">
      <c r="A53" s="254" t="s">
        <v>140</v>
      </c>
      <c r="D53" s="73" t="s">
        <v>296</v>
      </c>
      <c r="E53" s="83">
        <v>3.42</v>
      </c>
    </row>
    <row r="54" spans="1:13" x14ac:dyDescent="0.35">
      <c r="A54" s="82" t="s">
        <v>141</v>
      </c>
      <c r="D54" s="73"/>
      <c r="E54" s="83" t="s">
        <v>669</v>
      </c>
    </row>
    <row r="55" spans="1:13" x14ac:dyDescent="0.35">
      <c r="A55" s="82" t="s">
        <v>142</v>
      </c>
      <c r="D55" s="73" t="s">
        <v>306</v>
      </c>
      <c r="E55" s="85">
        <v>4.7841191474493368</v>
      </c>
    </row>
    <row r="56" spans="1:13" x14ac:dyDescent="0.35">
      <c r="A56" s="82" t="s">
        <v>143</v>
      </c>
      <c r="D56" s="73" t="s">
        <v>308</v>
      </c>
      <c r="E56" s="83">
        <v>1.821628905071905</v>
      </c>
      <c r="M56" s="1"/>
    </row>
    <row r="57" spans="1:13" x14ac:dyDescent="0.35">
      <c r="D57" s="73" t="s">
        <v>480</v>
      </c>
      <c r="E57" s="74">
        <f>0.0875/3</f>
        <v>2.9166666666666664E-2</v>
      </c>
      <c r="M57" s="93"/>
    </row>
    <row r="58" spans="1:13" x14ac:dyDescent="0.35">
      <c r="D58" s="73" t="s">
        <v>481</v>
      </c>
      <c r="E58" s="74">
        <f>0.0625/5</f>
        <v>1.2500000000000001E-2</v>
      </c>
      <c r="M58" s="93"/>
    </row>
    <row r="59" spans="1:13" x14ac:dyDescent="0.35">
      <c r="D59" s="73"/>
      <c r="E59" s="74" t="s">
        <v>670</v>
      </c>
    </row>
    <row r="60" spans="1:13" x14ac:dyDescent="0.35">
      <c r="D60" s="73" t="s">
        <v>297</v>
      </c>
      <c r="E60" s="83">
        <f>I3</f>
        <v>3.48</v>
      </c>
    </row>
    <row r="61" spans="1:13" x14ac:dyDescent="0.35">
      <c r="D61" s="73" t="s">
        <v>298</v>
      </c>
      <c r="E61" s="83">
        <f>I4</f>
        <v>5.1466666666666665</v>
      </c>
    </row>
    <row r="62" spans="1:13" x14ac:dyDescent="0.35">
      <c r="D62" s="73" t="s">
        <v>605</v>
      </c>
      <c r="E62" s="83">
        <f>K5</f>
        <v>0.83898305084745761</v>
      </c>
    </row>
    <row r="63" spans="1:13" x14ac:dyDescent="0.35">
      <c r="D63" s="73" t="s">
        <v>603</v>
      </c>
      <c r="E63" s="83">
        <f>K6</f>
        <v>3.953839006074193</v>
      </c>
    </row>
    <row r="64" spans="1:13" x14ac:dyDescent="0.35">
      <c r="D64" s="73" t="s">
        <v>604</v>
      </c>
      <c r="E64" s="83">
        <f>K7</f>
        <v>3.7829229436142922</v>
      </c>
    </row>
    <row r="65" spans="4:5" x14ac:dyDescent="0.35">
      <c r="D65" s="73" t="s">
        <v>299</v>
      </c>
      <c r="E65" s="83">
        <f>I13</f>
        <v>0.24315789473684207</v>
      </c>
    </row>
    <row r="66" spans="4:5" x14ac:dyDescent="0.35">
      <c r="D66" s="73" t="s">
        <v>300</v>
      </c>
      <c r="E66" s="83">
        <f>I14</f>
        <v>0.27222222222222237</v>
      </c>
    </row>
    <row r="67" spans="4:5" x14ac:dyDescent="0.35">
      <c r="D67" s="73" t="s">
        <v>301</v>
      </c>
      <c r="E67" s="83">
        <f>I15</f>
        <v>3.8066666666666662</v>
      </c>
    </row>
    <row r="68" spans="4:5" x14ac:dyDescent="0.35">
      <c r="D68" s="73" t="s">
        <v>302</v>
      </c>
      <c r="E68" s="88" t="s">
        <v>3</v>
      </c>
    </row>
    <row r="69" spans="4:5" x14ac:dyDescent="0.35">
      <c r="D69" s="73"/>
      <c r="E69" s="83"/>
    </row>
    <row r="70" spans="4:5" ht="44" thickBot="1" x14ac:dyDescent="0.4">
      <c r="D70" s="177" t="s">
        <v>672</v>
      </c>
      <c r="E70" s="176" t="s">
        <v>923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06A-FA6E-4A17-936D-0F9AC41AC8F1}">
  <sheetPr>
    <tabColor theme="4" tint="0.79998168889431442"/>
  </sheetPr>
  <dimension ref="A1:U39"/>
  <sheetViews>
    <sheetView workbookViewId="0">
      <selection activeCell="E44" sqref="E44"/>
    </sheetView>
  </sheetViews>
  <sheetFormatPr defaultRowHeight="14.5" x14ac:dyDescent="0.35"/>
  <cols>
    <col min="1" max="1" width="36.54296875" customWidth="1"/>
    <col min="2" max="2" width="21.08984375" bestFit="1" customWidth="1"/>
    <col min="3" max="3" width="23.81640625" bestFit="1" customWidth="1"/>
    <col min="4" max="4" width="11.81640625" bestFit="1" customWidth="1"/>
    <col min="5" max="5" width="34.1796875" bestFit="1" customWidth="1"/>
    <col min="6" max="7" width="37.36328125" bestFit="1" customWidth="1"/>
    <col min="8" max="8" width="30.08984375" bestFit="1" customWidth="1"/>
    <col min="9" max="9" width="10.81640625" customWidth="1"/>
    <col min="10" max="10" width="4.6328125" bestFit="1" customWidth="1"/>
    <col min="11" max="11" width="19.7265625" bestFit="1" customWidth="1"/>
    <col min="12" max="12" width="13.453125" bestFit="1" customWidth="1"/>
    <col min="13" max="15" width="11.81640625" bestFit="1" customWidth="1"/>
    <col min="16" max="16" width="4.453125" bestFit="1" customWidth="1"/>
    <col min="17" max="17" width="9.54296875" bestFit="1" customWidth="1"/>
    <col min="18" max="18" width="5.1796875" bestFit="1" customWidth="1"/>
    <col min="19" max="19" width="9.54296875" bestFit="1" customWidth="1"/>
    <col min="21" max="21" width="11.81640625" bestFit="1" customWidth="1"/>
  </cols>
  <sheetData>
    <row r="1" spans="1:13" ht="18.5" x14ac:dyDescent="0.45">
      <c r="A1" s="2" t="s">
        <v>34</v>
      </c>
      <c r="B1" t="s">
        <v>35</v>
      </c>
    </row>
    <row r="2" spans="1:13" ht="15" thickBot="1" x14ac:dyDescent="0.4"/>
    <row r="3" spans="1:13" x14ac:dyDescent="0.35">
      <c r="A3" s="114"/>
      <c r="B3" s="115" t="s">
        <v>16</v>
      </c>
      <c r="C3" s="116"/>
      <c r="D3" s="116"/>
      <c r="E3" s="116"/>
      <c r="F3" s="116"/>
      <c r="G3" s="116"/>
      <c r="H3" s="116"/>
      <c r="I3" s="117"/>
      <c r="K3" s="11" t="s">
        <v>137</v>
      </c>
    </row>
    <row r="4" spans="1:13" x14ac:dyDescent="0.35">
      <c r="A4" s="118"/>
      <c r="B4" s="119" t="s">
        <v>17</v>
      </c>
      <c r="C4" s="119" t="s">
        <v>18</v>
      </c>
      <c r="D4" s="119" t="s">
        <v>285</v>
      </c>
      <c r="E4" s="119" t="s">
        <v>19</v>
      </c>
      <c r="F4" s="119" t="s">
        <v>44</v>
      </c>
      <c r="G4" s="119" t="s">
        <v>680</v>
      </c>
      <c r="H4" s="125" t="s">
        <v>285</v>
      </c>
      <c r="I4" s="143" t="s">
        <v>19</v>
      </c>
      <c r="K4" s="12" t="s">
        <v>144</v>
      </c>
    </row>
    <row r="5" spans="1:13" x14ac:dyDescent="0.35">
      <c r="A5" s="118" t="s">
        <v>200</v>
      </c>
      <c r="B5" s="119">
        <f>'Energy consumption machinery'!B11</f>
        <v>257</v>
      </c>
      <c r="C5" s="119">
        <f>'Energy consumption machinery'!C11</f>
        <v>325</v>
      </c>
      <c r="D5" s="214">
        <f>(B5+C5)/2</f>
        <v>291</v>
      </c>
      <c r="E5" s="119" t="s">
        <v>21</v>
      </c>
      <c r="F5" s="121">
        <v>1</v>
      </c>
      <c r="G5" s="144">
        <f>F5*I32</f>
        <v>5.0279060816012322</v>
      </c>
      <c r="H5" s="144">
        <f>D5*G5</f>
        <v>1463.1206697459586</v>
      </c>
      <c r="I5" s="143" t="s">
        <v>23</v>
      </c>
      <c r="K5" s="12" t="s">
        <v>145</v>
      </c>
    </row>
    <row r="6" spans="1:13" ht="15" thickBot="1" x14ac:dyDescent="0.4">
      <c r="A6" s="126" t="s">
        <v>201</v>
      </c>
      <c r="B6" s="130">
        <f>'Energy consumption machinery'!B12</f>
        <v>2.9</v>
      </c>
      <c r="C6" s="130">
        <f>'Energy consumption machinery'!C12</f>
        <v>47.6</v>
      </c>
      <c r="D6" s="216">
        <f>'Energy consumption machinery'!D12</f>
        <v>34</v>
      </c>
      <c r="E6" s="130" t="s">
        <v>21</v>
      </c>
      <c r="F6" s="127">
        <v>1</v>
      </c>
      <c r="G6" s="149">
        <f>F6*I32</f>
        <v>5.0279060816012322</v>
      </c>
      <c r="H6" s="149">
        <f>D6*G6</f>
        <v>170.94880677444189</v>
      </c>
      <c r="I6" s="150" t="s">
        <v>23</v>
      </c>
      <c r="K6" s="12" t="s">
        <v>146</v>
      </c>
    </row>
    <row r="7" spans="1:13" x14ac:dyDescent="0.35">
      <c r="I7" s="3"/>
      <c r="K7" s="12" t="s">
        <v>148</v>
      </c>
      <c r="L7" s="3"/>
      <c r="M7" s="3"/>
    </row>
    <row r="8" spans="1:13" ht="15" thickBot="1" x14ac:dyDescent="0.4">
      <c r="C8" s="5"/>
      <c r="D8" s="5"/>
    </row>
    <row r="9" spans="1:13" x14ac:dyDescent="0.35">
      <c r="A9" s="94"/>
      <c r="B9" s="95"/>
      <c r="C9" s="95"/>
      <c r="D9" s="95"/>
      <c r="E9" s="95"/>
      <c r="F9" s="182" t="s">
        <v>457</v>
      </c>
    </row>
    <row r="10" spans="1:13" x14ac:dyDescent="0.35">
      <c r="A10" s="97"/>
      <c r="B10" s="103"/>
      <c r="C10" s="103"/>
      <c r="D10" s="103"/>
      <c r="E10" s="103" t="s">
        <v>921</v>
      </c>
      <c r="F10" s="98">
        <v>0.247</v>
      </c>
    </row>
    <row r="11" spans="1:13" x14ac:dyDescent="0.35">
      <c r="A11" s="103" t="s">
        <v>702</v>
      </c>
      <c r="B11" s="113" t="s">
        <v>40</v>
      </c>
      <c r="C11" s="113" t="s">
        <v>72</v>
      </c>
      <c r="D11" s="103"/>
      <c r="E11" s="103"/>
      <c r="F11" s="98">
        <v>0.222</v>
      </c>
    </row>
    <row r="12" spans="1:13" x14ac:dyDescent="0.35">
      <c r="A12" s="97"/>
      <c r="B12" s="103">
        <v>52.3</v>
      </c>
      <c r="C12" s="103">
        <v>69.599999999999994</v>
      </c>
      <c r="D12" s="103"/>
      <c r="E12" s="103"/>
      <c r="F12" s="98">
        <v>0.26100000000000001</v>
      </c>
    </row>
    <row r="13" spans="1:13" x14ac:dyDescent="0.35">
      <c r="A13" s="97"/>
      <c r="B13" s="103">
        <v>50</v>
      </c>
      <c r="C13" s="103">
        <v>42.9</v>
      </c>
      <c r="D13" s="103"/>
      <c r="E13" s="103"/>
      <c r="F13" s="98">
        <v>0.21099999999999999</v>
      </c>
    </row>
    <row r="14" spans="1:13" x14ac:dyDescent="0.35">
      <c r="A14" s="97"/>
      <c r="B14" s="103">
        <v>29</v>
      </c>
      <c r="C14" s="103">
        <v>55.1</v>
      </c>
      <c r="D14" s="103"/>
      <c r="E14" s="103"/>
      <c r="F14" s="98">
        <v>0.22700000000000001</v>
      </c>
    </row>
    <row r="15" spans="1:13" x14ac:dyDescent="0.35">
      <c r="A15" s="97"/>
      <c r="B15" s="103">
        <v>40</v>
      </c>
      <c r="C15" s="103">
        <v>55</v>
      </c>
      <c r="D15" s="103"/>
      <c r="E15" s="103"/>
      <c r="F15" s="98">
        <v>0.22900000000000001</v>
      </c>
    </row>
    <row r="16" spans="1:13" x14ac:dyDescent="0.35">
      <c r="A16" s="97"/>
      <c r="B16" s="103">
        <v>76</v>
      </c>
      <c r="C16" s="103">
        <v>51</v>
      </c>
      <c r="D16" s="103"/>
      <c r="E16" s="103"/>
      <c r="F16" s="98">
        <v>0.23200000000000001</v>
      </c>
    </row>
    <row r="17" spans="1:9" x14ac:dyDescent="0.35">
      <c r="A17" s="97"/>
      <c r="B17" s="103">
        <v>48</v>
      </c>
      <c r="C17" s="103">
        <v>51</v>
      </c>
      <c r="D17" s="103"/>
      <c r="E17" s="103"/>
      <c r="F17" s="98">
        <v>0.222</v>
      </c>
    </row>
    <row r="18" spans="1:9" x14ac:dyDescent="0.35">
      <c r="A18" s="97"/>
      <c r="B18" s="103">
        <v>47</v>
      </c>
      <c r="C18" s="103">
        <v>55.6</v>
      </c>
      <c r="D18" s="103"/>
      <c r="E18" s="103"/>
      <c r="F18" s="98">
        <v>0.22700000000000001</v>
      </c>
    </row>
    <row r="19" spans="1:9" x14ac:dyDescent="0.35">
      <c r="A19" s="97" t="s">
        <v>584</v>
      </c>
      <c r="B19" s="112">
        <f>MEDIAN(B12:B18)</f>
        <v>48</v>
      </c>
      <c r="C19" s="112">
        <f>MEDIAN(C12:C18)</f>
        <v>55</v>
      </c>
      <c r="D19" s="181"/>
      <c r="E19" s="103"/>
      <c r="F19" s="98">
        <v>0.223</v>
      </c>
    </row>
    <row r="20" spans="1:9" x14ac:dyDescent="0.35">
      <c r="A20" s="97"/>
      <c r="B20" s="112"/>
      <c r="C20" s="112"/>
      <c r="D20" s="103"/>
      <c r="E20" s="103"/>
      <c r="F20" s="98">
        <v>0.19400000000000001</v>
      </c>
    </row>
    <row r="21" spans="1:9" x14ac:dyDescent="0.35">
      <c r="A21" s="97"/>
      <c r="B21" s="103"/>
      <c r="C21" s="103"/>
      <c r="D21" s="103"/>
      <c r="E21" s="103"/>
      <c r="F21" s="98">
        <v>0.20399999999999999</v>
      </c>
    </row>
    <row r="22" spans="1:9" x14ac:dyDescent="0.35">
      <c r="A22" s="97"/>
      <c r="B22" s="103"/>
      <c r="C22" s="103"/>
      <c r="D22" s="103"/>
      <c r="E22" s="103"/>
      <c r="F22" s="98">
        <v>0.19600000000000001</v>
      </c>
    </row>
    <row r="23" spans="1:9" x14ac:dyDescent="0.35">
      <c r="A23" s="97"/>
      <c r="B23" s="103"/>
      <c r="C23" s="103"/>
      <c r="D23" s="103"/>
      <c r="E23" s="103"/>
      <c r="F23" s="98">
        <v>0.20100000000000001</v>
      </c>
    </row>
    <row r="24" spans="1:9" x14ac:dyDescent="0.35">
      <c r="A24" s="97"/>
      <c r="B24" s="103"/>
      <c r="C24" s="103"/>
      <c r="D24" s="103"/>
      <c r="E24" s="103"/>
      <c r="F24" s="98">
        <v>0.20300000000000001</v>
      </c>
    </row>
    <row r="25" spans="1:9" x14ac:dyDescent="0.35">
      <c r="A25" s="97"/>
      <c r="B25" s="103"/>
      <c r="C25" s="103"/>
      <c r="D25" s="103"/>
      <c r="E25" s="103"/>
      <c r="F25" s="98">
        <v>0.19600000000000001</v>
      </c>
    </row>
    <row r="26" spans="1:9" x14ac:dyDescent="0.35">
      <c r="A26" s="97"/>
      <c r="B26" s="103"/>
      <c r="C26" s="103"/>
      <c r="D26" s="103"/>
      <c r="E26" s="103"/>
      <c r="F26" s="98">
        <v>0.20799999999999999</v>
      </c>
    </row>
    <row r="27" spans="1:9" x14ac:dyDescent="0.35">
      <c r="A27" s="97"/>
      <c r="B27" s="103"/>
      <c r="C27" s="103"/>
      <c r="D27" s="103"/>
      <c r="E27" s="103"/>
      <c r="F27" s="98">
        <v>0.20499999999999999</v>
      </c>
    </row>
    <row r="28" spans="1:9" ht="15" thickBot="1" x14ac:dyDescent="0.4">
      <c r="A28" s="99"/>
      <c r="B28" s="100"/>
      <c r="C28" s="100"/>
      <c r="D28" s="100"/>
      <c r="E28" s="100" t="s">
        <v>584</v>
      </c>
      <c r="F28" s="101">
        <f>MEDIAN(F10:F27)</f>
        <v>0.2165</v>
      </c>
    </row>
    <row r="29" spans="1:9" ht="15" thickBot="1" x14ac:dyDescent="0.4"/>
    <row r="30" spans="1:9" ht="18.5" x14ac:dyDescent="0.45">
      <c r="A30" s="70" t="s">
        <v>679</v>
      </c>
      <c r="B30" s="71"/>
      <c r="C30" s="71"/>
      <c r="D30" s="71"/>
      <c r="E30" s="71"/>
      <c r="F30" s="72"/>
      <c r="H30" s="175" t="s">
        <v>717</v>
      </c>
      <c r="I30" s="104"/>
    </row>
    <row r="31" spans="1:9" x14ac:dyDescent="0.35">
      <c r="A31" s="73"/>
      <c r="B31" s="12" t="s">
        <v>17</v>
      </c>
      <c r="C31" s="12" t="s">
        <v>18</v>
      </c>
      <c r="D31" s="12" t="s">
        <v>285</v>
      </c>
      <c r="E31" s="12" t="s">
        <v>673</v>
      </c>
      <c r="F31" s="74" t="s">
        <v>586</v>
      </c>
      <c r="H31" s="109" t="s">
        <v>7</v>
      </c>
      <c r="I31" s="108" t="s">
        <v>285</v>
      </c>
    </row>
    <row r="32" spans="1:9" x14ac:dyDescent="0.35">
      <c r="A32" s="73" t="s">
        <v>292</v>
      </c>
      <c r="B32" s="12">
        <f>MIN(F10:F27)</f>
        <v>0.19400000000000001</v>
      </c>
      <c r="C32" s="12">
        <f>MAX(F10:F27)</f>
        <v>0.26100000000000001</v>
      </c>
      <c r="D32" s="12">
        <f>F28</f>
        <v>0.2165</v>
      </c>
      <c r="E32" s="12" t="s">
        <v>921</v>
      </c>
      <c r="F32" s="74"/>
      <c r="H32" s="105" t="s">
        <v>10</v>
      </c>
      <c r="I32" s="106">
        <f>0.95*C19/B19/F28</f>
        <v>5.0279060816012322</v>
      </c>
    </row>
    <row r="33" spans="1:21" x14ac:dyDescent="0.35">
      <c r="A33" s="73" t="s">
        <v>291</v>
      </c>
      <c r="B33" s="81">
        <f>MIN(C12:C18)/100</f>
        <v>0.42899999999999999</v>
      </c>
      <c r="C33" s="81">
        <f>MAX(C12:C18)/100</f>
        <v>0.69599999999999995</v>
      </c>
      <c r="D33" s="81">
        <f>C19/100</f>
        <v>0.55000000000000004</v>
      </c>
      <c r="E33" s="12" t="s">
        <v>924</v>
      </c>
      <c r="F33" s="74"/>
      <c r="H33" s="105" t="s">
        <v>14</v>
      </c>
      <c r="I33" s="106">
        <f>SUM(H5:H6)/3600</f>
        <v>0.45390818792233345</v>
      </c>
    </row>
    <row r="34" spans="1:21" x14ac:dyDescent="0.35">
      <c r="A34" s="73" t="s">
        <v>303</v>
      </c>
      <c r="B34" s="81">
        <f>MIN(B12:B18)/100</f>
        <v>0.28999999999999998</v>
      </c>
      <c r="C34" s="81">
        <f>MAX(B12:B18)/100</f>
        <v>0.76</v>
      </c>
      <c r="D34" s="81">
        <f>B19/100</f>
        <v>0.48</v>
      </c>
      <c r="E34" s="12" t="s">
        <v>924</v>
      </c>
      <c r="F34" s="74"/>
      <c r="H34" s="105"/>
      <c r="I34" s="108"/>
      <c r="L34" s="1"/>
      <c r="Q34" s="1"/>
    </row>
    <row r="35" spans="1:21" x14ac:dyDescent="0.35">
      <c r="A35" s="73" t="s">
        <v>739</v>
      </c>
      <c r="B35" s="81" t="s">
        <v>352</v>
      </c>
      <c r="C35" s="81" t="s">
        <v>352</v>
      </c>
      <c r="D35" s="81">
        <v>0.95</v>
      </c>
      <c r="E35" s="12"/>
      <c r="F35" s="74"/>
      <c r="H35" s="109" t="s">
        <v>6</v>
      </c>
      <c r="I35" s="108"/>
      <c r="L35" s="9"/>
      <c r="M35" s="9"/>
    </row>
    <row r="36" spans="1:21" x14ac:dyDescent="0.35">
      <c r="A36" s="73" t="s">
        <v>309</v>
      </c>
      <c r="B36" s="81">
        <f>'Energy consumption machinery'!B8</f>
        <v>6.48</v>
      </c>
      <c r="C36" s="81">
        <f>'Energy consumption machinery'!C8</f>
        <v>18.62</v>
      </c>
      <c r="D36" s="81" t="str">
        <f>'Energy consumption machinery'!D8</f>
        <v>NA</v>
      </c>
      <c r="E36" s="12" t="s">
        <v>675</v>
      </c>
      <c r="F36" s="74" t="s">
        <v>674</v>
      </c>
      <c r="H36" s="105" t="s">
        <v>41</v>
      </c>
      <c r="I36" s="108">
        <v>1</v>
      </c>
      <c r="U36" s="5"/>
    </row>
    <row r="37" spans="1:21" ht="15" thickBot="1" x14ac:dyDescent="0.4">
      <c r="A37" s="73" t="s">
        <v>310</v>
      </c>
      <c r="B37" s="81">
        <f>'Energy consumption machinery'!B10</f>
        <v>1.4</v>
      </c>
      <c r="C37" s="81">
        <f>'Energy consumption machinery'!C10</f>
        <v>2.2000000000000002</v>
      </c>
      <c r="D37" s="81" t="str">
        <f>'Energy consumption machinery'!D10</f>
        <v>NA</v>
      </c>
      <c r="E37" s="12" t="s">
        <v>675</v>
      </c>
      <c r="F37" s="74" t="s">
        <v>674</v>
      </c>
      <c r="H37" s="110" t="s">
        <v>42</v>
      </c>
      <c r="I37" s="133">
        <f>(I32-I36)/I32*I32</f>
        <v>4.0279060816012322</v>
      </c>
    </row>
    <row r="38" spans="1:21" x14ac:dyDescent="0.35">
      <c r="A38" s="73" t="s">
        <v>345</v>
      </c>
      <c r="B38" s="81"/>
      <c r="C38" s="81"/>
      <c r="D38" s="81"/>
      <c r="E38" s="12"/>
      <c r="F38" s="74"/>
      <c r="Q38" s="1"/>
    </row>
    <row r="39" spans="1:21" ht="29.5" thickBot="1" x14ac:dyDescent="0.4">
      <c r="A39" s="177" t="s">
        <v>427</v>
      </c>
      <c r="B39" s="189">
        <v>2.92</v>
      </c>
      <c r="C39" s="189">
        <v>3.23</v>
      </c>
      <c r="D39" s="189">
        <v>3.23</v>
      </c>
      <c r="E39" s="187" t="s">
        <v>925</v>
      </c>
      <c r="F39" s="176" t="s">
        <v>706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README</vt:lpstr>
      <vt:lpstr>Data sources overview</vt:lpstr>
      <vt:lpstr>Energy consumption machinery</vt:lpstr>
      <vt:lpstr>Cleaning and dehulling</vt:lpstr>
      <vt:lpstr>Milling</vt:lpstr>
      <vt:lpstr>Defatting</vt:lpstr>
      <vt:lpstr>SPI</vt:lpstr>
      <vt:lpstr>PPI</vt:lpstr>
      <vt:lpstr>PPC</vt:lpstr>
      <vt:lpstr>SPC</vt:lpstr>
      <vt:lpstr>Gluten HP</vt:lpstr>
      <vt:lpstr>General_parameters</vt:lpstr>
      <vt:lpstr>Formulas_SPI</vt:lpstr>
      <vt:lpstr>Formulas_PPI</vt:lpstr>
      <vt:lpstr>Formulas_PPC</vt:lpstr>
      <vt:lpstr>Formulas_SPC</vt:lpstr>
      <vt:lpstr>Formulas_gluten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Siegrist  Armin</dc:creator>
  <cp:lastModifiedBy>Siegrist  Armin</cp:lastModifiedBy>
  <dcterms:created xsi:type="dcterms:W3CDTF">2015-06-05T18:19:34Z</dcterms:created>
  <dcterms:modified xsi:type="dcterms:W3CDTF">2025-04-14T07:52:24Z</dcterms:modified>
</cp:coreProperties>
</file>