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20775" windowHeight="9435"/>
  </bookViews>
  <sheets>
    <sheet name="Report" sheetId="1" r:id="rId1"/>
    <sheet name="Other Stats" sheetId="2" r:id="rId2"/>
  </sheets>
  <calcPr calcId="125725"/>
</workbook>
</file>

<file path=xl/calcChain.xml><?xml version="1.0" encoding="utf-8"?>
<calcChain xmlns="http://schemas.openxmlformats.org/spreadsheetml/2006/main">
  <c r="H3" i="2"/>
  <c r="E3"/>
  <c r="P3" s="1"/>
  <c r="E4"/>
  <c r="P4" s="1"/>
  <c r="M28" l="1"/>
  <c r="M8"/>
  <c r="L28"/>
  <c r="A9"/>
  <c r="A8"/>
  <c r="S3"/>
  <c r="L48" s="1"/>
  <c r="M48" s="1"/>
  <c r="B9"/>
  <c r="B28"/>
  <c r="B8"/>
  <c r="A10"/>
  <c r="B10" s="1"/>
  <c r="A11"/>
  <c r="B11" s="1"/>
  <c r="A12"/>
  <c r="B12" s="1"/>
  <c r="A13"/>
  <c r="B13" s="1"/>
  <c r="A14"/>
  <c r="B14" s="1"/>
  <c r="A15"/>
  <c r="B15" s="1"/>
  <c r="A16"/>
  <c r="B16" s="1"/>
  <c r="A17"/>
  <c r="B17" s="1"/>
  <c r="A18"/>
  <c r="B18" s="1"/>
  <c r="A19"/>
  <c r="B19" s="1"/>
  <c r="A20"/>
  <c r="B20" s="1"/>
  <c r="A21"/>
  <c r="B21" s="1"/>
  <c r="A22"/>
  <c r="B22" s="1"/>
  <c r="A23"/>
  <c r="B23" s="1"/>
  <c r="A24"/>
  <c r="B24" s="1"/>
  <c r="A25"/>
  <c r="B25" s="1"/>
  <c r="A26"/>
  <c r="B26" s="1"/>
  <c r="A27"/>
  <c r="B27" s="1"/>
  <c r="A28"/>
  <c r="A29"/>
  <c r="B29" s="1"/>
  <c r="A30"/>
  <c r="B30" s="1"/>
  <c r="A31"/>
  <c r="B31" s="1"/>
  <c r="A32"/>
  <c r="B32" s="1"/>
  <c r="A33"/>
  <c r="B33" s="1"/>
  <c r="A34"/>
  <c r="B34" s="1"/>
  <c r="A35"/>
  <c r="B35" s="1"/>
  <c r="A36"/>
  <c r="B36" s="1"/>
  <c r="A37"/>
  <c r="B37" s="1"/>
  <c r="A38"/>
  <c r="B38" s="1"/>
  <c r="A39"/>
  <c r="B39" s="1"/>
  <c r="A40"/>
  <c r="B40" s="1"/>
  <c r="A41"/>
  <c r="B41" s="1"/>
  <c r="A42"/>
  <c r="B42" s="1"/>
  <c r="A43"/>
  <c r="B43" s="1"/>
  <c r="A44"/>
  <c r="B44" s="1"/>
  <c r="A45"/>
  <c r="B45" s="1"/>
  <c r="A46"/>
  <c r="B46" s="1"/>
  <c r="A47"/>
  <c r="B47" s="1"/>
  <c r="A48"/>
  <c r="B48" s="1"/>
  <c r="D8" l="1"/>
  <c r="C8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9"/>
  <c r="D9"/>
  <c r="C10"/>
  <c r="D10"/>
  <c r="N28"/>
  <c r="O28"/>
  <c r="N48"/>
  <c r="O48"/>
  <c r="O8"/>
  <c r="N8"/>
  <c r="L8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N47" l="1"/>
  <c r="O47"/>
  <c r="N46"/>
  <c r="O46"/>
  <c r="N45"/>
  <c r="O45"/>
  <c r="N44"/>
  <c r="O44"/>
  <c r="N43"/>
  <c r="O43"/>
  <c r="N42"/>
  <c r="O42"/>
  <c r="N41"/>
  <c r="O41"/>
  <c r="N40"/>
  <c r="O40"/>
  <c r="N39"/>
  <c r="O39"/>
  <c r="N38"/>
  <c r="O38"/>
  <c r="N37"/>
  <c r="O37"/>
  <c r="N36"/>
  <c r="O36"/>
  <c r="N35"/>
  <c r="O35"/>
  <c r="N34"/>
  <c r="O34"/>
  <c r="N33"/>
  <c r="O33"/>
  <c r="N32"/>
  <c r="O32"/>
  <c r="N31"/>
  <c r="O31"/>
  <c r="N30"/>
  <c r="O30"/>
  <c r="N29"/>
  <c r="O29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E6"/>
  <c r="E5" l="1"/>
</calcChain>
</file>

<file path=xl/sharedStrings.xml><?xml version="1.0" encoding="utf-8"?>
<sst xmlns="http://schemas.openxmlformats.org/spreadsheetml/2006/main" count="59" uniqueCount="50">
  <si>
    <t>Shooter:</t>
  </si>
  <si>
    <t>Temperature:</t>
  </si>
  <si>
    <t>Target Distance:</t>
  </si>
  <si>
    <t>Shots Fired:</t>
  </si>
  <si>
    <t>Weapon:</t>
  </si>
  <si>
    <t>Serial #:</t>
  </si>
  <si>
    <t>Lot #</t>
  </si>
  <si>
    <t>Projectile Mass:</t>
  </si>
  <si>
    <t>#</t>
  </si>
  <si>
    <t>X</t>
  </si>
  <si>
    <t>Y</t>
  </si>
  <si>
    <t>Shot Plot</t>
  </si>
  <si>
    <t>Extreme Spread X:</t>
  </si>
  <si>
    <t>Extreme Spread Y:</t>
  </si>
  <si>
    <t>Extreme Spread Group:</t>
  </si>
  <si>
    <t>Sigma X:</t>
  </si>
  <si>
    <t>Sigma Y:</t>
  </si>
  <si>
    <t>Furthest Left:</t>
  </si>
  <si>
    <t>Furthest Right:</t>
  </si>
  <si>
    <t>Highest Rount:</t>
  </si>
  <si>
    <t>Lowest Round:</t>
  </si>
  <si>
    <t>CEP Calculation</t>
  </si>
  <si>
    <t>X offset =</t>
  </si>
  <si>
    <t>Y offset =</t>
  </si>
  <si>
    <t>Angle</t>
  </si>
  <si>
    <t>X-Value</t>
  </si>
  <si>
    <t xml:space="preserve">X Range = </t>
  </si>
  <si>
    <t>a</t>
  </si>
  <si>
    <t xml:space="preserve">Y Range = </t>
  </si>
  <si>
    <t>radius =</t>
  </si>
  <si>
    <t>PosY</t>
  </si>
  <si>
    <t>Extreme Spread</t>
  </si>
  <si>
    <t>x1</t>
  </si>
  <si>
    <t>y1</t>
  </si>
  <si>
    <t>x2</t>
  </si>
  <si>
    <t>y2</t>
  </si>
  <si>
    <t>Projectile:</t>
  </si>
  <si>
    <t>Place:</t>
  </si>
  <si>
    <t>Date Fired:</t>
  </si>
  <si>
    <t>Statistics (in inches):</t>
  </si>
  <si>
    <t>Shot Record (in inches)</t>
  </si>
  <si>
    <t>Mean Radius</t>
  </si>
  <si>
    <t>Mean Radius:</t>
  </si>
  <si>
    <t>Notes:</t>
  </si>
  <si>
    <t>CEP Off</t>
  </si>
  <si>
    <t>Extreme Spread Off</t>
  </si>
  <si>
    <t>Max</t>
  </si>
  <si>
    <t>Min</t>
  </si>
  <si>
    <t>CEP Radius:</t>
  </si>
  <si>
    <t>Show Mean Radius (Green)</t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</si>
</sst>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0" fillId="0" borderId="5" xfId="0" applyBorder="1" applyAlignment="1">
      <alignment horizontal="right"/>
    </xf>
    <xf numFmtId="0" fontId="0" fillId="0" borderId="9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2" fontId="2" fillId="0" borderId="0" xfId="1" applyNumberFormat="1" applyFont="1" applyFill="1" applyBorder="1" applyAlignment="1" applyProtection="1">
      <protection locked="0"/>
    </xf>
    <xf numFmtId="2" fontId="2" fillId="0" borderId="0" xfId="2" applyNumberFormat="1" applyFont="1" applyFill="1" applyBorder="1" applyAlignment="1" applyProtection="1">
      <protection locked="0"/>
    </xf>
    <xf numFmtId="2" fontId="2" fillId="0" borderId="0" xfId="3" applyNumberFormat="1" applyFont="1" applyFill="1" applyBorder="1" applyAlignment="1" applyProtection="1">
      <protection locked="0"/>
    </xf>
    <xf numFmtId="0" fontId="0" fillId="0" borderId="25" xfId="0" applyBorder="1" applyAlignment="1">
      <alignment horizontal="center"/>
    </xf>
    <xf numFmtId="0" fontId="0" fillId="2" borderId="14" xfId="0" applyFill="1" applyBorder="1"/>
    <xf numFmtId="0" fontId="0" fillId="0" borderId="3" xfId="0" applyBorder="1"/>
    <xf numFmtId="0" fontId="0" fillId="0" borderId="17" xfId="0" applyBorder="1"/>
    <xf numFmtId="2" fontId="2" fillId="0" borderId="8" xfId="1" applyNumberFormat="1" applyFont="1" applyFill="1" applyBorder="1" applyAlignment="1" applyProtection="1">
      <protection locked="0"/>
    </xf>
    <xf numFmtId="2" fontId="2" fillId="0" borderId="8" xfId="2" applyNumberFormat="1" applyFont="1" applyFill="1" applyBorder="1" applyAlignment="1" applyProtection="1">
      <protection locked="0"/>
    </xf>
    <xf numFmtId="2" fontId="2" fillId="0" borderId="8" xfId="3" applyNumberFormat="1" applyFont="1" applyFill="1" applyBorder="1" applyAlignment="1" applyProtection="1">
      <protection locked="0"/>
    </xf>
    <xf numFmtId="0" fontId="0" fillId="0" borderId="8" xfId="0" applyFill="1" applyBorder="1"/>
    <xf numFmtId="0" fontId="0" fillId="0" borderId="8" xfId="0" applyFill="1" applyBorder="1" applyAlignment="1"/>
    <xf numFmtId="0" fontId="0" fillId="0" borderId="0" xfId="0" applyProtection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2" borderId="13" xfId="0" applyNumberFormat="1" applyFill="1" applyBorder="1"/>
    <xf numFmtId="164" fontId="0" fillId="0" borderId="13" xfId="0" applyNumberFormat="1" applyBorder="1"/>
    <xf numFmtId="164" fontId="0" fillId="2" borderId="15" xfId="0" applyNumberFormat="1" applyFill="1" applyBorder="1"/>
    <xf numFmtId="164" fontId="0" fillId="2" borderId="8" xfId="0" applyNumberFormat="1" applyFill="1" applyBorder="1"/>
    <xf numFmtId="164" fontId="0" fillId="0" borderId="8" xfId="0" applyNumberFormat="1" applyBorder="1"/>
    <xf numFmtId="164" fontId="0" fillId="2" borderId="4" xfId="0" applyNumberFormat="1" applyFill="1" applyBorder="1"/>
    <xf numFmtId="0" fontId="0" fillId="0" borderId="3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4" xfId="0" applyBorder="1" applyAlignment="1">
      <alignment vertical="top"/>
    </xf>
    <xf numFmtId="0" fontId="0" fillId="3" borderId="16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right"/>
    </xf>
    <xf numFmtId="0" fontId="0" fillId="3" borderId="6" xfId="0" applyFill="1" applyBorder="1" applyProtection="1"/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8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6" xfId="0" applyFill="1" applyBorder="1" applyAlignment="1" applyProtection="1">
      <alignment horizontal="left"/>
    </xf>
    <xf numFmtId="0" fontId="4" fillId="3" borderId="16" xfId="0" applyFont="1" applyFill="1" applyBorder="1" applyAlignment="1" applyProtection="1">
      <alignment horizontal="left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4">
    <cellStyle name="Normal" xfId="0" builtinId="0"/>
    <cellStyle name="Normal 4" xfId="1"/>
    <cellStyle name="Normal 5" xfId="2"/>
    <cellStyle name="Normal 6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Test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Report!$G$15:$G$64</c:f>
              <c:numCache>
                <c:formatCode>0.0000</c:formatCode>
                <c:ptCount val="50"/>
              </c:numCache>
            </c:numRef>
          </c:xVal>
          <c:yVal>
            <c:numRef>
              <c:f>Report!$H$15:$H$64</c:f>
              <c:numCache>
                <c:formatCode>0.0000</c:formatCode>
                <c:ptCount val="50"/>
              </c:numCache>
            </c:numRef>
          </c:yVal>
        </c:ser>
        <c:ser>
          <c:idx val="1"/>
          <c:order val="1"/>
          <c:tx>
            <c:v>CEP_Top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'Other Stats'!$B$8:$B$48</c:f>
              <c:numCache>
                <c:formatCode>General</c:formatCode>
                <c:ptCount val="41"/>
                <c:pt idx="0">
                  <c:v>-0.5</c:v>
                </c:pt>
                <c:pt idx="1">
                  <c:v>-0.47499999999999998</c:v>
                </c:pt>
                <c:pt idx="2">
                  <c:v>-0.45</c:v>
                </c:pt>
                <c:pt idx="3">
                  <c:v>-0.42499999999999999</c:v>
                </c:pt>
                <c:pt idx="4">
                  <c:v>-0.4</c:v>
                </c:pt>
                <c:pt idx="5">
                  <c:v>-0.375</c:v>
                </c:pt>
                <c:pt idx="6">
                  <c:v>-0.35</c:v>
                </c:pt>
                <c:pt idx="7">
                  <c:v>-0.32500000000000001</c:v>
                </c:pt>
                <c:pt idx="8">
                  <c:v>-0.3</c:v>
                </c:pt>
                <c:pt idx="9">
                  <c:v>-0.27500000000000002</c:v>
                </c:pt>
                <c:pt idx="10">
                  <c:v>-0.25</c:v>
                </c:pt>
                <c:pt idx="11">
                  <c:v>-0.22500000000000001</c:v>
                </c:pt>
                <c:pt idx="12">
                  <c:v>-0.2</c:v>
                </c:pt>
                <c:pt idx="13">
                  <c:v>-0.17499999999999999</c:v>
                </c:pt>
                <c:pt idx="14">
                  <c:v>-0.15</c:v>
                </c:pt>
                <c:pt idx="15">
                  <c:v>-0.125</c:v>
                </c:pt>
                <c:pt idx="16">
                  <c:v>-0.1</c:v>
                </c:pt>
                <c:pt idx="17">
                  <c:v>-7.4999999999999997E-2</c:v>
                </c:pt>
                <c:pt idx="18">
                  <c:v>-0.05</c:v>
                </c:pt>
                <c:pt idx="19">
                  <c:v>-2.5000000000000001E-2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7.4999999999999997E-2</c:v>
                </c:pt>
                <c:pt idx="24">
                  <c:v>0.1</c:v>
                </c:pt>
                <c:pt idx="25">
                  <c:v>0.125</c:v>
                </c:pt>
                <c:pt idx="26">
                  <c:v>0.15</c:v>
                </c:pt>
                <c:pt idx="27">
                  <c:v>0.17499999999999999</c:v>
                </c:pt>
                <c:pt idx="28">
                  <c:v>0.2</c:v>
                </c:pt>
                <c:pt idx="29">
                  <c:v>0.22500000000000001</c:v>
                </c:pt>
                <c:pt idx="30">
                  <c:v>0.25</c:v>
                </c:pt>
                <c:pt idx="31">
                  <c:v>0.27500000000000002</c:v>
                </c:pt>
                <c:pt idx="32">
                  <c:v>0.3</c:v>
                </c:pt>
                <c:pt idx="33">
                  <c:v>0.32500000000000001</c:v>
                </c:pt>
                <c:pt idx="34">
                  <c:v>0.35</c:v>
                </c:pt>
                <c:pt idx="35">
                  <c:v>0.375</c:v>
                </c:pt>
                <c:pt idx="36">
                  <c:v>0.4</c:v>
                </c:pt>
                <c:pt idx="37">
                  <c:v>0.42499999999999999</c:v>
                </c:pt>
                <c:pt idx="38">
                  <c:v>0.45</c:v>
                </c:pt>
                <c:pt idx="39">
                  <c:v>0.47499999999999998</c:v>
                </c:pt>
                <c:pt idx="40">
                  <c:v>0.5</c:v>
                </c:pt>
              </c:numCache>
            </c:numRef>
          </c:xVal>
          <c:yVal>
            <c:numRef>
              <c:f>'Other Stats'!$C$8:$C$48</c:f>
              <c:numCache>
                <c:formatCode>General</c:formatCode>
                <c:ptCount val="41"/>
                <c:pt idx="0">
                  <c:v>0</c:v>
                </c:pt>
                <c:pt idx="1">
                  <c:v>0.15612494995995999</c:v>
                </c:pt>
                <c:pt idx="2">
                  <c:v>0.21794494717703364</c:v>
                </c:pt>
                <c:pt idx="3">
                  <c:v>0.26339134382131851</c:v>
                </c:pt>
                <c:pt idx="4">
                  <c:v>0.29999999999999993</c:v>
                </c:pt>
                <c:pt idx="5">
                  <c:v>0.33071891388307384</c:v>
                </c:pt>
                <c:pt idx="6">
                  <c:v>0.35707142142714249</c:v>
                </c:pt>
                <c:pt idx="7">
                  <c:v>0.37996710383926657</c:v>
                </c:pt>
                <c:pt idx="8">
                  <c:v>0.4</c:v>
                </c:pt>
                <c:pt idx="9">
                  <c:v>0.41758232721225164</c:v>
                </c:pt>
                <c:pt idx="10">
                  <c:v>0.4330127018922193</c:v>
                </c:pt>
                <c:pt idx="11">
                  <c:v>0.44651427748729378</c:v>
                </c:pt>
                <c:pt idx="12">
                  <c:v>0.45825756949558399</c:v>
                </c:pt>
                <c:pt idx="13">
                  <c:v>0.46837484987987987</c:v>
                </c:pt>
                <c:pt idx="14">
                  <c:v>0.47696960070847283</c:v>
                </c:pt>
                <c:pt idx="15">
                  <c:v>0.48412291827592713</c:v>
                </c:pt>
                <c:pt idx="16">
                  <c:v>0.4898979485566356</c:v>
                </c:pt>
                <c:pt idx="17">
                  <c:v>0.49434299833212975</c:v>
                </c:pt>
                <c:pt idx="18">
                  <c:v>0.49749371855330998</c:v>
                </c:pt>
                <c:pt idx="19">
                  <c:v>0.49937460888595447</c:v>
                </c:pt>
                <c:pt idx="20">
                  <c:v>0.5</c:v>
                </c:pt>
                <c:pt idx="21">
                  <c:v>0.49937460888595447</c:v>
                </c:pt>
                <c:pt idx="22">
                  <c:v>0.49749371855330998</c:v>
                </c:pt>
                <c:pt idx="23">
                  <c:v>0.49434299833212975</c:v>
                </c:pt>
                <c:pt idx="24">
                  <c:v>0.4898979485566356</c:v>
                </c:pt>
                <c:pt idx="25">
                  <c:v>0.48412291827592713</c:v>
                </c:pt>
                <c:pt idx="26">
                  <c:v>0.47696960070847283</c:v>
                </c:pt>
                <c:pt idx="27">
                  <c:v>0.46837484987987987</c:v>
                </c:pt>
                <c:pt idx="28">
                  <c:v>0.45825756949558399</c:v>
                </c:pt>
                <c:pt idx="29">
                  <c:v>0.44651427748729378</c:v>
                </c:pt>
                <c:pt idx="30">
                  <c:v>0.4330127018922193</c:v>
                </c:pt>
                <c:pt idx="31">
                  <c:v>0.41758232721225164</c:v>
                </c:pt>
                <c:pt idx="32">
                  <c:v>0.4</c:v>
                </c:pt>
                <c:pt idx="33">
                  <c:v>0.37996710383926657</c:v>
                </c:pt>
                <c:pt idx="34">
                  <c:v>0.35707142142714249</c:v>
                </c:pt>
                <c:pt idx="35">
                  <c:v>0.33071891388307384</c:v>
                </c:pt>
                <c:pt idx="36">
                  <c:v>0.29999999999999993</c:v>
                </c:pt>
                <c:pt idx="37">
                  <c:v>0.26339134382131851</c:v>
                </c:pt>
                <c:pt idx="38">
                  <c:v>0.21794494717703364</c:v>
                </c:pt>
                <c:pt idx="39">
                  <c:v>0.15612494995995999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CEP_Bottom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'Other Stats'!$B$8:$B$48</c:f>
              <c:numCache>
                <c:formatCode>General</c:formatCode>
                <c:ptCount val="41"/>
                <c:pt idx="0">
                  <c:v>-0.5</c:v>
                </c:pt>
                <c:pt idx="1">
                  <c:v>-0.47499999999999998</c:v>
                </c:pt>
                <c:pt idx="2">
                  <c:v>-0.45</c:v>
                </c:pt>
                <c:pt idx="3">
                  <c:v>-0.42499999999999999</c:v>
                </c:pt>
                <c:pt idx="4">
                  <c:v>-0.4</c:v>
                </c:pt>
                <c:pt idx="5">
                  <c:v>-0.375</c:v>
                </c:pt>
                <c:pt idx="6">
                  <c:v>-0.35</c:v>
                </c:pt>
                <c:pt idx="7">
                  <c:v>-0.32500000000000001</c:v>
                </c:pt>
                <c:pt idx="8">
                  <c:v>-0.3</c:v>
                </c:pt>
                <c:pt idx="9">
                  <c:v>-0.27500000000000002</c:v>
                </c:pt>
                <c:pt idx="10">
                  <c:v>-0.25</c:v>
                </c:pt>
                <c:pt idx="11">
                  <c:v>-0.22500000000000001</c:v>
                </c:pt>
                <c:pt idx="12">
                  <c:v>-0.2</c:v>
                </c:pt>
                <c:pt idx="13">
                  <c:v>-0.17499999999999999</c:v>
                </c:pt>
                <c:pt idx="14">
                  <c:v>-0.15</c:v>
                </c:pt>
                <c:pt idx="15">
                  <c:v>-0.125</c:v>
                </c:pt>
                <c:pt idx="16">
                  <c:v>-0.1</c:v>
                </c:pt>
                <c:pt idx="17">
                  <c:v>-7.4999999999999997E-2</c:v>
                </c:pt>
                <c:pt idx="18">
                  <c:v>-0.05</c:v>
                </c:pt>
                <c:pt idx="19">
                  <c:v>-2.5000000000000001E-2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7.4999999999999997E-2</c:v>
                </c:pt>
                <c:pt idx="24">
                  <c:v>0.1</c:v>
                </c:pt>
                <c:pt idx="25">
                  <c:v>0.125</c:v>
                </c:pt>
                <c:pt idx="26">
                  <c:v>0.15</c:v>
                </c:pt>
                <c:pt idx="27">
                  <c:v>0.17499999999999999</c:v>
                </c:pt>
                <c:pt idx="28">
                  <c:v>0.2</c:v>
                </c:pt>
                <c:pt idx="29">
                  <c:v>0.22500000000000001</c:v>
                </c:pt>
                <c:pt idx="30">
                  <c:v>0.25</c:v>
                </c:pt>
                <c:pt idx="31">
                  <c:v>0.27500000000000002</c:v>
                </c:pt>
                <c:pt idx="32">
                  <c:v>0.3</c:v>
                </c:pt>
                <c:pt idx="33">
                  <c:v>0.32500000000000001</c:v>
                </c:pt>
                <c:pt idx="34">
                  <c:v>0.35</c:v>
                </c:pt>
                <c:pt idx="35">
                  <c:v>0.375</c:v>
                </c:pt>
                <c:pt idx="36">
                  <c:v>0.4</c:v>
                </c:pt>
                <c:pt idx="37">
                  <c:v>0.42499999999999999</c:v>
                </c:pt>
                <c:pt idx="38">
                  <c:v>0.45</c:v>
                </c:pt>
                <c:pt idx="39">
                  <c:v>0.47499999999999998</c:v>
                </c:pt>
                <c:pt idx="40">
                  <c:v>0.5</c:v>
                </c:pt>
              </c:numCache>
            </c:numRef>
          </c:xVal>
          <c:yVal>
            <c:numRef>
              <c:f>'Other Stats'!$D$8:$D$48</c:f>
              <c:numCache>
                <c:formatCode>General</c:formatCode>
                <c:ptCount val="41"/>
                <c:pt idx="0">
                  <c:v>0</c:v>
                </c:pt>
                <c:pt idx="1">
                  <c:v>-0.15612494995995999</c:v>
                </c:pt>
                <c:pt idx="2">
                  <c:v>-0.21794494717703364</c:v>
                </c:pt>
                <c:pt idx="3">
                  <c:v>-0.26339134382131851</c:v>
                </c:pt>
                <c:pt idx="4">
                  <c:v>-0.29999999999999993</c:v>
                </c:pt>
                <c:pt idx="5">
                  <c:v>-0.33071891388307384</c:v>
                </c:pt>
                <c:pt idx="6">
                  <c:v>-0.35707142142714249</c:v>
                </c:pt>
                <c:pt idx="7">
                  <c:v>-0.37996710383926657</c:v>
                </c:pt>
                <c:pt idx="8">
                  <c:v>-0.4</c:v>
                </c:pt>
                <c:pt idx="9">
                  <c:v>-0.41758232721225164</c:v>
                </c:pt>
                <c:pt idx="10">
                  <c:v>-0.4330127018922193</c:v>
                </c:pt>
                <c:pt idx="11">
                  <c:v>-0.44651427748729378</c:v>
                </c:pt>
                <c:pt idx="12">
                  <c:v>-0.45825756949558399</c:v>
                </c:pt>
                <c:pt idx="13">
                  <c:v>-0.46837484987987987</c:v>
                </c:pt>
                <c:pt idx="14">
                  <c:v>-0.47696960070847283</c:v>
                </c:pt>
                <c:pt idx="15">
                  <c:v>-0.48412291827592713</c:v>
                </c:pt>
                <c:pt idx="16">
                  <c:v>-0.4898979485566356</c:v>
                </c:pt>
                <c:pt idx="17">
                  <c:v>-0.49434299833212975</c:v>
                </c:pt>
                <c:pt idx="18">
                  <c:v>-0.49749371855330998</c:v>
                </c:pt>
                <c:pt idx="19">
                  <c:v>-0.49937460888595447</c:v>
                </c:pt>
                <c:pt idx="20">
                  <c:v>-0.5</c:v>
                </c:pt>
                <c:pt idx="21">
                  <c:v>-0.49937460888595447</c:v>
                </c:pt>
                <c:pt idx="22">
                  <c:v>-0.49749371855330998</c:v>
                </c:pt>
                <c:pt idx="23">
                  <c:v>-0.49434299833212975</c:v>
                </c:pt>
                <c:pt idx="24">
                  <c:v>-0.4898979485566356</c:v>
                </c:pt>
                <c:pt idx="25">
                  <c:v>-0.48412291827592713</c:v>
                </c:pt>
                <c:pt idx="26">
                  <c:v>-0.47696960070847283</c:v>
                </c:pt>
                <c:pt idx="27">
                  <c:v>-0.46837484987987987</c:v>
                </c:pt>
                <c:pt idx="28">
                  <c:v>-0.45825756949558399</c:v>
                </c:pt>
                <c:pt idx="29">
                  <c:v>-0.44651427748729378</c:v>
                </c:pt>
                <c:pt idx="30">
                  <c:v>-0.4330127018922193</c:v>
                </c:pt>
                <c:pt idx="31">
                  <c:v>-0.41758232721225164</c:v>
                </c:pt>
                <c:pt idx="32">
                  <c:v>-0.4</c:v>
                </c:pt>
                <c:pt idx="33">
                  <c:v>-0.37996710383926657</c:v>
                </c:pt>
                <c:pt idx="34">
                  <c:v>-0.35707142142714249</c:v>
                </c:pt>
                <c:pt idx="35">
                  <c:v>-0.33071891388307384</c:v>
                </c:pt>
                <c:pt idx="36">
                  <c:v>-0.29999999999999993</c:v>
                </c:pt>
                <c:pt idx="37">
                  <c:v>-0.26339134382131851</c:v>
                </c:pt>
                <c:pt idx="38">
                  <c:v>-0.21794494717703364</c:v>
                </c:pt>
                <c:pt idx="39">
                  <c:v>-0.15612494995995999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ExtremeSpreadLine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('Other Stats'!$K$9,'Other Stats'!$K$12)</c:f>
              <c:numCache>
                <c:formatCode>General</c:formatCode>
                <c:ptCount val="2"/>
              </c:numCache>
            </c:numRef>
          </c:xVal>
          <c:yVal>
            <c:numRef>
              <c:f>('Other Stats'!$K$10,'Other Stats'!$K$13)</c:f>
              <c:numCache>
                <c:formatCode>General</c:formatCode>
                <c:ptCount val="2"/>
              </c:numCache>
            </c:numRef>
          </c:yVal>
        </c:ser>
        <c:ser>
          <c:idx val="4"/>
          <c:order val="4"/>
          <c:tx>
            <c:v>Mean_Top</c:v>
          </c:tx>
          <c:spPr>
            <a:ln w="28575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'Other Stats'!$M$8:$M$48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'Other Stats'!$N$8:$N$48</c:f>
              <c:numCache>
                <c:formatCode>General</c:formatCode>
                <c:ptCount val="41"/>
                <c:pt idx="0">
                  <c:v>0</c:v>
                </c:pt>
                <c:pt idx="1">
                  <c:v>0.31224989991991997</c:v>
                </c:pt>
                <c:pt idx="2">
                  <c:v>0.43588989435406728</c:v>
                </c:pt>
                <c:pt idx="3">
                  <c:v>0.52678268764263703</c:v>
                </c:pt>
                <c:pt idx="4">
                  <c:v>0.59999999999999987</c:v>
                </c:pt>
                <c:pt idx="5">
                  <c:v>0.66143782776614768</c:v>
                </c:pt>
                <c:pt idx="6">
                  <c:v>0.71414284285428498</c:v>
                </c:pt>
                <c:pt idx="7">
                  <c:v>0.75993420767853315</c:v>
                </c:pt>
                <c:pt idx="8">
                  <c:v>0.8</c:v>
                </c:pt>
                <c:pt idx="9">
                  <c:v>0.83516465442450327</c:v>
                </c:pt>
                <c:pt idx="10">
                  <c:v>0.8660254037844386</c:v>
                </c:pt>
                <c:pt idx="11">
                  <c:v>0.89302855497458755</c:v>
                </c:pt>
                <c:pt idx="12">
                  <c:v>0.91651513899116799</c:v>
                </c:pt>
                <c:pt idx="13">
                  <c:v>0.93674969975975975</c:v>
                </c:pt>
                <c:pt idx="14">
                  <c:v>0.95393920141694566</c:v>
                </c:pt>
                <c:pt idx="15">
                  <c:v>0.96824583655185426</c:v>
                </c:pt>
                <c:pt idx="16">
                  <c:v>0.9797958971132712</c:v>
                </c:pt>
                <c:pt idx="17">
                  <c:v>0.98868599666425949</c:v>
                </c:pt>
                <c:pt idx="18">
                  <c:v>0.99498743710661997</c:v>
                </c:pt>
                <c:pt idx="19">
                  <c:v>0.99874921777190895</c:v>
                </c:pt>
                <c:pt idx="20">
                  <c:v>1</c:v>
                </c:pt>
                <c:pt idx="21">
                  <c:v>0.99874921777190895</c:v>
                </c:pt>
                <c:pt idx="22">
                  <c:v>0.99498743710661997</c:v>
                </c:pt>
                <c:pt idx="23">
                  <c:v>0.98868599666425949</c:v>
                </c:pt>
                <c:pt idx="24">
                  <c:v>0.9797958971132712</c:v>
                </c:pt>
                <c:pt idx="25">
                  <c:v>0.96824583655185426</c:v>
                </c:pt>
                <c:pt idx="26">
                  <c:v>0.95393920141694566</c:v>
                </c:pt>
                <c:pt idx="27">
                  <c:v>0.93674969975975975</c:v>
                </c:pt>
                <c:pt idx="28">
                  <c:v>0.91651513899116799</c:v>
                </c:pt>
                <c:pt idx="29">
                  <c:v>0.89302855497458755</c:v>
                </c:pt>
                <c:pt idx="30">
                  <c:v>0.8660254037844386</c:v>
                </c:pt>
                <c:pt idx="31">
                  <c:v>0.83516465442450327</c:v>
                </c:pt>
                <c:pt idx="32">
                  <c:v>0.8</c:v>
                </c:pt>
                <c:pt idx="33">
                  <c:v>0.75993420767853315</c:v>
                </c:pt>
                <c:pt idx="34">
                  <c:v>0.71414284285428498</c:v>
                </c:pt>
                <c:pt idx="35">
                  <c:v>0.66143782776614768</c:v>
                </c:pt>
                <c:pt idx="36">
                  <c:v>0.59999999999999987</c:v>
                </c:pt>
                <c:pt idx="37">
                  <c:v>0.52678268764263703</c:v>
                </c:pt>
                <c:pt idx="38">
                  <c:v>0.43588989435406728</c:v>
                </c:pt>
                <c:pt idx="39">
                  <c:v>0.31224989991991997</c:v>
                </c:pt>
                <c:pt idx="40">
                  <c:v>0</c:v>
                </c:pt>
              </c:numCache>
            </c:numRef>
          </c:yVal>
        </c:ser>
        <c:ser>
          <c:idx val="5"/>
          <c:order val="5"/>
          <c:tx>
            <c:v>Mean_Bottom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'Other Stats'!$M$8:$M$48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'Other Stats'!$O$8:$O$48</c:f>
              <c:numCache>
                <c:formatCode>General</c:formatCode>
                <c:ptCount val="41"/>
                <c:pt idx="0">
                  <c:v>0</c:v>
                </c:pt>
                <c:pt idx="1">
                  <c:v>-0.31224989991991997</c:v>
                </c:pt>
                <c:pt idx="2">
                  <c:v>-0.43588989435406728</c:v>
                </c:pt>
                <c:pt idx="3">
                  <c:v>-0.52678268764263703</c:v>
                </c:pt>
                <c:pt idx="4">
                  <c:v>-0.59999999999999987</c:v>
                </c:pt>
                <c:pt idx="5">
                  <c:v>-0.66143782776614768</c:v>
                </c:pt>
                <c:pt idx="6">
                  <c:v>-0.71414284285428498</c:v>
                </c:pt>
                <c:pt idx="7">
                  <c:v>-0.75993420767853315</c:v>
                </c:pt>
                <c:pt idx="8">
                  <c:v>-0.8</c:v>
                </c:pt>
                <c:pt idx="9">
                  <c:v>-0.83516465442450327</c:v>
                </c:pt>
                <c:pt idx="10">
                  <c:v>-0.8660254037844386</c:v>
                </c:pt>
                <c:pt idx="11">
                  <c:v>-0.89302855497458755</c:v>
                </c:pt>
                <c:pt idx="12">
                  <c:v>-0.91651513899116799</c:v>
                </c:pt>
                <c:pt idx="13">
                  <c:v>-0.93674969975975975</c:v>
                </c:pt>
                <c:pt idx="14">
                  <c:v>-0.95393920141694566</c:v>
                </c:pt>
                <c:pt idx="15">
                  <c:v>-0.96824583655185426</c:v>
                </c:pt>
                <c:pt idx="16">
                  <c:v>-0.9797958971132712</c:v>
                </c:pt>
                <c:pt idx="17">
                  <c:v>-0.98868599666425949</c:v>
                </c:pt>
                <c:pt idx="18">
                  <c:v>-0.99498743710661997</c:v>
                </c:pt>
                <c:pt idx="19">
                  <c:v>-0.99874921777190895</c:v>
                </c:pt>
                <c:pt idx="20">
                  <c:v>-1</c:v>
                </c:pt>
                <c:pt idx="21">
                  <c:v>-0.99874921777190895</c:v>
                </c:pt>
                <c:pt idx="22">
                  <c:v>-0.99498743710661997</c:v>
                </c:pt>
                <c:pt idx="23">
                  <c:v>-0.98868599666425949</c:v>
                </c:pt>
                <c:pt idx="24">
                  <c:v>-0.9797958971132712</c:v>
                </c:pt>
                <c:pt idx="25">
                  <c:v>-0.96824583655185426</c:v>
                </c:pt>
                <c:pt idx="26">
                  <c:v>-0.95393920141694566</c:v>
                </c:pt>
                <c:pt idx="27">
                  <c:v>-0.93674969975975975</c:v>
                </c:pt>
                <c:pt idx="28">
                  <c:v>-0.91651513899116799</c:v>
                </c:pt>
                <c:pt idx="29">
                  <c:v>-0.89302855497458755</c:v>
                </c:pt>
                <c:pt idx="30">
                  <c:v>-0.8660254037844386</c:v>
                </c:pt>
                <c:pt idx="31">
                  <c:v>-0.83516465442450327</c:v>
                </c:pt>
                <c:pt idx="32">
                  <c:v>-0.8</c:v>
                </c:pt>
                <c:pt idx="33">
                  <c:v>-0.75993420767853315</c:v>
                </c:pt>
                <c:pt idx="34">
                  <c:v>-0.71414284285428498</c:v>
                </c:pt>
                <c:pt idx="35">
                  <c:v>-0.66143782776614768</c:v>
                </c:pt>
                <c:pt idx="36">
                  <c:v>-0.59999999999999987</c:v>
                </c:pt>
                <c:pt idx="37">
                  <c:v>-0.52678268764263703</c:v>
                </c:pt>
                <c:pt idx="38">
                  <c:v>-0.43588989435406728</c:v>
                </c:pt>
                <c:pt idx="39">
                  <c:v>-0.31224989991991997</c:v>
                </c:pt>
                <c:pt idx="40">
                  <c:v>0</c:v>
                </c:pt>
              </c:numCache>
            </c:numRef>
          </c:yVal>
        </c:ser>
        <c:ser>
          <c:idx val="6"/>
          <c:order val="6"/>
          <c:tx>
            <c:v>TopRight</c:v>
          </c:tx>
          <c:spPr>
            <a:ln w="28575">
              <a:noFill/>
            </a:ln>
          </c:spPr>
          <c:marker>
            <c:symbol val="none"/>
          </c:marker>
          <c:xVal>
            <c:numRef>
              <c:f>'Other Stats'!$E$5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'Other Stats'!$E$5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7"/>
          <c:order val="7"/>
          <c:tx>
            <c:v>BottomLeft</c:v>
          </c:tx>
          <c:spPr>
            <a:ln w="28575">
              <a:noFill/>
            </a:ln>
          </c:spPr>
          <c:marker>
            <c:symbol val="none"/>
          </c:marker>
          <c:xVal>
            <c:numRef>
              <c:f>'Other Stats'!$E$6</c:f>
              <c:numCache>
                <c:formatCode>General</c:formatCode>
                <c:ptCount val="1"/>
                <c:pt idx="0">
                  <c:v>-1</c:v>
                </c:pt>
              </c:numCache>
            </c:numRef>
          </c:xVal>
          <c:yVal>
            <c:numRef>
              <c:f>'Other Stats'!$E$6</c:f>
              <c:numCache>
                <c:formatCode>General</c:formatCode>
                <c:ptCount val="1"/>
                <c:pt idx="0">
                  <c:v>-1</c:v>
                </c:pt>
              </c:numCache>
            </c:numRef>
          </c:yVal>
        </c:ser>
        <c:axId val="68319872"/>
        <c:axId val="68342144"/>
      </c:scatterChart>
      <c:valAx>
        <c:axId val="68319872"/>
        <c:scaling>
          <c:orientation val="minMax"/>
        </c:scaling>
        <c:axPos val="b"/>
        <c:numFmt formatCode="0.00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342144"/>
        <c:crosses val="autoZero"/>
        <c:crossBetween val="midCat"/>
      </c:valAx>
      <c:valAx>
        <c:axId val="68342144"/>
        <c:scaling>
          <c:orientation val="minMax"/>
        </c:scaling>
        <c:axPos val="l"/>
        <c:numFmt formatCode="0.0000" sourceLinked="1"/>
        <c:tickLblPos val="nextTo"/>
        <c:crossAx val="68319872"/>
        <c:crosses val="autoZero"/>
        <c:crossBetween val="midCat"/>
      </c:valAx>
    </c:plotArea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</xdr:rowOff>
    </xdr:from>
    <xdr:to>
      <xdr:col>4</xdr:col>
      <xdr:colOff>727605</xdr:colOff>
      <xdr:row>43</xdr:row>
      <xdr:rowOff>145521</xdr:rowOff>
    </xdr:to>
    <xdr:graphicFrame macro="">
      <xdr:nvGraphicFramePr>
        <xdr:cNvPr id="10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"/>
  <sheetViews>
    <sheetView showGridLines="0" tabSelected="1" zoomScale="72" zoomScaleNormal="72" workbookViewId="0">
      <selection activeCell="F1" sqref="F1:H1"/>
    </sheetView>
  </sheetViews>
  <sheetFormatPr defaultRowHeight="15"/>
  <cols>
    <col min="1" max="1" width="40.7109375" customWidth="1"/>
    <col min="2" max="2" width="15.28515625" customWidth="1"/>
    <col min="3" max="8" width="11.42578125" customWidth="1"/>
  </cols>
  <sheetData>
    <row r="1" spans="1:8">
      <c r="A1" s="3"/>
      <c r="B1" s="7" t="s">
        <v>0</v>
      </c>
      <c r="C1" s="66"/>
      <c r="D1" s="66"/>
      <c r="E1" s="67"/>
      <c r="F1" s="59" t="s">
        <v>39</v>
      </c>
      <c r="G1" s="60"/>
      <c r="H1" s="61"/>
    </row>
    <row r="2" spans="1:8">
      <c r="A2" s="4"/>
      <c r="B2" s="41" t="s">
        <v>38</v>
      </c>
      <c r="C2" s="68"/>
      <c r="D2" s="68"/>
      <c r="E2" s="69"/>
      <c r="F2" s="64" t="s">
        <v>12</v>
      </c>
      <c r="G2" s="65"/>
      <c r="H2" s="42"/>
    </row>
    <row r="3" spans="1:8">
      <c r="A3" s="4"/>
      <c r="B3" s="40" t="s">
        <v>37</v>
      </c>
      <c r="C3" s="62"/>
      <c r="D3" s="62"/>
      <c r="E3" s="63"/>
      <c r="F3" s="64" t="s">
        <v>13</v>
      </c>
      <c r="G3" s="65"/>
      <c r="H3" s="42"/>
    </row>
    <row r="4" spans="1:8">
      <c r="A4" s="4"/>
      <c r="B4" s="16" t="s">
        <v>1</v>
      </c>
      <c r="C4" s="62"/>
      <c r="D4" s="62"/>
      <c r="E4" s="63"/>
      <c r="F4" s="64" t="s">
        <v>14</v>
      </c>
      <c r="G4" s="65"/>
      <c r="H4" s="42"/>
    </row>
    <row r="5" spans="1:8">
      <c r="A5" s="4"/>
      <c r="B5" s="16" t="s">
        <v>2</v>
      </c>
      <c r="C5" s="62"/>
      <c r="D5" s="62"/>
      <c r="E5" s="63"/>
      <c r="F5" s="64" t="s">
        <v>42</v>
      </c>
      <c r="G5" s="65"/>
      <c r="H5" s="42"/>
    </row>
    <row r="6" spans="1:8" ht="15.75" thickBot="1">
      <c r="A6" s="4"/>
      <c r="B6" s="17" t="s">
        <v>3</v>
      </c>
      <c r="C6" s="70"/>
      <c r="D6" s="70"/>
      <c r="E6" s="71"/>
      <c r="F6" s="64" t="s">
        <v>15</v>
      </c>
      <c r="G6" s="65"/>
      <c r="H6" s="42"/>
    </row>
    <row r="7" spans="1:8">
      <c r="A7" s="4"/>
      <c r="B7" s="7" t="s">
        <v>4</v>
      </c>
      <c r="C7" s="66"/>
      <c r="D7" s="66"/>
      <c r="E7" s="67"/>
      <c r="F7" s="64" t="s">
        <v>16</v>
      </c>
      <c r="G7" s="65"/>
      <c r="H7" s="42"/>
    </row>
    <row r="8" spans="1:8">
      <c r="A8" s="4"/>
      <c r="B8" s="16" t="s">
        <v>5</v>
      </c>
      <c r="C8" s="62"/>
      <c r="D8" s="62"/>
      <c r="E8" s="63"/>
      <c r="F8" s="64" t="s">
        <v>17</v>
      </c>
      <c r="G8" s="65"/>
      <c r="H8" s="42"/>
    </row>
    <row r="9" spans="1:8">
      <c r="A9" s="4"/>
      <c r="B9" s="39" t="s">
        <v>36</v>
      </c>
      <c r="C9" s="62"/>
      <c r="D9" s="62"/>
      <c r="E9" s="63"/>
      <c r="F9" s="64" t="s">
        <v>18</v>
      </c>
      <c r="G9" s="65"/>
      <c r="H9" s="42"/>
    </row>
    <row r="10" spans="1:8">
      <c r="A10" s="4"/>
      <c r="B10" s="16" t="s">
        <v>6</v>
      </c>
      <c r="C10" s="62"/>
      <c r="D10" s="62"/>
      <c r="E10" s="63"/>
      <c r="F10" s="64" t="s">
        <v>19</v>
      </c>
      <c r="G10" s="65"/>
      <c r="H10" s="42"/>
    </row>
    <row r="11" spans="1:8">
      <c r="A11" s="4"/>
      <c r="B11" s="38" t="s">
        <v>7</v>
      </c>
      <c r="C11" s="62"/>
      <c r="D11" s="62"/>
      <c r="E11" s="63"/>
      <c r="F11" s="64" t="s">
        <v>20</v>
      </c>
      <c r="G11" s="65"/>
      <c r="H11" s="42"/>
    </row>
    <row r="12" spans="1:8" ht="15.75" thickBot="1">
      <c r="A12" s="26"/>
      <c r="B12" s="34"/>
      <c r="C12" s="36"/>
      <c r="D12" s="36"/>
      <c r="E12" s="37"/>
      <c r="F12" s="34"/>
      <c r="G12" s="35" t="s">
        <v>48</v>
      </c>
      <c r="H12" s="43"/>
    </row>
    <row r="13" spans="1:8" ht="15" customHeight="1">
      <c r="A13" s="78" t="s">
        <v>11</v>
      </c>
      <c r="B13" s="79"/>
      <c r="C13" s="79"/>
      <c r="D13" s="79"/>
      <c r="E13" s="80"/>
      <c r="F13" s="59" t="s">
        <v>40</v>
      </c>
      <c r="G13" s="76"/>
      <c r="H13" s="77"/>
    </row>
    <row r="14" spans="1:8" ht="15" customHeight="1">
      <c r="A14" s="81"/>
      <c r="B14" s="82"/>
      <c r="C14" s="82"/>
      <c r="D14" s="82"/>
      <c r="E14" s="83"/>
      <c r="F14" s="24" t="s">
        <v>8</v>
      </c>
      <c r="G14" s="1" t="s">
        <v>9</v>
      </c>
      <c r="H14" s="2" t="s">
        <v>10</v>
      </c>
    </row>
    <row r="15" spans="1:8">
      <c r="A15" s="8"/>
      <c r="B15" s="15"/>
      <c r="C15" s="19"/>
      <c r="D15" s="21"/>
      <c r="E15" s="28"/>
      <c r="F15" s="5">
        <v>1</v>
      </c>
      <c r="G15" s="45"/>
      <c r="H15" s="48"/>
    </row>
    <row r="16" spans="1:8">
      <c r="A16" s="9"/>
      <c r="B16" s="13"/>
      <c r="C16" s="19"/>
      <c r="D16" s="21"/>
      <c r="E16" s="28"/>
      <c r="F16" s="6">
        <v>2</v>
      </c>
      <c r="G16" s="44"/>
      <c r="H16" s="47"/>
    </row>
    <row r="17" spans="1:8">
      <c r="A17" s="9"/>
      <c r="B17" s="13"/>
      <c r="C17" s="19"/>
      <c r="D17" s="21"/>
      <c r="E17" s="28"/>
      <c r="F17" s="5">
        <v>3</v>
      </c>
      <c r="G17" s="45"/>
      <c r="H17" s="48"/>
    </row>
    <row r="18" spans="1:8">
      <c r="A18" s="9"/>
      <c r="B18" s="13"/>
      <c r="C18" s="19"/>
      <c r="D18" s="21"/>
      <c r="E18" s="28"/>
      <c r="F18" s="6">
        <v>4</v>
      </c>
      <c r="G18" s="44"/>
      <c r="H18" s="47"/>
    </row>
    <row r="19" spans="1:8">
      <c r="A19" s="9"/>
      <c r="B19" s="13"/>
      <c r="C19" s="19"/>
      <c r="D19" s="21"/>
      <c r="E19" s="28"/>
      <c r="F19" s="5">
        <v>5</v>
      </c>
      <c r="G19" s="45"/>
      <c r="H19" s="48"/>
    </row>
    <row r="20" spans="1:8">
      <c r="A20" s="9"/>
      <c r="B20" s="13"/>
      <c r="C20" s="19"/>
      <c r="D20" s="22"/>
      <c r="E20" s="29"/>
      <c r="F20" s="6">
        <v>6</v>
      </c>
      <c r="G20" s="44"/>
      <c r="H20" s="47"/>
    </row>
    <row r="21" spans="1:8">
      <c r="A21" s="9"/>
      <c r="B21" s="13"/>
      <c r="C21" s="19"/>
      <c r="D21" s="22"/>
      <c r="E21" s="29"/>
      <c r="F21" s="5">
        <v>7</v>
      </c>
      <c r="G21" s="45"/>
      <c r="H21" s="48"/>
    </row>
    <row r="22" spans="1:8">
      <c r="A22" s="9"/>
      <c r="B22" s="13"/>
      <c r="C22" s="19"/>
      <c r="D22" s="22"/>
      <c r="E22" s="29"/>
      <c r="F22" s="6">
        <v>8</v>
      </c>
      <c r="G22" s="44"/>
      <c r="H22" s="47"/>
    </row>
    <row r="23" spans="1:8">
      <c r="A23" s="9"/>
      <c r="B23" s="13"/>
      <c r="C23" s="19"/>
      <c r="D23" s="22"/>
      <c r="E23" s="29"/>
      <c r="F23" s="5">
        <v>9</v>
      </c>
      <c r="G23" s="45"/>
      <c r="H23" s="48"/>
    </row>
    <row r="24" spans="1:8">
      <c r="A24" s="9"/>
      <c r="B24" s="13"/>
      <c r="C24" s="19"/>
      <c r="D24" s="22"/>
      <c r="E24" s="29"/>
      <c r="F24" s="6">
        <v>10</v>
      </c>
      <c r="G24" s="44"/>
      <c r="H24" s="47"/>
    </row>
    <row r="25" spans="1:8">
      <c r="A25" s="9"/>
      <c r="B25" s="13"/>
      <c r="C25" s="19"/>
      <c r="D25" s="23"/>
      <c r="E25" s="30"/>
      <c r="F25" s="5">
        <v>11</v>
      </c>
      <c r="G25" s="45"/>
      <c r="H25" s="48"/>
    </row>
    <row r="26" spans="1:8">
      <c r="A26" s="9"/>
      <c r="B26" s="13"/>
      <c r="C26" s="19"/>
      <c r="D26" s="23"/>
      <c r="E26" s="30"/>
      <c r="F26" s="6">
        <v>12</v>
      </c>
      <c r="G26" s="44"/>
      <c r="H26" s="47"/>
    </row>
    <row r="27" spans="1:8">
      <c r="A27" s="9"/>
      <c r="B27" s="13"/>
      <c r="C27" s="19"/>
      <c r="D27" s="23"/>
      <c r="E27" s="30"/>
      <c r="F27" s="5">
        <v>13</v>
      </c>
      <c r="G27" s="45"/>
      <c r="H27" s="48"/>
    </row>
    <row r="28" spans="1:8">
      <c r="A28" s="9"/>
      <c r="B28" s="13"/>
      <c r="C28" s="19"/>
      <c r="D28" s="23"/>
      <c r="E28" s="30"/>
      <c r="F28" s="6">
        <v>14</v>
      </c>
      <c r="G28" s="44"/>
      <c r="H28" s="47"/>
    </row>
    <row r="29" spans="1:8">
      <c r="A29" s="9"/>
      <c r="B29" s="13"/>
      <c r="C29" s="19"/>
      <c r="D29" s="23"/>
      <c r="E29" s="30"/>
      <c r="F29" s="5">
        <v>15</v>
      </c>
      <c r="G29" s="45"/>
      <c r="H29" s="48"/>
    </row>
    <row r="30" spans="1:8">
      <c r="A30" s="9"/>
      <c r="B30" s="13"/>
      <c r="C30" s="19"/>
      <c r="D30" s="19"/>
      <c r="E30" s="31"/>
      <c r="F30" s="6">
        <v>16</v>
      </c>
      <c r="G30" s="44"/>
      <c r="H30" s="47"/>
    </row>
    <row r="31" spans="1:8">
      <c r="A31" s="9"/>
      <c r="B31" s="13"/>
      <c r="C31" s="19"/>
      <c r="D31" s="19"/>
      <c r="E31" s="31"/>
      <c r="F31" s="5">
        <v>17</v>
      </c>
      <c r="G31" s="45"/>
      <c r="H31" s="48"/>
    </row>
    <row r="32" spans="1:8">
      <c r="A32" s="9"/>
      <c r="B32" s="13"/>
      <c r="C32" s="19"/>
      <c r="D32" s="19"/>
      <c r="E32" s="31"/>
      <c r="F32" s="6">
        <v>18</v>
      </c>
      <c r="G32" s="44"/>
      <c r="H32" s="47"/>
    </row>
    <row r="33" spans="1:8">
      <c r="A33" s="9"/>
      <c r="B33" s="13"/>
      <c r="C33" s="19"/>
      <c r="D33" s="19"/>
      <c r="E33" s="31"/>
      <c r="F33" s="5">
        <v>19</v>
      </c>
      <c r="G33" s="45"/>
      <c r="H33" s="48"/>
    </row>
    <row r="34" spans="1:8">
      <c r="A34" s="9"/>
      <c r="B34" s="13"/>
      <c r="C34" s="19"/>
      <c r="D34" s="19"/>
      <c r="E34" s="31"/>
      <c r="F34" s="6">
        <v>20</v>
      </c>
      <c r="G34" s="44"/>
      <c r="H34" s="47"/>
    </row>
    <row r="35" spans="1:8">
      <c r="A35" s="9"/>
      <c r="B35" s="13"/>
      <c r="C35" s="19"/>
      <c r="D35" s="19"/>
      <c r="E35" s="31"/>
      <c r="F35" s="5">
        <v>21</v>
      </c>
      <c r="G35" s="45"/>
      <c r="H35" s="48"/>
    </row>
    <row r="36" spans="1:8">
      <c r="A36" s="9"/>
      <c r="B36" s="13"/>
      <c r="C36" s="19"/>
      <c r="D36" s="19"/>
      <c r="E36" s="31"/>
      <c r="F36" s="6">
        <v>22</v>
      </c>
      <c r="G36" s="44"/>
      <c r="H36" s="47"/>
    </row>
    <row r="37" spans="1:8">
      <c r="A37" s="9"/>
      <c r="B37" s="13"/>
      <c r="C37" s="19"/>
      <c r="D37" s="19"/>
      <c r="E37" s="31"/>
      <c r="F37" s="5">
        <v>23</v>
      </c>
      <c r="G37" s="45"/>
      <c r="H37" s="48"/>
    </row>
    <row r="38" spans="1:8">
      <c r="A38" s="9"/>
      <c r="B38" s="13"/>
      <c r="C38" s="19"/>
      <c r="D38" s="19"/>
      <c r="E38" s="31"/>
      <c r="F38" s="6">
        <v>24</v>
      </c>
      <c r="G38" s="44"/>
      <c r="H38" s="47"/>
    </row>
    <row r="39" spans="1:8">
      <c r="A39" s="9"/>
      <c r="B39" s="13"/>
      <c r="C39" s="19"/>
      <c r="D39" s="19"/>
      <c r="E39" s="31"/>
      <c r="F39" s="5">
        <v>25</v>
      </c>
      <c r="G39" s="45"/>
      <c r="H39" s="48"/>
    </row>
    <row r="40" spans="1:8">
      <c r="A40" s="72"/>
      <c r="B40" s="73"/>
      <c r="C40" s="20"/>
      <c r="D40" s="20"/>
      <c r="E40" s="32"/>
      <c r="F40" s="6">
        <v>26</v>
      </c>
      <c r="G40" s="44"/>
      <c r="H40" s="47"/>
    </row>
    <row r="41" spans="1:8">
      <c r="A41" s="9"/>
      <c r="B41" s="13"/>
      <c r="C41" s="18"/>
      <c r="D41" s="13"/>
      <c r="E41" s="10"/>
      <c r="F41" s="5">
        <v>27</v>
      </c>
      <c r="G41" s="45"/>
      <c r="H41" s="48"/>
    </row>
    <row r="42" spans="1:8">
      <c r="A42" s="9"/>
      <c r="B42" s="13"/>
      <c r="C42" s="18"/>
      <c r="D42" s="18"/>
      <c r="E42" s="10"/>
      <c r="F42" s="6">
        <v>28</v>
      </c>
      <c r="G42" s="44"/>
      <c r="H42" s="47"/>
    </row>
    <row r="43" spans="1:8">
      <c r="A43" s="9"/>
      <c r="B43" s="13"/>
      <c r="C43" s="18"/>
      <c r="D43" s="18"/>
      <c r="E43" s="10"/>
      <c r="F43" s="5">
        <v>29</v>
      </c>
      <c r="G43" s="45"/>
      <c r="H43" s="48"/>
    </row>
    <row r="44" spans="1:8" ht="15.75" thickBot="1">
      <c r="A44" s="11"/>
      <c r="B44" s="14"/>
      <c r="C44" s="27"/>
      <c r="D44" s="27"/>
      <c r="E44" s="12"/>
      <c r="F44" s="6">
        <v>30</v>
      </c>
      <c r="G44" s="44"/>
      <c r="H44" s="47"/>
    </row>
    <row r="45" spans="1:8">
      <c r="A45" s="54" t="s">
        <v>49</v>
      </c>
      <c r="B45" s="53" t="s">
        <v>44</v>
      </c>
      <c r="C45" s="74" t="s">
        <v>45</v>
      </c>
      <c r="D45" s="75"/>
      <c r="E45" s="55"/>
      <c r="F45" s="5">
        <v>31</v>
      </c>
      <c r="G45" s="45"/>
      <c r="H45" s="48"/>
    </row>
    <row r="46" spans="1:8">
      <c r="A46" s="56"/>
      <c r="B46" s="57"/>
      <c r="C46" s="57"/>
      <c r="D46" s="57"/>
      <c r="E46" s="58"/>
      <c r="F46" s="6">
        <v>32</v>
      </c>
      <c r="G46" s="44"/>
      <c r="H46" s="47"/>
    </row>
    <row r="47" spans="1:8">
      <c r="A47" s="56"/>
      <c r="B47" s="57"/>
      <c r="C47" s="57"/>
      <c r="D47" s="57"/>
      <c r="E47" s="58"/>
      <c r="F47" s="5">
        <v>33</v>
      </c>
      <c r="G47" s="45"/>
      <c r="H47" s="48"/>
    </row>
    <row r="48" spans="1:8">
      <c r="A48" s="56"/>
      <c r="B48" s="57"/>
      <c r="C48" s="57"/>
      <c r="D48" s="57"/>
      <c r="E48" s="58"/>
      <c r="F48" s="6">
        <v>34</v>
      </c>
      <c r="G48" s="44"/>
      <c r="H48" s="47"/>
    </row>
    <row r="49" spans="1:8">
      <c r="A49" s="56"/>
      <c r="B49" s="57"/>
      <c r="C49" s="57"/>
      <c r="D49" s="57"/>
      <c r="E49" s="58"/>
      <c r="F49" s="5">
        <v>35</v>
      </c>
      <c r="G49" s="45"/>
      <c r="H49" s="48"/>
    </row>
    <row r="50" spans="1:8">
      <c r="A50" s="56"/>
      <c r="B50" s="57"/>
      <c r="C50" s="57"/>
      <c r="D50" s="57"/>
      <c r="E50" s="58"/>
      <c r="F50" s="6">
        <v>36</v>
      </c>
      <c r="G50" s="44"/>
      <c r="H50" s="47"/>
    </row>
    <row r="51" spans="1:8">
      <c r="A51" s="56"/>
      <c r="B51" s="57"/>
      <c r="C51" s="57"/>
      <c r="D51" s="57"/>
      <c r="E51" s="58"/>
      <c r="F51" s="5">
        <v>37</v>
      </c>
      <c r="G51" s="45"/>
      <c r="H51" s="48"/>
    </row>
    <row r="52" spans="1:8">
      <c r="A52" s="56" t="s">
        <v>43</v>
      </c>
      <c r="B52" s="57"/>
      <c r="C52" s="57"/>
      <c r="D52" s="57"/>
      <c r="E52" s="58"/>
      <c r="F52" s="6">
        <v>38</v>
      </c>
      <c r="G52" s="44"/>
      <c r="H52" s="47"/>
    </row>
    <row r="53" spans="1:8">
      <c r="A53" s="56"/>
      <c r="B53" s="57"/>
      <c r="C53" s="57"/>
      <c r="D53" s="57"/>
      <c r="E53" s="58"/>
      <c r="F53" s="5">
        <v>39</v>
      </c>
      <c r="G53" s="45"/>
      <c r="H53" s="48"/>
    </row>
    <row r="54" spans="1:8">
      <c r="A54" s="56"/>
      <c r="B54" s="57"/>
      <c r="C54" s="57"/>
      <c r="D54" s="57"/>
      <c r="E54" s="58"/>
      <c r="F54" s="6">
        <v>40</v>
      </c>
      <c r="G54" s="44"/>
      <c r="H54" s="47"/>
    </row>
    <row r="55" spans="1:8">
      <c r="A55" s="56"/>
      <c r="B55" s="57"/>
      <c r="C55" s="57"/>
      <c r="D55" s="57"/>
      <c r="E55" s="58"/>
      <c r="F55" s="5">
        <v>41</v>
      </c>
      <c r="G55" s="45"/>
      <c r="H55" s="48"/>
    </row>
    <row r="56" spans="1:8">
      <c r="A56" s="56"/>
      <c r="B56" s="57"/>
      <c r="C56" s="57"/>
      <c r="D56" s="57"/>
      <c r="E56" s="58"/>
      <c r="F56" s="6">
        <v>42</v>
      </c>
      <c r="G56" s="44"/>
      <c r="H56" s="47"/>
    </row>
    <row r="57" spans="1:8">
      <c r="A57" s="56"/>
      <c r="B57" s="57"/>
      <c r="C57" s="57"/>
      <c r="D57" s="57"/>
      <c r="E57" s="58"/>
      <c r="F57" s="5">
        <v>43</v>
      </c>
      <c r="G57" s="45"/>
      <c r="H57" s="48"/>
    </row>
    <row r="58" spans="1:8">
      <c r="A58" s="56"/>
      <c r="B58" s="57"/>
      <c r="C58" s="57"/>
      <c r="D58" s="57"/>
      <c r="E58" s="58"/>
      <c r="F58" s="6">
        <v>44</v>
      </c>
      <c r="G58" s="44"/>
      <c r="H58" s="47"/>
    </row>
    <row r="59" spans="1:8">
      <c r="A59" s="56"/>
      <c r="B59" s="57"/>
      <c r="C59" s="57"/>
      <c r="D59" s="57"/>
      <c r="E59" s="58"/>
      <c r="F59" s="5">
        <v>45</v>
      </c>
      <c r="G59" s="45"/>
      <c r="H59" s="48"/>
    </row>
    <row r="60" spans="1:8">
      <c r="A60" s="56"/>
      <c r="B60" s="57"/>
      <c r="C60" s="57"/>
      <c r="D60" s="57"/>
      <c r="E60" s="58"/>
      <c r="F60" s="6">
        <v>46</v>
      </c>
      <c r="G60" s="44"/>
      <c r="H60" s="47"/>
    </row>
    <row r="61" spans="1:8">
      <c r="A61" s="56"/>
      <c r="B61" s="57"/>
      <c r="C61" s="57"/>
      <c r="D61" s="57"/>
      <c r="E61" s="58"/>
      <c r="F61" s="5">
        <v>47</v>
      </c>
      <c r="G61" s="45"/>
      <c r="H61" s="48"/>
    </row>
    <row r="62" spans="1:8">
      <c r="A62" s="56"/>
      <c r="B62" s="57"/>
      <c r="C62" s="57"/>
      <c r="D62" s="57"/>
      <c r="E62" s="58"/>
      <c r="F62" s="6">
        <v>48</v>
      </c>
      <c r="G62" s="44"/>
      <c r="H62" s="47"/>
    </row>
    <row r="63" spans="1:8">
      <c r="A63" s="56"/>
      <c r="B63" s="57"/>
      <c r="C63" s="57"/>
      <c r="D63" s="57"/>
      <c r="E63" s="58"/>
      <c r="F63" s="5">
        <v>49</v>
      </c>
      <c r="G63" s="45"/>
      <c r="H63" s="48"/>
    </row>
    <row r="64" spans="1:8" ht="15.75" thickBot="1">
      <c r="A64" s="50"/>
      <c r="B64" s="51"/>
      <c r="C64" s="51"/>
      <c r="D64" s="51"/>
      <c r="E64" s="52"/>
      <c r="F64" s="25">
        <v>50</v>
      </c>
      <c r="G64" s="46"/>
      <c r="H64" s="49"/>
    </row>
    <row r="67" spans="5:8">
      <c r="E67" s="19"/>
      <c r="F67" s="19"/>
      <c r="G67" s="19"/>
      <c r="H67" s="19"/>
    </row>
    <row r="68" spans="5:8">
      <c r="E68" s="19"/>
      <c r="F68" s="19"/>
      <c r="G68" s="19"/>
      <c r="H68" s="19"/>
    </row>
    <row r="69" spans="5:8">
      <c r="E69" s="19"/>
      <c r="F69" s="19"/>
      <c r="G69" s="19"/>
      <c r="H69" s="19"/>
    </row>
    <row r="70" spans="5:8">
      <c r="E70" s="19"/>
      <c r="F70" s="19"/>
      <c r="G70" s="19"/>
      <c r="H70" s="19"/>
    </row>
    <row r="71" spans="5:8">
      <c r="E71" s="19"/>
      <c r="F71" s="19"/>
      <c r="G71" s="19"/>
      <c r="H71" s="19"/>
    </row>
    <row r="72" spans="5:8">
      <c r="E72" s="19"/>
      <c r="F72" s="19"/>
      <c r="G72" s="19"/>
      <c r="H72" s="19"/>
    </row>
    <row r="73" spans="5:8">
      <c r="E73" s="19"/>
      <c r="F73" s="19"/>
      <c r="G73" s="19"/>
      <c r="H73" s="19"/>
    </row>
    <row r="74" spans="5:8">
      <c r="E74" s="19"/>
      <c r="F74" s="19"/>
      <c r="G74" s="19"/>
      <c r="H74" s="19"/>
    </row>
    <row r="75" spans="5:8">
      <c r="E75" s="19"/>
      <c r="F75" s="19"/>
      <c r="G75" s="19"/>
      <c r="H75" s="19"/>
    </row>
    <row r="76" spans="5:8">
      <c r="E76" s="19"/>
      <c r="F76" s="19"/>
      <c r="G76" s="19"/>
      <c r="H76" s="19"/>
    </row>
    <row r="77" spans="5:8">
      <c r="E77" s="19"/>
      <c r="F77" s="19"/>
      <c r="G77" s="19"/>
      <c r="H77" s="19"/>
    </row>
    <row r="78" spans="5:8">
      <c r="E78" s="19"/>
      <c r="F78" s="19"/>
      <c r="G78" s="19"/>
      <c r="H78" s="19"/>
    </row>
    <row r="79" spans="5:8">
      <c r="E79" s="19"/>
      <c r="F79" s="19"/>
      <c r="G79" s="19"/>
      <c r="H79" s="19"/>
    </row>
    <row r="80" spans="5:8">
      <c r="E80" s="19"/>
      <c r="F80" s="19"/>
      <c r="G80" s="19"/>
      <c r="H80" s="19"/>
    </row>
  </sheetData>
  <mergeCells count="32">
    <mergeCell ref="C45:D45"/>
    <mergeCell ref="F13:H13"/>
    <mergeCell ref="A13:E14"/>
    <mergeCell ref="F8:G8"/>
    <mergeCell ref="F9:G9"/>
    <mergeCell ref="F10:G10"/>
    <mergeCell ref="C6:E6"/>
    <mergeCell ref="C7:E7"/>
    <mergeCell ref="C8:E8"/>
    <mergeCell ref="C9:E9"/>
    <mergeCell ref="A40:B40"/>
    <mergeCell ref="A61:E63"/>
    <mergeCell ref="F1:H1"/>
    <mergeCell ref="C10:E10"/>
    <mergeCell ref="F11:G11"/>
    <mergeCell ref="C11:E11"/>
    <mergeCell ref="F2:G2"/>
    <mergeCell ref="F3:G3"/>
    <mergeCell ref="F4:G4"/>
    <mergeCell ref="F6:G6"/>
    <mergeCell ref="F5:G5"/>
    <mergeCell ref="C1:E1"/>
    <mergeCell ref="C2:E2"/>
    <mergeCell ref="C3:E3"/>
    <mergeCell ref="C4:E4"/>
    <mergeCell ref="C5:E5"/>
    <mergeCell ref="F7:G7"/>
    <mergeCell ref="A46:E48"/>
    <mergeCell ref="A49:E51"/>
    <mergeCell ref="A52:E54"/>
    <mergeCell ref="A55:E57"/>
    <mergeCell ref="A58:E60"/>
  </mergeCells>
  <dataValidations count="5">
    <dataValidation type="list" allowBlank="1" showInputMessage="1" showErrorMessage="1" sqref="F13:H13">
      <formula1>"Shot Record (in inches),Shot Record (in min of angle),Shot Record (in centimeters)"</formula1>
    </dataValidation>
    <dataValidation type="list" errorStyle="information" showInputMessage="1" showErrorMessage="1" errorTitle="Use Default Data" error="Warning!  Please use one of the default values, or the report will not be correct." sqref="F1:H1">
      <formula1>"Statistics (in inches):,Statistics (in min of angle):,Statistics (in centimeters):"</formula1>
    </dataValidation>
    <dataValidation type="list" allowBlank="1" showInputMessage="1" showErrorMessage="1" sqref="C45:D45">
      <formula1>"Show Extreme Spread, Extreme Spread Off"</formula1>
    </dataValidation>
    <dataValidation type="list" allowBlank="1" showInputMessage="1" showErrorMessage="1" sqref="B45">
      <formula1>"Show CEP (Blue), CEP Off"</formula1>
    </dataValidation>
    <dataValidation type="list" allowBlank="1" showInputMessage="1" showErrorMessage="1" sqref="A45">
      <formula1>"Show Mean Radius (Green),Mean Radius Off"</formula1>
    </dataValidation>
  </dataValidation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8"/>
  <sheetViews>
    <sheetView workbookViewId="0">
      <selection activeCell="H3" sqref="H3"/>
    </sheetView>
  </sheetViews>
  <sheetFormatPr defaultRowHeight="15"/>
  <sheetData>
    <row r="1" spans="1:19">
      <c r="A1" s="33" t="s">
        <v>21</v>
      </c>
      <c r="B1" s="33"/>
      <c r="C1" s="33"/>
      <c r="D1" s="33"/>
      <c r="E1" s="33"/>
      <c r="F1" s="33"/>
      <c r="G1" s="33"/>
      <c r="H1" s="33"/>
      <c r="L1" s="33" t="s">
        <v>41</v>
      </c>
      <c r="M1" s="33"/>
      <c r="N1" s="33"/>
      <c r="O1" s="33"/>
      <c r="P1" s="33"/>
      <c r="Q1" s="33"/>
      <c r="R1" s="33"/>
      <c r="S1" s="33"/>
    </row>
    <row r="2" spans="1:19">
      <c r="A2" s="33"/>
      <c r="B2" s="33"/>
      <c r="C2" s="33"/>
      <c r="D2" s="33"/>
      <c r="E2" s="33"/>
      <c r="F2" s="33"/>
      <c r="G2" s="33"/>
      <c r="H2" s="33"/>
      <c r="L2" s="33"/>
      <c r="M2" s="33"/>
      <c r="N2" s="33"/>
      <c r="O2" s="33"/>
      <c r="P2" s="33"/>
      <c r="Q2" s="33"/>
      <c r="R2" s="33"/>
      <c r="S2" s="33"/>
    </row>
    <row r="3" spans="1:19">
      <c r="A3" s="33" t="s">
        <v>22</v>
      </c>
      <c r="B3" s="33">
        <v>0</v>
      </c>
      <c r="C3" s="33"/>
      <c r="D3" s="33" t="s">
        <v>26</v>
      </c>
      <c r="E3" s="33">
        <f>MAX(Report!G15:G64) - MIN(Report!G15:G64)</f>
        <v>0</v>
      </c>
      <c r="F3" s="33"/>
      <c r="G3" s="33" t="s">
        <v>27</v>
      </c>
      <c r="H3" s="33">
        <f>B5</f>
        <v>0.5</v>
      </c>
      <c r="L3" s="33" t="s">
        <v>22</v>
      </c>
      <c r="M3" s="33">
        <v>0</v>
      </c>
      <c r="N3" s="33"/>
      <c r="O3" s="33" t="s">
        <v>26</v>
      </c>
      <c r="P3" s="33">
        <f>E3</f>
        <v>0</v>
      </c>
      <c r="Q3" s="33"/>
      <c r="R3" s="33" t="s">
        <v>27</v>
      </c>
      <c r="S3" s="33">
        <f>M5</f>
        <v>1</v>
      </c>
    </row>
    <row r="4" spans="1:19">
      <c r="A4" s="33" t="s">
        <v>23</v>
      </c>
      <c r="B4" s="33">
        <v>0</v>
      </c>
      <c r="C4" s="33"/>
      <c r="D4" s="33" t="s">
        <v>28</v>
      </c>
      <c r="E4" s="33">
        <f>MAX(Report!H15:H64) - MIN(Report!H15:H64)</f>
        <v>0</v>
      </c>
      <c r="F4" s="33"/>
      <c r="G4" s="33"/>
      <c r="H4" s="33"/>
      <c r="L4" s="33" t="s">
        <v>23</v>
      </c>
      <c r="M4" s="33">
        <v>0</v>
      </c>
      <c r="N4" s="33"/>
      <c r="O4" s="33" t="s">
        <v>28</v>
      </c>
      <c r="P4" s="33">
        <f>E4</f>
        <v>0</v>
      </c>
      <c r="Q4" s="33"/>
      <c r="R4" s="33"/>
      <c r="S4" s="33"/>
    </row>
    <row r="5" spans="1:19">
      <c r="A5" s="33" t="s">
        <v>29</v>
      </c>
      <c r="B5" s="33">
        <v>0.5</v>
      </c>
      <c r="C5" s="33"/>
      <c r="D5" s="33" t="s">
        <v>46</v>
      </c>
      <c r="E5" s="33">
        <f>MAX(Report!$G$15:$H$64,IF(B5=0,0,'Other Stats'!$B$8:$D$48),IF(M5=0,0,'Other Stats'!$M$8:$O$48),ABS(MIN(Report!$G$15:$H$64,IF(B5=0,0,'Other Stats'!$B$8:$D$48),IF(M5=0,0,'Other Stats'!$M$8:$O$48))))</f>
        <v>1</v>
      </c>
      <c r="F5" s="33"/>
      <c r="G5" s="33"/>
      <c r="H5" s="33"/>
      <c r="L5" s="33" t="s">
        <v>29</v>
      </c>
      <c r="M5" s="33">
        <v>1</v>
      </c>
      <c r="N5" s="33"/>
      <c r="O5" s="33"/>
      <c r="P5" s="33"/>
      <c r="Q5" s="33"/>
      <c r="R5" s="33"/>
      <c r="S5" s="33"/>
    </row>
    <row r="6" spans="1:19">
      <c r="A6" s="33"/>
      <c r="B6" s="33"/>
      <c r="C6" s="33"/>
      <c r="D6" s="33" t="s">
        <v>47</v>
      </c>
      <c r="E6" s="33">
        <f>MIN(Report!$G$15:$H$64,IF(B5=0,0,'Other Stats'!$B$8:$D$48),IF(M5=0,0,'Other Stats'!$M$8:$O$48))</f>
        <v>-1</v>
      </c>
      <c r="F6" s="33"/>
      <c r="G6" s="33"/>
      <c r="H6" s="33"/>
      <c r="L6" s="33"/>
      <c r="M6" s="33"/>
      <c r="N6" s="33"/>
      <c r="O6" s="33"/>
      <c r="P6" s="33"/>
      <c r="Q6" s="33"/>
      <c r="R6" s="33"/>
      <c r="S6" s="33"/>
    </row>
    <row r="7" spans="1:19">
      <c r="A7" s="33" t="s">
        <v>24</v>
      </c>
      <c r="B7" s="33" t="s">
        <v>25</v>
      </c>
      <c r="C7" s="33" t="s">
        <v>30</v>
      </c>
      <c r="D7" s="33"/>
      <c r="E7" s="33"/>
      <c r="F7" s="33"/>
      <c r="G7" s="33"/>
      <c r="H7" s="33"/>
      <c r="L7" s="33" t="s">
        <v>24</v>
      </c>
      <c r="M7" s="33" t="s">
        <v>25</v>
      </c>
      <c r="N7" s="33" t="s">
        <v>30</v>
      </c>
      <c r="O7" s="33"/>
      <c r="P7" s="33"/>
      <c r="Q7" s="33"/>
      <c r="R7" s="33"/>
      <c r="S7" s="33"/>
    </row>
    <row r="8" spans="1:19">
      <c r="A8" s="33">
        <f>-$H$3 * 1</f>
        <v>-0.5</v>
      </c>
      <c r="B8" s="33">
        <f>$B$3 - $B$5</f>
        <v>-0.5</v>
      </c>
      <c r="C8" s="33">
        <f>SQRT(ABS(POWER($B$5,2)-POWER(B8,2))) +$B$4</f>
        <v>0</v>
      </c>
      <c r="D8" s="33">
        <f>$B$4 - SQRT(ABS(POWER($B$5,2)-POWER(B8,2)))</f>
        <v>0</v>
      </c>
      <c r="E8" s="33"/>
      <c r="F8" s="33"/>
      <c r="G8" s="33"/>
      <c r="H8" s="33"/>
      <c r="J8" t="s">
        <v>31</v>
      </c>
      <c r="L8" s="33">
        <f>-$S$3 * 1</f>
        <v>-1</v>
      </c>
      <c r="M8" s="33">
        <f>$M$3 - $M$5</f>
        <v>-1</v>
      </c>
      <c r="N8" s="33">
        <f>SQRT(ABS(POWER($M$5,2)-POWER(M8,2))) +$M$4</f>
        <v>0</v>
      </c>
      <c r="O8" s="33">
        <f>$M$4 - SQRT(ABS(POWER($M$5,2)-POWER(M8,2)))</f>
        <v>0</v>
      </c>
      <c r="P8" s="33"/>
      <c r="Q8" s="33"/>
      <c r="R8" s="33"/>
      <c r="S8" s="33"/>
    </row>
    <row r="9" spans="1:19">
      <c r="A9" s="33">
        <f>-$H$3 * 0.95</f>
        <v>-0.47499999999999998</v>
      </c>
      <c r="B9" s="33">
        <f>$B$3+A9</f>
        <v>-0.47499999999999998</v>
      </c>
      <c r="C9" s="33">
        <f t="shared" ref="C9:C48" si="0">SQRT(ABS(POWER($B$5,2)-POWER(B9,2))) +$B$4</f>
        <v>0.15612494995995999</v>
      </c>
      <c r="D9" s="33">
        <f t="shared" ref="D9:D48" si="1">$B$4 - SQRT(ABS(POWER($B$5,2)-POWER(B9,2)))</f>
        <v>-0.15612494995995999</v>
      </c>
      <c r="E9" s="33"/>
      <c r="F9" s="33"/>
      <c r="G9" s="33"/>
      <c r="H9" s="33"/>
      <c r="J9" t="s">
        <v>32</v>
      </c>
      <c r="L9" s="33">
        <f>-$S$3 * 0.95</f>
        <v>-0.95</v>
      </c>
      <c r="M9" s="33">
        <f>$M$3+L9</f>
        <v>-0.95</v>
      </c>
      <c r="N9" s="33">
        <f t="shared" ref="N9:N48" si="2">SQRT(ABS(POWER($M$5,2)-POWER(M9,2))) +$M$4</f>
        <v>0.31224989991991997</v>
      </c>
      <c r="O9" s="33">
        <f t="shared" ref="O9:O48" si="3">$M$4 - SQRT(ABS(POWER($M$5,2)-POWER(M9,2)))</f>
        <v>-0.31224989991991997</v>
      </c>
      <c r="P9" s="33"/>
      <c r="Q9" s="33"/>
      <c r="R9" s="33"/>
      <c r="S9" s="33"/>
    </row>
    <row r="10" spans="1:19">
      <c r="A10" s="33">
        <f>-$H$3 * 0.9</f>
        <v>-0.45</v>
      </c>
      <c r="B10" s="33">
        <f>$B$3+A10</f>
        <v>-0.45</v>
      </c>
      <c r="C10" s="33">
        <f t="shared" si="0"/>
        <v>0.21794494717703364</v>
      </c>
      <c r="D10" s="33">
        <f t="shared" si="1"/>
        <v>-0.21794494717703364</v>
      </c>
      <c r="E10" s="33"/>
      <c r="F10" s="33"/>
      <c r="G10" s="33"/>
      <c r="H10" s="33"/>
      <c r="J10" t="s">
        <v>33</v>
      </c>
      <c r="L10" s="33">
        <f>-$S$3 * 0.9</f>
        <v>-0.9</v>
      </c>
      <c r="M10" s="33">
        <f t="shared" ref="M10:M48" si="4">$M$3+L10</f>
        <v>-0.9</v>
      </c>
      <c r="N10" s="33">
        <f t="shared" si="2"/>
        <v>0.43588989435406728</v>
      </c>
      <c r="O10" s="33">
        <f t="shared" si="3"/>
        <v>-0.43588989435406728</v>
      </c>
      <c r="P10" s="33"/>
      <c r="Q10" s="33"/>
      <c r="R10" s="33"/>
      <c r="S10" s="33"/>
    </row>
    <row r="11" spans="1:19">
      <c r="A11" s="33">
        <f>-$H$3 * 0.85</f>
        <v>-0.42499999999999999</v>
      </c>
      <c r="B11" s="33">
        <f t="shared" ref="B11:B48" si="5">$B$3+A11</f>
        <v>-0.42499999999999999</v>
      </c>
      <c r="C11" s="33">
        <f t="shared" si="0"/>
        <v>0.26339134382131851</v>
      </c>
      <c r="D11" s="33">
        <f t="shared" si="1"/>
        <v>-0.26339134382131851</v>
      </c>
      <c r="E11" s="33"/>
      <c r="F11" s="33"/>
      <c r="G11" s="33"/>
      <c r="H11" s="33"/>
      <c r="L11" s="33">
        <f>-$S$3 * 0.85</f>
        <v>-0.85</v>
      </c>
      <c r="M11" s="33">
        <f t="shared" si="4"/>
        <v>-0.85</v>
      </c>
      <c r="N11" s="33">
        <f t="shared" si="2"/>
        <v>0.52678268764263703</v>
      </c>
      <c r="O11" s="33">
        <f t="shared" si="3"/>
        <v>-0.52678268764263703</v>
      </c>
      <c r="P11" s="33"/>
      <c r="Q11" s="33"/>
      <c r="R11" s="33"/>
      <c r="S11" s="33"/>
    </row>
    <row r="12" spans="1:19">
      <c r="A12" s="33">
        <f>-$H$3 * 0.8</f>
        <v>-0.4</v>
      </c>
      <c r="B12" s="33">
        <f t="shared" si="5"/>
        <v>-0.4</v>
      </c>
      <c r="C12" s="33">
        <f t="shared" si="0"/>
        <v>0.29999999999999993</v>
      </c>
      <c r="D12" s="33">
        <f t="shared" si="1"/>
        <v>-0.29999999999999993</v>
      </c>
      <c r="E12" s="33"/>
      <c r="F12" s="33"/>
      <c r="G12" s="33"/>
      <c r="H12" s="33"/>
      <c r="J12" t="s">
        <v>34</v>
      </c>
      <c r="L12" s="33">
        <f>-$S$3 * 0.8</f>
        <v>-0.8</v>
      </c>
      <c r="M12" s="33">
        <f t="shared" si="4"/>
        <v>-0.8</v>
      </c>
      <c r="N12" s="33">
        <f t="shared" si="2"/>
        <v>0.59999999999999987</v>
      </c>
      <c r="O12" s="33">
        <f t="shared" si="3"/>
        <v>-0.59999999999999987</v>
      </c>
      <c r="P12" s="33"/>
      <c r="Q12" s="33"/>
      <c r="R12" s="33"/>
      <c r="S12" s="33"/>
    </row>
    <row r="13" spans="1:19">
      <c r="A13" s="33">
        <f>-$H$3 * 0.75</f>
        <v>-0.375</v>
      </c>
      <c r="B13" s="33">
        <f t="shared" si="5"/>
        <v>-0.375</v>
      </c>
      <c r="C13" s="33">
        <f t="shared" si="0"/>
        <v>0.33071891388307384</v>
      </c>
      <c r="D13" s="33">
        <f t="shared" si="1"/>
        <v>-0.33071891388307384</v>
      </c>
      <c r="E13" s="33"/>
      <c r="F13" s="33"/>
      <c r="G13" s="33"/>
      <c r="H13" s="33"/>
      <c r="J13" t="s">
        <v>35</v>
      </c>
      <c r="L13" s="33">
        <f>-$S$3 * 0.75</f>
        <v>-0.75</v>
      </c>
      <c r="M13" s="33">
        <f t="shared" si="4"/>
        <v>-0.75</v>
      </c>
      <c r="N13" s="33">
        <f t="shared" si="2"/>
        <v>0.66143782776614768</v>
      </c>
      <c r="O13" s="33">
        <f t="shared" si="3"/>
        <v>-0.66143782776614768</v>
      </c>
      <c r="P13" s="33"/>
      <c r="Q13" s="33"/>
      <c r="R13" s="33"/>
      <c r="S13" s="33"/>
    </row>
    <row r="14" spans="1:19">
      <c r="A14" s="33">
        <f>-$H$3 * 0.7</f>
        <v>-0.35</v>
      </c>
      <c r="B14" s="33">
        <f t="shared" si="5"/>
        <v>-0.35</v>
      </c>
      <c r="C14" s="33">
        <f t="shared" si="0"/>
        <v>0.35707142142714249</v>
      </c>
      <c r="D14" s="33">
        <f t="shared" si="1"/>
        <v>-0.35707142142714249</v>
      </c>
      <c r="E14" s="33"/>
      <c r="F14" s="33"/>
      <c r="G14" s="33"/>
      <c r="H14" s="33"/>
      <c r="L14" s="33">
        <f>-$S$3 * 0.7</f>
        <v>-0.7</v>
      </c>
      <c r="M14" s="33">
        <f t="shared" si="4"/>
        <v>-0.7</v>
      </c>
      <c r="N14" s="33">
        <f t="shared" si="2"/>
        <v>0.71414284285428498</v>
      </c>
      <c r="O14" s="33">
        <f t="shared" si="3"/>
        <v>-0.71414284285428498</v>
      </c>
      <c r="P14" s="33"/>
      <c r="Q14" s="33"/>
      <c r="R14" s="33"/>
      <c r="S14" s="33"/>
    </row>
    <row r="15" spans="1:19">
      <c r="A15" s="33">
        <f>-$H$3 * 0.65</f>
        <v>-0.32500000000000001</v>
      </c>
      <c r="B15" s="33">
        <f t="shared" si="5"/>
        <v>-0.32500000000000001</v>
      </c>
      <c r="C15" s="33">
        <f t="shared" si="0"/>
        <v>0.37996710383926657</v>
      </c>
      <c r="D15" s="33">
        <f t="shared" si="1"/>
        <v>-0.37996710383926657</v>
      </c>
      <c r="E15" s="33"/>
      <c r="F15" s="33"/>
      <c r="G15" s="33"/>
      <c r="H15" s="33"/>
      <c r="L15" s="33">
        <f>-$S$3 * 0.65</f>
        <v>-0.65</v>
      </c>
      <c r="M15" s="33">
        <f t="shared" si="4"/>
        <v>-0.65</v>
      </c>
      <c r="N15" s="33">
        <f t="shared" si="2"/>
        <v>0.75993420767853315</v>
      </c>
      <c r="O15" s="33">
        <f t="shared" si="3"/>
        <v>-0.75993420767853315</v>
      </c>
      <c r="P15" s="33"/>
      <c r="Q15" s="33"/>
      <c r="R15" s="33"/>
      <c r="S15" s="33"/>
    </row>
    <row r="16" spans="1:19">
      <c r="A16" s="33">
        <f>-$H$3 * 0.6</f>
        <v>-0.3</v>
      </c>
      <c r="B16" s="33">
        <f t="shared" si="5"/>
        <v>-0.3</v>
      </c>
      <c r="C16" s="33">
        <f t="shared" si="0"/>
        <v>0.4</v>
      </c>
      <c r="D16" s="33">
        <f t="shared" si="1"/>
        <v>-0.4</v>
      </c>
      <c r="E16" s="33"/>
      <c r="F16" s="33"/>
      <c r="G16" s="33"/>
      <c r="H16" s="33"/>
      <c r="L16" s="33">
        <f>-$S$3 * 0.6</f>
        <v>-0.6</v>
      </c>
      <c r="M16" s="33">
        <f t="shared" si="4"/>
        <v>-0.6</v>
      </c>
      <c r="N16" s="33">
        <f t="shared" si="2"/>
        <v>0.8</v>
      </c>
      <c r="O16" s="33">
        <f t="shared" si="3"/>
        <v>-0.8</v>
      </c>
      <c r="P16" s="33"/>
      <c r="Q16" s="33"/>
      <c r="R16" s="33"/>
      <c r="S16" s="33"/>
    </row>
    <row r="17" spans="1:19">
      <c r="A17" s="33">
        <f>-$H$3 * 0.55</f>
        <v>-0.27500000000000002</v>
      </c>
      <c r="B17" s="33">
        <f t="shared" si="5"/>
        <v>-0.27500000000000002</v>
      </c>
      <c r="C17" s="33">
        <f t="shared" si="0"/>
        <v>0.41758232721225164</v>
      </c>
      <c r="D17" s="33">
        <f t="shared" si="1"/>
        <v>-0.41758232721225164</v>
      </c>
      <c r="E17" s="33"/>
      <c r="F17" s="33"/>
      <c r="G17" s="33"/>
      <c r="H17" s="33"/>
      <c r="L17" s="33">
        <f>-$S$3 * 0.55</f>
        <v>-0.55000000000000004</v>
      </c>
      <c r="M17" s="33">
        <f t="shared" si="4"/>
        <v>-0.55000000000000004</v>
      </c>
      <c r="N17" s="33">
        <f t="shared" si="2"/>
        <v>0.83516465442450327</v>
      </c>
      <c r="O17" s="33">
        <f t="shared" si="3"/>
        <v>-0.83516465442450327</v>
      </c>
      <c r="P17" s="33"/>
      <c r="Q17" s="33"/>
      <c r="R17" s="33"/>
      <c r="S17" s="33"/>
    </row>
    <row r="18" spans="1:19">
      <c r="A18" s="33">
        <f>-$H$3 * 0.5</f>
        <v>-0.25</v>
      </c>
      <c r="B18" s="33">
        <f t="shared" si="5"/>
        <v>-0.25</v>
      </c>
      <c r="C18" s="33">
        <f t="shared" si="0"/>
        <v>0.4330127018922193</v>
      </c>
      <c r="D18" s="33">
        <f t="shared" si="1"/>
        <v>-0.4330127018922193</v>
      </c>
      <c r="E18" s="33"/>
      <c r="F18" s="33"/>
      <c r="G18" s="33"/>
      <c r="H18" s="33"/>
      <c r="L18" s="33">
        <f>-$S$3 * 0.5</f>
        <v>-0.5</v>
      </c>
      <c r="M18" s="33">
        <f t="shared" si="4"/>
        <v>-0.5</v>
      </c>
      <c r="N18" s="33">
        <f t="shared" si="2"/>
        <v>0.8660254037844386</v>
      </c>
      <c r="O18" s="33">
        <f t="shared" si="3"/>
        <v>-0.8660254037844386</v>
      </c>
      <c r="P18" s="33"/>
      <c r="Q18" s="33"/>
      <c r="R18" s="33"/>
      <c r="S18" s="33"/>
    </row>
    <row r="19" spans="1:19">
      <c r="A19" s="33">
        <f>-$H$3 * 0.45</f>
        <v>-0.22500000000000001</v>
      </c>
      <c r="B19" s="33">
        <f t="shared" si="5"/>
        <v>-0.22500000000000001</v>
      </c>
      <c r="C19" s="33">
        <f t="shared" si="0"/>
        <v>0.44651427748729378</v>
      </c>
      <c r="D19" s="33">
        <f t="shared" si="1"/>
        <v>-0.44651427748729378</v>
      </c>
      <c r="E19" s="33"/>
      <c r="F19" s="33"/>
      <c r="G19" s="33"/>
      <c r="H19" s="33"/>
      <c r="L19" s="33">
        <f>-$S$3 * 0.45</f>
        <v>-0.45</v>
      </c>
      <c r="M19" s="33">
        <f t="shared" si="4"/>
        <v>-0.45</v>
      </c>
      <c r="N19" s="33">
        <f t="shared" si="2"/>
        <v>0.89302855497458755</v>
      </c>
      <c r="O19" s="33">
        <f t="shared" si="3"/>
        <v>-0.89302855497458755</v>
      </c>
      <c r="P19" s="33"/>
      <c r="Q19" s="33"/>
      <c r="R19" s="33"/>
      <c r="S19" s="33"/>
    </row>
    <row r="20" spans="1:19">
      <c r="A20" s="33">
        <f>-$H$3 * 0.4</f>
        <v>-0.2</v>
      </c>
      <c r="B20" s="33">
        <f t="shared" si="5"/>
        <v>-0.2</v>
      </c>
      <c r="C20" s="33">
        <f t="shared" si="0"/>
        <v>0.45825756949558399</v>
      </c>
      <c r="D20" s="33">
        <f t="shared" si="1"/>
        <v>-0.45825756949558399</v>
      </c>
      <c r="E20" s="33"/>
      <c r="F20" s="33"/>
      <c r="G20" s="33"/>
      <c r="H20" s="33"/>
      <c r="L20" s="33">
        <f>-$S$3 * 0.4</f>
        <v>-0.4</v>
      </c>
      <c r="M20" s="33">
        <f t="shared" si="4"/>
        <v>-0.4</v>
      </c>
      <c r="N20" s="33">
        <f t="shared" si="2"/>
        <v>0.91651513899116799</v>
      </c>
      <c r="O20" s="33">
        <f t="shared" si="3"/>
        <v>-0.91651513899116799</v>
      </c>
      <c r="P20" s="33"/>
      <c r="Q20" s="33"/>
      <c r="R20" s="33"/>
      <c r="S20" s="33"/>
    </row>
    <row r="21" spans="1:19">
      <c r="A21" s="33">
        <f>-$H$3 * 0.35</f>
        <v>-0.17499999999999999</v>
      </c>
      <c r="B21" s="33">
        <f t="shared" si="5"/>
        <v>-0.17499999999999999</v>
      </c>
      <c r="C21" s="33">
        <f t="shared" si="0"/>
        <v>0.46837484987987987</v>
      </c>
      <c r="D21" s="33">
        <f t="shared" si="1"/>
        <v>-0.46837484987987987</v>
      </c>
      <c r="E21" s="33"/>
      <c r="F21" s="33"/>
      <c r="G21" s="33"/>
      <c r="H21" s="33"/>
      <c r="L21" s="33">
        <f>-$S$3 * 0.35</f>
        <v>-0.35</v>
      </c>
      <c r="M21" s="33">
        <f t="shared" si="4"/>
        <v>-0.35</v>
      </c>
      <c r="N21" s="33">
        <f t="shared" si="2"/>
        <v>0.93674969975975975</v>
      </c>
      <c r="O21" s="33">
        <f t="shared" si="3"/>
        <v>-0.93674969975975975</v>
      </c>
      <c r="P21" s="33"/>
      <c r="Q21" s="33"/>
      <c r="R21" s="33"/>
      <c r="S21" s="33"/>
    </row>
    <row r="22" spans="1:19">
      <c r="A22" s="33">
        <f>-$H$3 * 0.3</f>
        <v>-0.15</v>
      </c>
      <c r="B22" s="33">
        <f t="shared" si="5"/>
        <v>-0.15</v>
      </c>
      <c r="C22" s="33">
        <f t="shared" si="0"/>
        <v>0.47696960070847283</v>
      </c>
      <c r="D22" s="33">
        <f t="shared" si="1"/>
        <v>-0.47696960070847283</v>
      </c>
      <c r="E22" s="33"/>
      <c r="F22" s="33"/>
      <c r="G22" s="33"/>
      <c r="H22" s="33"/>
      <c r="L22" s="33">
        <f>-$S$3 * 0.3</f>
        <v>-0.3</v>
      </c>
      <c r="M22" s="33">
        <f t="shared" si="4"/>
        <v>-0.3</v>
      </c>
      <c r="N22" s="33">
        <f t="shared" si="2"/>
        <v>0.95393920141694566</v>
      </c>
      <c r="O22" s="33">
        <f t="shared" si="3"/>
        <v>-0.95393920141694566</v>
      </c>
      <c r="P22" s="33"/>
      <c r="Q22" s="33"/>
      <c r="R22" s="33"/>
      <c r="S22" s="33"/>
    </row>
    <row r="23" spans="1:19">
      <c r="A23" s="33">
        <f>-$H$3 * 0.25</f>
        <v>-0.125</v>
      </c>
      <c r="B23" s="33">
        <f t="shared" si="5"/>
        <v>-0.125</v>
      </c>
      <c r="C23" s="33">
        <f t="shared" si="0"/>
        <v>0.48412291827592713</v>
      </c>
      <c r="D23" s="33">
        <f t="shared" si="1"/>
        <v>-0.48412291827592713</v>
      </c>
      <c r="E23" s="33"/>
      <c r="F23" s="33"/>
      <c r="G23" s="33"/>
      <c r="H23" s="33"/>
      <c r="L23" s="33">
        <f>-$S$3 * 0.25</f>
        <v>-0.25</v>
      </c>
      <c r="M23" s="33">
        <f t="shared" si="4"/>
        <v>-0.25</v>
      </c>
      <c r="N23" s="33">
        <f t="shared" si="2"/>
        <v>0.96824583655185426</v>
      </c>
      <c r="O23" s="33">
        <f t="shared" si="3"/>
        <v>-0.96824583655185426</v>
      </c>
      <c r="P23" s="33"/>
      <c r="Q23" s="33"/>
      <c r="R23" s="33"/>
      <c r="S23" s="33"/>
    </row>
    <row r="24" spans="1:19">
      <c r="A24" s="33">
        <f>-$H$3 * 0.2</f>
        <v>-0.1</v>
      </c>
      <c r="B24" s="33">
        <f t="shared" si="5"/>
        <v>-0.1</v>
      </c>
      <c r="C24" s="33">
        <f t="shared" si="0"/>
        <v>0.4898979485566356</v>
      </c>
      <c r="D24" s="33">
        <f t="shared" si="1"/>
        <v>-0.4898979485566356</v>
      </c>
      <c r="E24" s="33"/>
      <c r="F24" s="33"/>
      <c r="G24" s="33"/>
      <c r="H24" s="33"/>
      <c r="L24" s="33">
        <f>-$S$3 * 0.2</f>
        <v>-0.2</v>
      </c>
      <c r="M24" s="33">
        <f t="shared" si="4"/>
        <v>-0.2</v>
      </c>
      <c r="N24" s="33">
        <f t="shared" si="2"/>
        <v>0.9797958971132712</v>
      </c>
      <c r="O24" s="33">
        <f t="shared" si="3"/>
        <v>-0.9797958971132712</v>
      </c>
      <c r="P24" s="33"/>
      <c r="Q24" s="33"/>
      <c r="R24" s="33"/>
      <c r="S24" s="33"/>
    </row>
    <row r="25" spans="1:19">
      <c r="A25" s="33">
        <f>-$H$3 * 0.15</f>
        <v>-7.4999999999999997E-2</v>
      </c>
      <c r="B25" s="33">
        <f t="shared" si="5"/>
        <v>-7.4999999999999997E-2</v>
      </c>
      <c r="C25" s="33">
        <f t="shared" si="0"/>
        <v>0.49434299833212975</v>
      </c>
      <c r="D25" s="33">
        <f t="shared" si="1"/>
        <v>-0.49434299833212975</v>
      </c>
      <c r="E25" s="33"/>
      <c r="F25" s="33"/>
      <c r="G25" s="33"/>
      <c r="H25" s="33"/>
      <c r="L25" s="33">
        <f>-$S$3 * 0.15</f>
        <v>-0.15</v>
      </c>
      <c r="M25" s="33">
        <f t="shared" si="4"/>
        <v>-0.15</v>
      </c>
      <c r="N25" s="33">
        <f t="shared" si="2"/>
        <v>0.98868599666425949</v>
      </c>
      <c r="O25" s="33">
        <f t="shared" si="3"/>
        <v>-0.98868599666425949</v>
      </c>
      <c r="P25" s="33"/>
      <c r="Q25" s="33"/>
      <c r="R25" s="33"/>
      <c r="S25" s="33"/>
    </row>
    <row r="26" spans="1:19">
      <c r="A26" s="33">
        <f>-$H$3 * 0.1</f>
        <v>-0.05</v>
      </c>
      <c r="B26" s="33">
        <f t="shared" si="5"/>
        <v>-0.05</v>
      </c>
      <c r="C26" s="33">
        <f t="shared" si="0"/>
        <v>0.49749371855330998</v>
      </c>
      <c r="D26" s="33">
        <f t="shared" si="1"/>
        <v>-0.49749371855330998</v>
      </c>
      <c r="E26" s="33"/>
      <c r="F26" s="33"/>
      <c r="G26" s="33"/>
      <c r="H26" s="33"/>
      <c r="L26" s="33">
        <f>-$S$3 * 0.1</f>
        <v>-0.1</v>
      </c>
      <c r="M26" s="33">
        <f t="shared" si="4"/>
        <v>-0.1</v>
      </c>
      <c r="N26" s="33">
        <f t="shared" si="2"/>
        <v>0.99498743710661997</v>
      </c>
      <c r="O26" s="33">
        <f t="shared" si="3"/>
        <v>-0.99498743710661997</v>
      </c>
      <c r="P26" s="33"/>
      <c r="Q26" s="33"/>
      <c r="R26" s="33"/>
      <c r="S26" s="33"/>
    </row>
    <row r="27" spans="1:19">
      <c r="A27" s="33">
        <f>-$H$3 * 0.05</f>
        <v>-2.5000000000000001E-2</v>
      </c>
      <c r="B27" s="33">
        <f t="shared" si="5"/>
        <v>-2.5000000000000001E-2</v>
      </c>
      <c r="C27" s="33">
        <f t="shared" si="0"/>
        <v>0.49937460888595447</v>
      </c>
      <c r="D27" s="33">
        <f t="shared" si="1"/>
        <v>-0.49937460888595447</v>
      </c>
      <c r="E27" s="33"/>
      <c r="F27" s="33"/>
      <c r="G27" s="33"/>
      <c r="H27" s="33"/>
      <c r="L27" s="33">
        <f>-$S$3 * 0.05</f>
        <v>-0.05</v>
      </c>
      <c r="M27" s="33">
        <f t="shared" si="4"/>
        <v>-0.05</v>
      </c>
      <c r="N27" s="33">
        <f t="shared" si="2"/>
        <v>0.99874921777190895</v>
      </c>
      <c r="O27" s="33">
        <f t="shared" si="3"/>
        <v>-0.99874921777190895</v>
      </c>
      <c r="P27" s="33"/>
      <c r="Q27" s="33"/>
      <c r="R27" s="33"/>
      <c r="S27" s="33"/>
    </row>
    <row r="28" spans="1:19">
      <c r="A28" s="33">
        <f>0</f>
        <v>0</v>
      </c>
      <c r="B28" s="33">
        <f t="shared" si="5"/>
        <v>0</v>
      </c>
      <c r="C28" s="33">
        <f t="shared" si="0"/>
        <v>0.5</v>
      </c>
      <c r="D28" s="33">
        <f t="shared" si="1"/>
        <v>-0.5</v>
      </c>
      <c r="E28" s="33"/>
      <c r="F28" s="33"/>
      <c r="G28" s="33"/>
      <c r="H28" s="33"/>
      <c r="L28" s="33">
        <f>0</f>
        <v>0</v>
      </c>
      <c r="M28" s="33">
        <f t="shared" si="4"/>
        <v>0</v>
      </c>
      <c r="N28" s="33">
        <f t="shared" si="2"/>
        <v>1</v>
      </c>
      <c r="O28" s="33">
        <f t="shared" si="3"/>
        <v>-1</v>
      </c>
      <c r="P28" s="33"/>
      <c r="Q28" s="33"/>
      <c r="R28" s="33"/>
      <c r="S28" s="33"/>
    </row>
    <row r="29" spans="1:19">
      <c r="A29" s="33">
        <f>$H$3 * 0.05</f>
        <v>2.5000000000000001E-2</v>
      </c>
      <c r="B29" s="33">
        <f t="shared" si="5"/>
        <v>2.5000000000000001E-2</v>
      </c>
      <c r="C29" s="33">
        <f t="shared" si="0"/>
        <v>0.49937460888595447</v>
      </c>
      <c r="D29" s="33">
        <f t="shared" si="1"/>
        <v>-0.49937460888595447</v>
      </c>
      <c r="E29" s="33"/>
      <c r="F29" s="33"/>
      <c r="G29" s="33"/>
      <c r="H29" s="33"/>
      <c r="L29" s="33">
        <f>$S$3 * 0.05</f>
        <v>0.05</v>
      </c>
      <c r="M29" s="33">
        <f t="shared" si="4"/>
        <v>0.05</v>
      </c>
      <c r="N29" s="33">
        <f t="shared" si="2"/>
        <v>0.99874921777190895</v>
      </c>
      <c r="O29" s="33">
        <f t="shared" si="3"/>
        <v>-0.99874921777190895</v>
      </c>
      <c r="P29" s="33"/>
      <c r="Q29" s="33"/>
      <c r="R29" s="33"/>
      <c r="S29" s="33"/>
    </row>
    <row r="30" spans="1:19">
      <c r="A30" s="33">
        <f>$H$3 * 0.1</f>
        <v>0.05</v>
      </c>
      <c r="B30" s="33">
        <f t="shared" si="5"/>
        <v>0.05</v>
      </c>
      <c r="C30" s="33">
        <f t="shared" si="0"/>
        <v>0.49749371855330998</v>
      </c>
      <c r="D30" s="33">
        <f t="shared" si="1"/>
        <v>-0.49749371855330998</v>
      </c>
      <c r="E30" s="33"/>
      <c r="F30" s="33"/>
      <c r="G30" s="33"/>
      <c r="H30" s="33"/>
      <c r="L30" s="33">
        <f>$S$3 * 0.1</f>
        <v>0.1</v>
      </c>
      <c r="M30" s="33">
        <f t="shared" si="4"/>
        <v>0.1</v>
      </c>
      <c r="N30" s="33">
        <f t="shared" si="2"/>
        <v>0.99498743710661997</v>
      </c>
      <c r="O30" s="33">
        <f t="shared" si="3"/>
        <v>-0.99498743710661997</v>
      </c>
      <c r="P30" s="33"/>
      <c r="Q30" s="33"/>
      <c r="R30" s="33"/>
      <c r="S30" s="33"/>
    </row>
    <row r="31" spans="1:19">
      <c r="A31" s="33">
        <f>$H$3 * 0.15</f>
        <v>7.4999999999999997E-2</v>
      </c>
      <c r="B31" s="33">
        <f t="shared" si="5"/>
        <v>7.4999999999999997E-2</v>
      </c>
      <c r="C31" s="33">
        <f t="shared" si="0"/>
        <v>0.49434299833212975</v>
      </c>
      <c r="D31" s="33">
        <f t="shared" si="1"/>
        <v>-0.49434299833212975</v>
      </c>
      <c r="E31" s="33"/>
      <c r="F31" s="33"/>
      <c r="G31" s="33"/>
      <c r="H31" s="33"/>
      <c r="L31" s="33">
        <f>$S$3 * 0.15</f>
        <v>0.15</v>
      </c>
      <c r="M31" s="33">
        <f t="shared" si="4"/>
        <v>0.15</v>
      </c>
      <c r="N31" s="33">
        <f t="shared" si="2"/>
        <v>0.98868599666425949</v>
      </c>
      <c r="O31" s="33">
        <f t="shared" si="3"/>
        <v>-0.98868599666425949</v>
      </c>
      <c r="P31" s="33"/>
      <c r="Q31" s="33"/>
      <c r="R31" s="33"/>
      <c r="S31" s="33"/>
    </row>
    <row r="32" spans="1:19">
      <c r="A32" s="33">
        <f>$H$3 * 0.2</f>
        <v>0.1</v>
      </c>
      <c r="B32" s="33">
        <f t="shared" si="5"/>
        <v>0.1</v>
      </c>
      <c r="C32" s="33">
        <f t="shared" si="0"/>
        <v>0.4898979485566356</v>
      </c>
      <c r="D32" s="33">
        <f t="shared" si="1"/>
        <v>-0.4898979485566356</v>
      </c>
      <c r="E32" s="33"/>
      <c r="F32" s="33"/>
      <c r="G32" s="33"/>
      <c r="H32" s="33"/>
      <c r="L32" s="33">
        <f>$S$3 * 0.2</f>
        <v>0.2</v>
      </c>
      <c r="M32" s="33">
        <f t="shared" si="4"/>
        <v>0.2</v>
      </c>
      <c r="N32" s="33">
        <f t="shared" si="2"/>
        <v>0.9797958971132712</v>
      </c>
      <c r="O32" s="33">
        <f t="shared" si="3"/>
        <v>-0.9797958971132712</v>
      </c>
      <c r="P32" s="33"/>
      <c r="Q32" s="33"/>
      <c r="R32" s="33"/>
      <c r="S32" s="33"/>
    </row>
    <row r="33" spans="1:19">
      <c r="A33" s="33">
        <f>$H$3 * 0.25</f>
        <v>0.125</v>
      </c>
      <c r="B33" s="33">
        <f t="shared" si="5"/>
        <v>0.125</v>
      </c>
      <c r="C33" s="33">
        <f t="shared" si="0"/>
        <v>0.48412291827592713</v>
      </c>
      <c r="D33" s="33">
        <f t="shared" si="1"/>
        <v>-0.48412291827592713</v>
      </c>
      <c r="E33" s="33"/>
      <c r="F33" s="33"/>
      <c r="G33" s="33"/>
      <c r="H33" s="33"/>
      <c r="L33" s="33">
        <f>$S$3 * 0.25</f>
        <v>0.25</v>
      </c>
      <c r="M33" s="33">
        <f t="shared" si="4"/>
        <v>0.25</v>
      </c>
      <c r="N33" s="33">
        <f t="shared" si="2"/>
        <v>0.96824583655185426</v>
      </c>
      <c r="O33" s="33">
        <f t="shared" si="3"/>
        <v>-0.96824583655185426</v>
      </c>
      <c r="P33" s="33"/>
      <c r="Q33" s="33"/>
      <c r="R33" s="33"/>
      <c r="S33" s="33"/>
    </row>
    <row r="34" spans="1:19">
      <c r="A34" s="33">
        <f>$H$3 * 0.3</f>
        <v>0.15</v>
      </c>
      <c r="B34" s="33">
        <f t="shared" si="5"/>
        <v>0.15</v>
      </c>
      <c r="C34" s="33">
        <f t="shared" si="0"/>
        <v>0.47696960070847283</v>
      </c>
      <c r="D34" s="33">
        <f t="shared" si="1"/>
        <v>-0.47696960070847283</v>
      </c>
      <c r="E34" s="33"/>
      <c r="F34" s="33"/>
      <c r="G34" s="33"/>
      <c r="H34" s="33"/>
      <c r="L34" s="33">
        <f>$S$3 * 0.3</f>
        <v>0.3</v>
      </c>
      <c r="M34" s="33">
        <f t="shared" si="4"/>
        <v>0.3</v>
      </c>
      <c r="N34" s="33">
        <f t="shared" si="2"/>
        <v>0.95393920141694566</v>
      </c>
      <c r="O34" s="33">
        <f t="shared" si="3"/>
        <v>-0.95393920141694566</v>
      </c>
      <c r="P34" s="33"/>
      <c r="Q34" s="33"/>
      <c r="R34" s="33"/>
      <c r="S34" s="33"/>
    </row>
    <row r="35" spans="1:19">
      <c r="A35" s="33">
        <f>$H$3 * 0.35</f>
        <v>0.17499999999999999</v>
      </c>
      <c r="B35" s="33">
        <f t="shared" si="5"/>
        <v>0.17499999999999999</v>
      </c>
      <c r="C35" s="33">
        <f t="shared" si="0"/>
        <v>0.46837484987987987</v>
      </c>
      <c r="D35" s="33">
        <f t="shared" si="1"/>
        <v>-0.46837484987987987</v>
      </c>
      <c r="E35" s="33"/>
      <c r="F35" s="33"/>
      <c r="G35" s="33"/>
      <c r="H35" s="33"/>
      <c r="L35" s="33">
        <f>$S$3 * 0.35</f>
        <v>0.35</v>
      </c>
      <c r="M35" s="33">
        <f t="shared" si="4"/>
        <v>0.35</v>
      </c>
      <c r="N35" s="33">
        <f t="shared" si="2"/>
        <v>0.93674969975975975</v>
      </c>
      <c r="O35" s="33">
        <f t="shared" si="3"/>
        <v>-0.93674969975975975</v>
      </c>
      <c r="P35" s="33"/>
      <c r="Q35" s="33"/>
      <c r="R35" s="33"/>
      <c r="S35" s="33"/>
    </row>
    <row r="36" spans="1:19">
      <c r="A36" s="33">
        <f>$H$3 * 0.4</f>
        <v>0.2</v>
      </c>
      <c r="B36" s="33">
        <f t="shared" si="5"/>
        <v>0.2</v>
      </c>
      <c r="C36" s="33">
        <f t="shared" si="0"/>
        <v>0.45825756949558399</v>
      </c>
      <c r="D36" s="33">
        <f t="shared" si="1"/>
        <v>-0.45825756949558399</v>
      </c>
      <c r="E36" s="33"/>
      <c r="F36" s="33"/>
      <c r="G36" s="33"/>
      <c r="H36" s="33"/>
      <c r="L36" s="33">
        <f>$S$3 * 0.4</f>
        <v>0.4</v>
      </c>
      <c r="M36" s="33">
        <f t="shared" si="4"/>
        <v>0.4</v>
      </c>
      <c r="N36" s="33">
        <f t="shared" si="2"/>
        <v>0.91651513899116799</v>
      </c>
      <c r="O36" s="33">
        <f t="shared" si="3"/>
        <v>-0.91651513899116799</v>
      </c>
      <c r="P36" s="33"/>
      <c r="Q36" s="33"/>
      <c r="R36" s="33"/>
      <c r="S36" s="33"/>
    </row>
    <row r="37" spans="1:19">
      <c r="A37" s="33">
        <f>$H$3 * 0.45</f>
        <v>0.22500000000000001</v>
      </c>
      <c r="B37" s="33">
        <f t="shared" si="5"/>
        <v>0.22500000000000001</v>
      </c>
      <c r="C37" s="33">
        <f t="shared" si="0"/>
        <v>0.44651427748729378</v>
      </c>
      <c r="D37" s="33">
        <f t="shared" si="1"/>
        <v>-0.44651427748729378</v>
      </c>
      <c r="E37" s="33"/>
      <c r="F37" s="33"/>
      <c r="G37" s="33"/>
      <c r="H37" s="33"/>
      <c r="L37" s="33">
        <f>$S$3 * 0.45</f>
        <v>0.45</v>
      </c>
      <c r="M37" s="33">
        <f t="shared" si="4"/>
        <v>0.45</v>
      </c>
      <c r="N37" s="33">
        <f t="shared" si="2"/>
        <v>0.89302855497458755</v>
      </c>
      <c r="O37" s="33">
        <f t="shared" si="3"/>
        <v>-0.89302855497458755</v>
      </c>
      <c r="P37" s="33"/>
      <c r="Q37" s="33"/>
      <c r="R37" s="33"/>
      <c r="S37" s="33"/>
    </row>
    <row r="38" spans="1:19">
      <c r="A38" s="33">
        <f>$H$3 * 0.5</f>
        <v>0.25</v>
      </c>
      <c r="B38" s="33">
        <f t="shared" si="5"/>
        <v>0.25</v>
      </c>
      <c r="C38" s="33">
        <f t="shared" si="0"/>
        <v>0.4330127018922193</v>
      </c>
      <c r="D38" s="33">
        <f t="shared" si="1"/>
        <v>-0.4330127018922193</v>
      </c>
      <c r="E38" s="33"/>
      <c r="F38" s="33"/>
      <c r="G38" s="33"/>
      <c r="H38" s="33"/>
      <c r="L38" s="33">
        <f>$S$3 * 0.5</f>
        <v>0.5</v>
      </c>
      <c r="M38" s="33">
        <f t="shared" si="4"/>
        <v>0.5</v>
      </c>
      <c r="N38" s="33">
        <f t="shared" si="2"/>
        <v>0.8660254037844386</v>
      </c>
      <c r="O38" s="33">
        <f t="shared" si="3"/>
        <v>-0.8660254037844386</v>
      </c>
      <c r="P38" s="33"/>
      <c r="Q38" s="33"/>
      <c r="R38" s="33"/>
      <c r="S38" s="33"/>
    </row>
    <row r="39" spans="1:19">
      <c r="A39" s="33">
        <f>$H$3 * 0.55</f>
        <v>0.27500000000000002</v>
      </c>
      <c r="B39" s="33">
        <f t="shared" si="5"/>
        <v>0.27500000000000002</v>
      </c>
      <c r="C39" s="33">
        <f t="shared" si="0"/>
        <v>0.41758232721225164</v>
      </c>
      <c r="D39" s="33">
        <f t="shared" si="1"/>
        <v>-0.41758232721225164</v>
      </c>
      <c r="E39" s="33"/>
      <c r="F39" s="33"/>
      <c r="G39" s="33"/>
      <c r="H39" s="33"/>
      <c r="L39" s="33">
        <f>$S$3 * 0.55</f>
        <v>0.55000000000000004</v>
      </c>
      <c r="M39" s="33">
        <f t="shared" si="4"/>
        <v>0.55000000000000004</v>
      </c>
      <c r="N39" s="33">
        <f t="shared" si="2"/>
        <v>0.83516465442450327</v>
      </c>
      <c r="O39" s="33">
        <f t="shared" si="3"/>
        <v>-0.83516465442450327</v>
      </c>
      <c r="P39" s="33"/>
      <c r="Q39" s="33"/>
      <c r="R39" s="33"/>
      <c r="S39" s="33"/>
    </row>
    <row r="40" spans="1:19">
      <c r="A40" s="33">
        <f>$H$3 * 0.6</f>
        <v>0.3</v>
      </c>
      <c r="B40" s="33">
        <f t="shared" si="5"/>
        <v>0.3</v>
      </c>
      <c r="C40" s="33">
        <f t="shared" si="0"/>
        <v>0.4</v>
      </c>
      <c r="D40" s="33">
        <f t="shared" si="1"/>
        <v>-0.4</v>
      </c>
      <c r="E40" s="33"/>
      <c r="F40" s="33"/>
      <c r="G40" s="33"/>
      <c r="H40" s="33"/>
      <c r="L40" s="33">
        <f>$S$3 * 0.6</f>
        <v>0.6</v>
      </c>
      <c r="M40" s="33">
        <f t="shared" si="4"/>
        <v>0.6</v>
      </c>
      <c r="N40" s="33">
        <f t="shared" si="2"/>
        <v>0.8</v>
      </c>
      <c r="O40" s="33">
        <f t="shared" si="3"/>
        <v>-0.8</v>
      </c>
      <c r="P40" s="33"/>
      <c r="Q40" s="33"/>
      <c r="R40" s="33"/>
      <c r="S40" s="33"/>
    </row>
    <row r="41" spans="1:19">
      <c r="A41" s="33">
        <f>$H$3 * 0.65</f>
        <v>0.32500000000000001</v>
      </c>
      <c r="B41" s="33">
        <f t="shared" si="5"/>
        <v>0.32500000000000001</v>
      </c>
      <c r="C41" s="33">
        <f t="shared" si="0"/>
        <v>0.37996710383926657</v>
      </c>
      <c r="D41" s="33">
        <f t="shared" si="1"/>
        <v>-0.37996710383926657</v>
      </c>
      <c r="E41" s="33"/>
      <c r="F41" s="33"/>
      <c r="G41" s="33"/>
      <c r="H41" s="33"/>
      <c r="L41" s="33">
        <f>$S$3 * 0.65</f>
        <v>0.65</v>
      </c>
      <c r="M41" s="33">
        <f t="shared" si="4"/>
        <v>0.65</v>
      </c>
      <c r="N41" s="33">
        <f t="shared" si="2"/>
        <v>0.75993420767853315</v>
      </c>
      <c r="O41" s="33">
        <f t="shared" si="3"/>
        <v>-0.75993420767853315</v>
      </c>
      <c r="P41" s="33"/>
      <c r="Q41" s="33"/>
      <c r="R41" s="33"/>
      <c r="S41" s="33"/>
    </row>
    <row r="42" spans="1:19">
      <c r="A42" s="33">
        <f>$H$3 * 0.7</f>
        <v>0.35</v>
      </c>
      <c r="B42" s="33">
        <f t="shared" si="5"/>
        <v>0.35</v>
      </c>
      <c r="C42" s="33">
        <f t="shared" si="0"/>
        <v>0.35707142142714249</v>
      </c>
      <c r="D42" s="33">
        <f t="shared" si="1"/>
        <v>-0.35707142142714249</v>
      </c>
      <c r="E42" s="33"/>
      <c r="F42" s="33"/>
      <c r="G42" s="33"/>
      <c r="H42" s="33"/>
      <c r="L42" s="33">
        <f>$S$3 * 0.7</f>
        <v>0.7</v>
      </c>
      <c r="M42" s="33">
        <f t="shared" si="4"/>
        <v>0.7</v>
      </c>
      <c r="N42" s="33">
        <f t="shared" si="2"/>
        <v>0.71414284285428498</v>
      </c>
      <c r="O42" s="33">
        <f t="shared" si="3"/>
        <v>-0.71414284285428498</v>
      </c>
      <c r="P42" s="33"/>
      <c r="Q42" s="33"/>
      <c r="R42" s="33"/>
      <c r="S42" s="33"/>
    </row>
    <row r="43" spans="1:19">
      <c r="A43" s="33">
        <f>$H$3 * 0.75</f>
        <v>0.375</v>
      </c>
      <c r="B43" s="33">
        <f t="shared" si="5"/>
        <v>0.375</v>
      </c>
      <c r="C43" s="33">
        <f t="shared" si="0"/>
        <v>0.33071891388307384</v>
      </c>
      <c r="D43" s="33">
        <f t="shared" si="1"/>
        <v>-0.33071891388307384</v>
      </c>
      <c r="E43" s="33"/>
      <c r="F43" s="33"/>
      <c r="G43" s="33"/>
      <c r="H43" s="33"/>
      <c r="L43" s="33">
        <f>$S$3 * 0.75</f>
        <v>0.75</v>
      </c>
      <c r="M43" s="33">
        <f t="shared" si="4"/>
        <v>0.75</v>
      </c>
      <c r="N43" s="33">
        <f t="shared" si="2"/>
        <v>0.66143782776614768</v>
      </c>
      <c r="O43" s="33">
        <f t="shared" si="3"/>
        <v>-0.66143782776614768</v>
      </c>
      <c r="P43" s="33"/>
      <c r="Q43" s="33"/>
      <c r="R43" s="33"/>
      <c r="S43" s="33"/>
    </row>
    <row r="44" spans="1:19">
      <c r="A44" s="33">
        <f>$H$3 * 0.8</f>
        <v>0.4</v>
      </c>
      <c r="B44" s="33">
        <f t="shared" si="5"/>
        <v>0.4</v>
      </c>
      <c r="C44" s="33">
        <f t="shared" si="0"/>
        <v>0.29999999999999993</v>
      </c>
      <c r="D44" s="33">
        <f t="shared" si="1"/>
        <v>-0.29999999999999993</v>
      </c>
      <c r="E44" s="33"/>
      <c r="F44" s="33"/>
      <c r="G44" s="33"/>
      <c r="H44" s="33"/>
      <c r="L44" s="33">
        <f>$S$3 * 0.8</f>
        <v>0.8</v>
      </c>
      <c r="M44" s="33">
        <f t="shared" si="4"/>
        <v>0.8</v>
      </c>
      <c r="N44" s="33">
        <f t="shared" si="2"/>
        <v>0.59999999999999987</v>
      </c>
      <c r="O44" s="33">
        <f t="shared" si="3"/>
        <v>-0.59999999999999987</v>
      </c>
      <c r="P44" s="33"/>
      <c r="Q44" s="33"/>
      <c r="R44" s="33"/>
      <c r="S44" s="33"/>
    </row>
    <row r="45" spans="1:19">
      <c r="A45" s="33">
        <f>$H$3 * 0.85</f>
        <v>0.42499999999999999</v>
      </c>
      <c r="B45" s="33">
        <f t="shared" si="5"/>
        <v>0.42499999999999999</v>
      </c>
      <c r="C45" s="33">
        <f t="shared" si="0"/>
        <v>0.26339134382131851</v>
      </c>
      <c r="D45" s="33">
        <f t="shared" si="1"/>
        <v>-0.26339134382131851</v>
      </c>
      <c r="E45" s="33"/>
      <c r="F45" s="33"/>
      <c r="G45" s="33"/>
      <c r="H45" s="33"/>
      <c r="L45" s="33">
        <f>$S$3 * 0.85</f>
        <v>0.85</v>
      </c>
      <c r="M45" s="33">
        <f t="shared" si="4"/>
        <v>0.85</v>
      </c>
      <c r="N45" s="33">
        <f t="shared" si="2"/>
        <v>0.52678268764263703</v>
      </c>
      <c r="O45" s="33">
        <f t="shared" si="3"/>
        <v>-0.52678268764263703</v>
      </c>
      <c r="P45" s="33"/>
      <c r="Q45" s="33"/>
      <c r="R45" s="33"/>
      <c r="S45" s="33"/>
    </row>
    <row r="46" spans="1:19">
      <c r="A46" s="33">
        <f>$H$3 * 0.9</f>
        <v>0.45</v>
      </c>
      <c r="B46" s="33">
        <f t="shared" si="5"/>
        <v>0.45</v>
      </c>
      <c r="C46" s="33">
        <f t="shared" si="0"/>
        <v>0.21794494717703364</v>
      </c>
      <c r="D46" s="33">
        <f t="shared" si="1"/>
        <v>-0.21794494717703364</v>
      </c>
      <c r="E46" s="33"/>
      <c r="F46" s="33"/>
      <c r="G46" s="33"/>
      <c r="H46" s="33"/>
      <c r="L46" s="33">
        <f>$S$3 * 0.9</f>
        <v>0.9</v>
      </c>
      <c r="M46" s="33">
        <f t="shared" si="4"/>
        <v>0.9</v>
      </c>
      <c r="N46" s="33">
        <f t="shared" si="2"/>
        <v>0.43588989435406728</v>
      </c>
      <c r="O46" s="33">
        <f t="shared" si="3"/>
        <v>-0.43588989435406728</v>
      </c>
      <c r="P46" s="33"/>
      <c r="Q46" s="33"/>
      <c r="R46" s="33"/>
      <c r="S46" s="33"/>
    </row>
    <row r="47" spans="1:19">
      <c r="A47" s="33">
        <f>$H$3 * 0.95</f>
        <v>0.47499999999999998</v>
      </c>
      <c r="B47" s="33">
        <f t="shared" si="5"/>
        <v>0.47499999999999998</v>
      </c>
      <c r="C47" s="33">
        <f t="shared" si="0"/>
        <v>0.15612494995995999</v>
      </c>
      <c r="D47" s="33">
        <f t="shared" si="1"/>
        <v>-0.15612494995995999</v>
      </c>
      <c r="E47" s="33"/>
      <c r="F47" s="33"/>
      <c r="G47" s="33"/>
      <c r="H47" s="33"/>
      <c r="L47" s="33">
        <f>$S$3 * 0.95</f>
        <v>0.95</v>
      </c>
      <c r="M47" s="33">
        <f t="shared" si="4"/>
        <v>0.95</v>
      </c>
      <c r="N47" s="33">
        <f t="shared" si="2"/>
        <v>0.31224989991991997</v>
      </c>
      <c r="O47" s="33">
        <f t="shared" si="3"/>
        <v>-0.31224989991991997</v>
      </c>
      <c r="P47" s="33"/>
      <c r="Q47" s="33"/>
      <c r="R47" s="33"/>
      <c r="S47" s="33"/>
    </row>
    <row r="48" spans="1:19">
      <c r="A48" s="33">
        <f>$H$3 * 1</f>
        <v>0.5</v>
      </c>
      <c r="B48" s="33">
        <f t="shared" si="5"/>
        <v>0.5</v>
      </c>
      <c r="C48" s="33">
        <f t="shared" si="0"/>
        <v>0</v>
      </c>
      <c r="D48" s="33">
        <f t="shared" si="1"/>
        <v>0</v>
      </c>
      <c r="E48" s="33"/>
      <c r="F48" s="33"/>
      <c r="G48" s="33"/>
      <c r="H48" s="33"/>
      <c r="L48" s="33">
        <f>$S$3 * 1</f>
        <v>1</v>
      </c>
      <c r="M48" s="33">
        <f t="shared" si="4"/>
        <v>1</v>
      </c>
      <c r="N48" s="33">
        <f t="shared" si="2"/>
        <v>0</v>
      </c>
      <c r="O48" s="33">
        <f t="shared" si="3"/>
        <v>0</v>
      </c>
      <c r="P48" s="33"/>
      <c r="Q48" s="33"/>
      <c r="R48" s="33"/>
      <c r="S4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Other Stats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 Houvener</dc:creator>
  <cp:lastModifiedBy>Andrew L Houvener</cp:lastModifiedBy>
  <cp:lastPrinted>2009-02-16T07:55:28Z</cp:lastPrinted>
  <dcterms:created xsi:type="dcterms:W3CDTF">2009-01-16T22:24:53Z</dcterms:created>
  <dcterms:modified xsi:type="dcterms:W3CDTF">2009-05-04T02:56:56Z</dcterms:modified>
</cp:coreProperties>
</file>