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models\DemoS_004\"/>
    </mc:Choice>
  </mc:AlternateContent>
  <xr:revisionPtr revIDLastSave="0" documentId="13_ncr:1_{AAA3D752-15F2-47C5-89A2-B7C81AA26A2D}" xr6:coauthVersionLast="47" xr6:coauthVersionMax="47" xr10:uidLastSave="{00000000-0000-0000-0000-000000000000}"/>
  <bookViews>
    <workbookView xWindow="-110" yWindow="-110" windowWidth="19420" windowHeight="11500" tabRatio="901" firstSheet="5" activeTab="13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33" l="1"/>
  <c r="F24" i="133"/>
  <c r="E24" i="133"/>
  <c r="D24" i="133"/>
  <c r="L23" i="133"/>
  <c r="L22" i="133"/>
  <c r="J21" i="133"/>
  <c r="J24" i="133" s="1"/>
  <c r="I21" i="133"/>
  <c r="I24" i="133" s="1"/>
  <c r="H21" i="133"/>
  <c r="H24" i="133" s="1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4" i="133" s="1"/>
  <c r="L12" i="133"/>
  <c r="L11" i="133"/>
  <c r="L10" i="133"/>
  <c r="K8" i="133"/>
  <c r="J8" i="133"/>
  <c r="I8" i="133"/>
  <c r="H8" i="133"/>
  <c r="G8" i="133"/>
  <c r="G21" i="133" s="1"/>
  <c r="F8" i="133"/>
  <c r="E8" i="133"/>
  <c r="D8" i="133"/>
  <c r="L7" i="133"/>
  <c r="L6" i="133"/>
  <c r="L5" i="133"/>
  <c r="L8" i="133" s="1"/>
  <c r="G24" i="133" l="1"/>
  <c r="L21" i="133"/>
  <c r="L24" i="133"/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H11" i="146" s="1"/>
  <c r="E2" i="146"/>
  <c r="P5" i="146" s="1"/>
  <c r="C2" i="146"/>
  <c r="O5" i="146" s="1"/>
  <c r="B2" i="146"/>
  <c r="N5" i="146" s="1"/>
  <c r="O10" i="134" s="1"/>
  <c r="F2" i="145"/>
  <c r="H11" i="145" s="1"/>
  <c r="E2" i="145"/>
  <c r="C2" i="145"/>
  <c r="B2" i="145"/>
  <c r="I12" i="146"/>
  <c r="Q12" i="146"/>
  <c r="D2" i="146"/>
  <c r="I12" i="145"/>
  <c r="D2" i="145"/>
  <c r="E11" i="134"/>
  <c r="E10" i="134"/>
  <c r="E12" i="141"/>
  <c r="E12" i="138"/>
  <c r="R19" i="143"/>
  <c r="R14" i="143"/>
  <c r="R12" i="143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F11" i="143"/>
  <c r="E11" i="143"/>
  <c r="Y17" i="143"/>
  <c r="Y18" i="143"/>
  <c r="Y19" i="143"/>
  <c r="I15" i="136"/>
  <c r="I15" i="132"/>
  <c r="K6" i="140"/>
  <c r="D18" i="140"/>
  <c r="C18" i="140" s="1"/>
  <c r="K5" i="140"/>
  <c r="D17" i="140"/>
  <c r="C17" i="140"/>
  <c r="L18" i="140"/>
  <c r="L17" i="140"/>
  <c r="L6" i="140"/>
  <c r="E12" i="134"/>
  <c r="I12" i="134" s="1"/>
  <c r="E2" i="141"/>
  <c r="R5" i="141"/>
  <c r="C2" i="141"/>
  <c r="Q11" i="141" s="1"/>
  <c r="Y16" i="143"/>
  <c r="D2" i="144"/>
  <c r="N5" i="144"/>
  <c r="C2" i="144"/>
  <c r="M5" i="144"/>
  <c r="D11" i="144" s="1"/>
  <c r="K11" i="144"/>
  <c r="M11" i="144" s="1"/>
  <c r="G2" i="144"/>
  <c r="H10" i="144" s="1"/>
  <c r="E2" i="144"/>
  <c r="G10" i="144" s="1"/>
  <c r="O5" i="144"/>
  <c r="I10" i="144"/>
  <c r="X6" i="143"/>
  <c r="G2" i="143"/>
  <c r="J11" i="143" s="1"/>
  <c r="E2" i="143"/>
  <c r="X19" i="143" s="1"/>
  <c r="C2" i="143"/>
  <c r="L7" i="140" s="1"/>
  <c r="L19" i="140" s="1"/>
  <c r="B2" i="143"/>
  <c r="V19" i="143" s="1"/>
  <c r="B24" i="143" s="1"/>
  <c r="K10" i="140"/>
  <c r="C18" i="143" s="1"/>
  <c r="W5" i="143"/>
  <c r="V5" i="143"/>
  <c r="D24" i="143" s="1"/>
  <c r="Y15" i="143"/>
  <c r="Y14" i="143"/>
  <c r="Y13" i="143"/>
  <c r="Y12" i="143"/>
  <c r="G2" i="142"/>
  <c r="H10" i="142" s="1"/>
  <c r="E2" i="142"/>
  <c r="O11" i="142"/>
  <c r="K11" i="142"/>
  <c r="D2" i="142"/>
  <c r="N5" i="142" s="1"/>
  <c r="C2" i="142"/>
  <c r="M5" i="142" s="1"/>
  <c r="D11" i="142" s="1"/>
  <c r="P12" i="138"/>
  <c r="B12" i="138" s="1"/>
  <c r="D2" i="138"/>
  <c r="Q13" i="138"/>
  <c r="C2" i="138"/>
  <c r="Q5" i="138" s="1"/>
  <c r="B2" i="141"/>
  <c r="P6" i="141" s="1"/>
  <c r="B2" i="138"/>
  <c r="C12" i="138" s="1"/>
  <c r="R6" i="141"/>
  <c r="F2" i="141"/>
  <c r="H11" i="141" s="1"/>
  <c r="I11" i="141"/>
  <c r="R6" i="138"/>
  <c r="L5" i="140"/>
  <c r="F2" i="140"/>
  <c r="E2" i="140"/>
  <c r="M6" i="140" s="1"/>
  <c r="G2" i="134"/>
  <c r="E2" i="134"/>
  <c r="E8" i="134" s="1"/>
  <c r="F2" i="138"/>
  <c r="I11" i="138" s="1"/>
  <c r="E2" i="138"/>
  <c r="E11" i="138" s="1"/>
  <c r="E2" i="137"/>
  <c r="O13" i="137" s="1"/>
  <c r="G2" i="137"/>
  <c r="E2" i="136"/>
  <c r="G10" i="136" s="1"/>
  <c r="O13" i="136"/>
  <c r="G2" i="136"/>
  <c r="H10" i="136" s="1"/>
  <c r="E2" i="132"/>
  <c r="G10" i="132"/>
  <c r="G2" i="132"/>
  <c r="H10" i="132"/>
  <c r="K11" i="137"/>
  <c r="M13" i="137" s="1"/>
  <c r="K11" i="136"/>
  <c r="K11" i="132"/>
  <c r="D2" i="137"/>
  <c r="N5" i="137" s="1"/>
  <c r="C2" i="137"/>
  <c r="M5" i="137" s="1"/>
  <c r="K15" i="137"/>
  <c r="K14" i="137"/>
  <c r="D2" i="136"/>
  <c r="C2" i="136"/>
  <c r="K15" i="136"/>
  <c r="K14" i="136"/>
  <c r="K15" i="132"/>
  <c r="K14" i="132"/>
  <c r="D2" i="132"/>
  <c r="N5" i="132" s="1"/>
  <c r="C2" i="132"/>
  <c r="M11" i="132" s="1"/>
  <c r="B11" i="132" s="1"/>
  <c r="O11" i="144"/>
  <c r="O15" i="132"/>
  <c r="X17" i="143"/>
  <c r="O11" i="136"/>
  <c r="O14" i="136"/>
  <c r="O15" i="136"/>
  <c r="I10" i="132"/>
  <c r="O12" i="132"/>
  <c r="O14" i="132"/>
  <c r="M5" i="136"/>
  <c r="D12" i="136" s="1"/>
  <c r="O13" i="132"/>
  <c r="O11" i="132"/>
  <c r="O5" i="132"/>
  <c r="M14" i="136"/>
  <c r="B14" i="136" s="1"/>
  <c r="I10" i="136"/>
  <c r="P12" i="146"/>
  <c r="E11" i="145"/>
  <c r="P12" i="145"/>
  <c r="P11" i="141"/>
  <c r="B12" i="141" s="1"/>
  <c r="C12" i="141" s="1"/>
  <c r="Q6" i="138"/>
  <c r="W6" i="143"/>
  <c r="S13" i="138"/>
  <c r="S12" i="138"/>
  <c r="K18" i="140"/>
  <c r="B18" i="140" s="1"/>
  <c r="K17" i="140"/>
  <c r="B17" i="140" s="1"/>
  <c r="M17" i="140"/>
  <c r="M5" i="140"/>
  <c r="N17" i="140"/>
  <c r="N18" i="140"/>
  <c r="D22" i="143"/>
  <c r="L9" i="140"/>
  <c r="L21" i="140" s="1"/>
  <c r="L11" i="140"/>
  <c r="L23" i="140" s="1"/>
  <c r="X18" i="143"/>
  <c r="D16" i="143"/>
  <c r="R18" i="143"/>
  <c r="K9" i="140"/>
  <c r="K21" i="140"/>
  <c r="B21" i="140" s="1"/>
  <c r="K11" i="140"/>
  <c r="C19" i="143" s="1"/>
  <c r="V6" i="143"/>
  <c r="D25" i="143" s="1"/>
  <c r="D14" i="143"/>
  <c r="K7" i="140"/>
  <c r="V12" i="143" s="1"/>
  <c r="D19" i="143"/>
  <c r="L10" i="140"/>
  <c r="L22" i="140" s="1"/>
  <c r="X14" i="143"/>
  <c r="X12" i="143"/>
  <c r="X5" i="143"/>
  <c r="X13" i="143"/>
  <c r="C20" i="143"/>
  <c r="X16" i="143"/>
  <c r="K8" i="140"/>
  <c r="V18" i="143" s="1"/>
  <c r="V14" i="143"/>
  <c r="W14" i="143"/>
  <c r="V13" i="143"/>
  <c r="B14" i="143" s="1"/>
  <c r="P5" i="138"/>
  <c r="C10" i="134" s="1"/>
  <c r="G10" i="142"/>
  <c r="O12" i="146"/>
  <c r="N12" i="146" s="1"/>
  <c r="B12" i="146" s="1"/>
  <c r="C12" i="146" s="1"/>
  <c r="B16" i="143"/>
  <c r="P6" i="138"/>
  <c r="D15" i="138" s="1"/>
  <c r="O5" i="142"/>
  <c r="M18" i="140"/>
  <c r="M8" i="140"/>
  <c r="N19" i="140"/>
  <c r="N22" i="140"/>
  <c r="M7" i="140"/>
  <c r="Q12" i="141"/>
  <c r="Q6" i="141"/>
  <c r="I10" i="142"/>
  <c r="P5" i="145"/>
  <c r="Q12" i="145"/>
  <c r="D21" i="140"/>
  <c r="C21" i="140" s="1"/>
  <c r="Q12" i="138"/>
  <c r="N5" i="136"/>
  <c r="D12" i="143"/>
  <c r="D23" i="140"/>
  <c r="C23" i="140" s="1"/>
  <c r="C22" i="143"/>
  <c r="C14" i="143"/>
  <c r="D21" i="143"/>
  <c r="D15" i="143"/>
  <c r="K23" i="140"/>
  <c r="B23" i="140" s="1"/>
  <c r="M11" i="137"/>
  <c r="B11" i="137" s="1"/>
  <c r="R13" i="138"/>
  <c r="R12" i="138"/>
  <c r="E11" i="141"/>
  <c r="R12" i="141"/>
  <c r="R11" i="141"/>
  <c r="S11" i="141"/>
  <c r="Q5" i="141"/>
  <c r="S12" i="141"/>
  <c r="D14" i="138"/>
  <c r="I11" i="146" l="1"/>
  <c r="B13" i="137"/>
  <c r="N13" i="137"/>
  <c r="D11" i="137"/>
  <c r="D13" i="137"/>
  <c r="D12" i="137"/>
  <c r="C15" i="137"/>
  <c r="M15" i="136"/>
  <c r="D13" i="138"/>
  <c r="F12" i="134"/>
  <c r="M11" i="142"/>
  <c r="M14" i="137"/>
  <c r="V15" i="143"/>
  <c r="N12" i="132"/>
  <c r="M13" i="136"/>
  <c r="B13" i="136" s="1"/>
  <c r="N13" i="132"/>
  <c r="I11" i="145"/>
  <c r="M12" i="132"/>
  <c r="B12" i="132" s="1"/>
  <c r="O15" i="137"/>
  <c r="M15" i="132"/>
  <c r="B15" i="132" s="1"/>
  <c r="O14" i="137"/>
  <c r="N11" i="137"/>
  <c r="M12" i="137"/>
  <c r="M13" i="132"/>
  <c r="B13" i="132" s="1"/>
  <c r="M19" i="140"/>
  <c r="N11" i="132"/>
  <c r="H12" i="134"/>
  <c r="K22" i="140"/>
  <c r="B22" i="140" s="1"/>
  <c r="H10" i="137"/>
  <c r="N21" i="140"/>
  <c r="M15" i="137"/>
  <c r="O12" i="136"/>
  <c r="G10" i="137"/>
  <c r="O5" i="145"/>
  <c r="O12" i="145"/>
  <c r="N12" i="145" s="1"/>
  <c r="B12" i="145" s="1"/>
  <c r="C12" i="145" s="1"/>
  <c r="G12" i="134"/>
  <c r="D18" i="143"/>
  <c r="M20" i="140"/>
  <c r="E11" i="146"/>
  <c r="M22" i="140"/>
  <c r="N5" i="145"/>
  <c r="D14" i="136"/>
  <c r="D22" i="140"/>
  <c r="C22" i="140" s="1"/>
  <c r="M9" i="140"/>
  <c r="M11" i="140"/>
  <c r="D20" i="143"/>
  <c r="N20" i="140"/>
  <c r="C16" i="143"/>
  <c r="C15" i="136"/>
  <c r="M5" i="132"/>
  <c r="M12" i="136"/>
  <c r="D12" i="138"/>
  <c r="N15" i="132"/>
  <c r="K11" i="143"/>
  <c r="O5" i="137"/>
  <c r="M14" i="132"/>
  <c r="N14" i="132" s="1"/>
  <c r="M21" i="140"/>
  <c r="D23" i="143"/>
  <c r="O5" i="136"/>
  <c r="C14" i="138"/>
  <c r="C24" i="143"/>
  <c r="N23" i="140"/>
  <c r="D19" i="140"/>
  <c r="C19" i="140" s="1"/>
  <c r="D13" i="136"/>
  <c r="W12" i="143"/>
  <c r="B12" i="143"/>
  <c r="W18" i="143"/>
  <c r="B22" i="143"/>
  <c r="N15" i="136"/>
  <c r="B15" i="136"/>
  <c r="D15" i="141"/>
  <c r="D13" i="141"/>
  <c r="B11" i="144"/>
  <c r="N11" i="144"/>
  <c r="B12" i="136"/>
  <c r="N12" i="136"/>
  <c r="E9" i="134"/>
  <c r="D13" i="143"/>
  <c r="O11" i="143"/>
  <c r="W19" i="143"/>
  <c r="O11" i="134"/>
  <c r="D12" i="146"/>
  <c r="K19" i="140"/>
  <c r="B19" i="140" s="1"/>
  <c r="W13" i="143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B14" i="137" l="1"/>
  <c r="N14" i="137"/>
  <c r="B14" i="132"/>
  <c r="N12" i="137"/>
  <c r="B12" i="137"/>
  <c r="N13" i="136"/>
  <c r="D11" i="132"/>
  <c r="D13" i="132"/>
  <c r="C15" i="132"/>
  <c r="D14" i="132"/>
  <c r="D12" i="132"/>
  <c r="B18" i="143"/>
  <c r="W15" i="143"/>
  <c r="C9" i="134"/>
  <c r="D12" i="145"/>
  <c r="N11" i="142"/>
  <c r="B11" i="142"/>
  <c r="B15" i="137"/>
  <c r="N15" i="137"/>
  <c r="N11" i="136"/>
  <c r="B11" i="136"/>
  <c r="W16" i="143"/>
  <c r="B19" i="143"/>
  <c r="C11" i="134"/>
  <c r="D14" i="141"/>
  <c r="D12" i="141"/>
  <c r="W17" i="143"/>
  <c r="B20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<sst xmlns="http://schemas.openxmlformats.org/spreadsheetml/2006/main" count="945" uniqueCount="219">
  <si>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</si>
  <si>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</si>
  <si>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</si>
  <si>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</si>
  <si>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</si>
  <si>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</si>
  <si>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</si>
  <si>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</si>
  <si>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</si>
  <si>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</si>
  <si>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</si>
  <si>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</si>
  <si>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</si>
  <si>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</si>
  <si>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</si>
  <si>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</si>
  <si>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</si>
  <si>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</si>
  <si>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</si>
  <si>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</si>
  <si>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</si>
  <si>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</si>
  <si>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</si>
  <si>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</si>
  <si>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</si>
  <si>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</si>
  <si>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</si>
  <si>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</si>
  <si>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</si>
  <si>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</si>
  <si>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</si>
  <si>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</si>
  <si>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</si>
  <si>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</si>
  <si>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</si>
  <si>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</si>
  <si>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</si>
  <si>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</si>
  <si>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</si>
  <si>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</si>
  <si>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</si>
  <si>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</si>
  <si>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</si>
  <si>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</si>
  <si>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</si>
  <si>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</si>
  <si>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</si>
  <si>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</si>
  <si>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</si>
  <si>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</si>
  <si>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</si>
  <si>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</si>
  <si>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</si>
  <si>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</si>
  <si>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</si>
  <si>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</si>
  <si>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</si>
  <si>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</si>
  <si>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</si>
  <si>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</si>
  <si>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</si>
  <si>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</si>
  <si>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</si>
  <si>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</si>
  <si>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</si>
  <si>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</si>
  <si>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</si>
  <si>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</si>
  <si>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</si>
  <si>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</si>
  <si>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</si>
  <si>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</si>
  <si>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</si>
  <si>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</si>
  <si>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</si>
  <si>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</si>
  <si>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</si>
  <si>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</si>
  <si>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</si>
  <si>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</si>
  <si>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</si>
  <si>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</si>
  <si>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</si>
  <si>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</si>
  <si>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</si>
  <si>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</si>
  <si>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</si>
  <si>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</si>
  <si>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</si>
  <si>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</si>
  <si>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</si>
  <si>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</si>
  <si>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</si>
  <si>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</si>
  <si>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</si>
  <si>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</si>
  <si>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</si>
  <si>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</si>
  <si>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</si>
  <si>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</si>
  <si>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</si>
  <si>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</si>
  <si>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</si>
  <si>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</si>
  <si>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</si>
  <si>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</si>
  <si>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</si>
  <si>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</si>
  <si>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</si>
  <si>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</si>
  <si>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</si>
  <si>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</si>
  <si>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</si>
  <si>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</si>
  <si>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</si>
  <si>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</si>
  <si>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</si>
  <si>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</si>
  <si>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</si>
  <si>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</si>
  <si>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</si>
  <si>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</si>
  <si>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</si>
  <si>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</si>
  <si>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</si>
  <si>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</si>
  <si>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</si>
  <si>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</si>
  <si>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</si>
  <si>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</si>
  <si>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</si>
  <si>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</si>
  <si>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</si>
  <si>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</si>
  <si>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</si>
  <si>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</si>
  <si>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</si>
  <si>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</si>
  <si>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</si>
  <si>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</si>
  <si>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</si>
  <si>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</si>
  <si>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</si>
  <si>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</si>
  <si>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</si>
  <si>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</si>
  <si>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</si>
  <si>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</si>
  <si>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</si>
  <si>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</si>
  <si>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</si>
  <si>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</si>
  <si>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</si>
  <si>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</si>
  <si>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</si>
  <si>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</si>
  <si>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</si>
  <si>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</si>
  <si>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</si>
  <si>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</si>
  <si>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</si>
  <si>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</si>
  <si>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</si>
  <si>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</si>
  <si>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</si>
  <si>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</si>
  <si>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</si>
  <si>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</si>
  <si>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</si>
  <si>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</si>
  <si>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</si>
  <si>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</si>
  <si>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</si>
  <si>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</si>
  <si>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</si>
  <si>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</si>
  <si>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</si>
  <si>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</si>
  <si>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</si>
  <si>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</si>
  <si>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</si>
  <si>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</si>
  <si>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</si>
  <si>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</si>
  <si>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</si>
  <si>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</si>
  <si>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</si>
  <si>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</si>
  <si>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</si>
  <si>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</si>
  <si>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</si>
  <si>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</si>
  <si>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</si>
  <si>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</si>
  <si>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</si>
  <si>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</si>
  <si>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</si>
  <si>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</si>
  <si>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</si>
  <si>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</si>
  <si>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</si>
  <si>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</si>
  <si>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</si>
  <si>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</si>
  <si>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</si>
  <si>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</si>
  <si>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</si>
  <si>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</si>
  <si>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</si>
  <si>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</si>
  <si>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</si>
  <si>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</si>
  <si>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</si>
  <si>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</si>
  <si>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</si>
  <si>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</si>
  <si>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</si>
  <si>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</si>
  <si>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M€2020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</si>
</sst>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168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4" fillId="0" borderId="0" xfId="12" applyAlignment="1">
      <alignment horizontal="right"/>
    </xf>
    <xf numFmtId="0" fontId="5" fillId="0" borderId="0" xfId="12" applyFont="1" applyAlignment="1">
      <alignment horizontal="left"/>
    </xf>
    <xf numFmtId="0" fontId="4" fillId="0" borderId="0" xfId="12" applyAlignment="1">
      <alignment horizontal="left"/>
    </xf>
    <xf numFmtId="0" fontId="0" fillId="0" borderId="2" xfId="0" applyBorder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4" fillId="6" borderId="0" xfId="4"/>
    <xf numFmtId="0" fontId="19" fillId="0" borderId="0" xfId="7" applyFont="1" applyFill="1"/>
    <xf numFmtId="0" fontId="20" fillId="0" borderId="0" xfId="0" applyFont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/>
    <xf numFmtId="0" fontId="21" fillId="3" borderId="3" xfId="1" applyFont="1" applyBorder="1" applyAlignment="1">
      <alignment horizontal="center" wrapText="1"/>
    </xf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19" fillId="11" borderId="0" xfId="7" applyFont="1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10"/>
    <xf numFmtId="0" fontId="4" fillId="0" borderId="0" xfId="10" applyAlignment="1">
      <alignment wrapText="1"/>
    </xf>
    <xf numFmtId="0" fontId="3" fillId="0" borderId="0" xfId="12" applyFont="1" applyAlignment="1">
      <alignment horizontal="right" vertical="center" wrapText="1"/>
    </xf>
    <xf numFmtId="1" fontId="4" fillId="0" borderId="0" xfId="10" applyNumberFormat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Border="1"/>
    <xf numFmtId="0" fontId="4" fillId="0" borderId="2" xfId="0" applyFont="1" applyBorder="1"/>
    <xf numFmtId="0" fontId="4" fillId="0" borderId="2" xfId="10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Alignment="1">
      <alignment horizontal="left" vertical="center"/>
    </xf>
    <xf numFmtId="1" fontId="0" fillId="13" borderId="0" xfId="0" applyNumberFormat="1" applyFill="1"/>
    <xf numFmtId="1" fontId="3" fillId="13" borderId="0" xfId="0" applyNumberFormat="1" applyFont="1" applyFill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Alignment="1">
      <alignment horizontal="left" vertical="center"/>
    </xf>
    <xf numFmtId="1" fontId="0" fillId="16" borderId="0" xfId="0" applyNumberFormat="1" applyFill="1"/>
    <xf numFmtId="0" fontId="0" fillId="16" borderId="0" xfId="0" applyFill="1"/>
    <xf numFmtId="1" fontId="3" fillId="16" borderId="0" xfId="0" applyNumberFormat="1" applyFont="1" applyFill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1" fontId="0" fillId="15" borderId="2" xfId="0" applyNumberFormat="1" applyFill="1" applyBorder="1"/>
    <xf numFmtId="0" fontId="0" fillId="15" borderId="0" xfId="0" applyFill="1"/>
    <xf numFmtId="1" fontId="3" fillId="15" borderId="0" xfId="0" applyNumberFormat="1" applyFont="1" applyFill="1"/>
    <xf numFmtId="1" fontId="3" fillId="15" borderId="2" xfId="0" applyNumberFormat="1" applyFont="1" applyFill="1" applyBorder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/>
    <xf numFmtId="1" fontId="0" fillId="16" borderId="8" xfId="0" applyNumberFormat="1" applyFill="1" applyBorder="1"/>
    <xf numFmtId="0" fontId="4" fillId="16" borderId="0" xfId="10" applyFill="1"/>
    <xf numFmtId="2" fontId="4" fillId="16" borderId="0" xfId="10" applyNumberFormat="1" applyFill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20" fillId="0" borderId="0" xfId="10" applyFont="1"/>
    <xf numFmtId="2" fontId="4" fillId="0" borderId="0" xfId="10" applyNumberFormat="1"/>
    <xf numFmtId="1" fontId="4" fillId="17" borderId="0" xfId="10" applyNumberFormat="1" applyFill="1"/>
    <xf numFmtId="1" fontId="4" fillId="16" borderId="0" xfId="10" applyNumberFormat="1" applyFill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1" fontId="0" fillId="17" borderId="2" xfId="0" applyNumberFormat="1" applyFill="1" applyBorder="1"/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17" borderId="2" xfId="10" applyNumberFormat="1" applyFill="1" applyBorder="1"/>
    <xf numFmtId="0" fontId="4" fillId="16" borderId="2" xfId="10" applyFill="1" applyBorder="1"/>
    <xf numFmtId="2" fontId="4" fillId="16" borderId="2" xfId="10" applyNumberFormat="1" applyFill="1" applyBorder="1"/>
    <xf numFmtId="1" fontId="25" fillId="12" borderId="2" xfId="2" applyNumberFormat="1" applyFont="1" applyFill="1" applyBorder="1" applyAlignment="1">
      <alignment horizontal="right" wrapText="1"/>
    </xf>
    <xf numFmtId="165" fontId="4" fillId="16" borderId="0" xfId="10" applyNumberFormat="1" applyFill="1"/>
    <xf numFmtId="1" fontId="4" fillId="0" borderId="2" xfId="10" applyNumberFormat="1" applyBorder="1"/>
    <xf numFmtId="165" fontId="4" fillId="16" borderId="2" xfId="10" applyNumberFormat="1" applyFill="1" applyBorder="1"/>
    <xf numFmtId="167" fontId="0" fillId="16" borderId="0" xfId="0" applyNumberFormat="1" applyFill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/>
    <xf numFmtId="168" fontId="4" fillId="0" borderId="0" xfId="10" applyNumberFormat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Alignment="1">
      <alignment wrapText="1"/>
    </xf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0" fontId="21" fillId="13" borderId="1" xfId="2" applyFont="1" applyFill="1" applyBorder="1" applyAlignment="1">
      <alignment horizontal="center" wrapText="1"/>
    </xf>
  </cellXfs>
  <cellStyles count="2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7"/>
  <sheetViews>
    <sheetView topLeftCell="A29" zoomScale="90" zoomScaleNormal="90" workbookViewId="0">
      <selection activeCell="G52" sqref="G52"/>
    </sheetView>
  </sheetViews>
  <sheetFormatPr defaultRowHeight="12.5" x14ac:dyDescent="0.25"/>
  <cols>
    <col min="1" max="1" width="3" bestFit="1" customWidth="1"/>
    <col min="2" max="2" width="18.453125" bestFit="1" customWidth="1"/>
    <col min="3" max="3" width="41.1796875" bestFit="1" customWidth="1"/>
    <col min="4" max="5" width="13.26953125" customWidth="1"/>
    <col min="6" max="6" width="15.1796875" customWidth="1"/>
    <col min="7" max="11" width="13" customWidth="1"/>
    <col min="12" max="13" width="10.81640625" customWidth="1"/>
    <col min="14" max="14" width="12.54296875" bestFit="1" customWidth="1"/>
    <col min="15" max="15" width="2" bestFit="1" customWidth="1"/>
    <col min="16" max="16" width="12.26953125" bestFit="1" customWidth="1"/>
    <col min="18" max="18" width="6.7265625" bestFit="1" customWidth="1"/>
    <col min="19" max="19" width="9.26953125" bestFit="1" customWidth="1"/>
    <col min="20" max="20" width="2" bestFit="1" customWidth="1"/>
  </cols>
  <sheetData>
    <row r="1" spans="2:19" ht="13" x14ac:dyDescent="0.3">
      <c r="P1" s="25" t="s">
        <v>118</v>
      </c>
      <c r="Q1" s="1" t="s">
        <v>119</v>
      </c>
      <c r="R1" s="1" t="s">
        <v>120</v>
      </c>
      <c r="S1" s="1" t="s">
        <v>140</v>
      </c>
    </row>
    <row r="2" spans="2:19" ht="15.5" x14ac:dyDescent="0.35">
      <c r="D2" s="57" t="s">
        <v>47</v>
      </c>
      <c r="E2" s="57" t="s">
        <v>48</v>
      </c>
      <c r="F2" s="57" t="s">
        <v>49</v>
      </c>
      <c r="G2" s="57" t="s">
        <v>50</v>
      </c>
      <c r="H2" s="57" t="s">
        <v>51</v>
      </c>
      <c r="I2" s="57" t="s">
        <v>52</v>
      </c>
      <c r="J2" s="57" t="s">
        <v>53</v>
      </c>
      <c r="K2" s="57" t="s">
        <v>54</v>
      </c>
      <c r="L2" s="34"/>
      <c r="Q2" s="53" t="s">
        <v>218</v>
      </c>
      <c r="R2" s="14" t="s">
        <v>97</v>
      </c>
      <c r="S2" s="14" t="s">
        <v>141</v>
      </c>
    </row>
    <row r="3" spans="2:19" ht="26" x14ac:dyDescent="0.3">
      <c r="C3" s="8"/>
      <c r="D3" s="58" t="s">
        <v>55</v>
      </c>
      <c r="E3" s="58" t="s">
        <v>56</v>
      </c>
      <c r="F3" s="58" t="s">
        <v>216</v>
      </c>
      <c r="G3" s="58" t="s">
        <v>57</v>
      </c>
      <c r="H3" s="58" t="s">
        <v>58</v>
      </c>
      <c r="I3" s="58" t="s">
        <v>59</v>
      </c>
      <c r="J3" s="58" t="s">
        <v>60</v>
      </c>
      <c r="K3" s="58" t="s">
        <v>111</v>
      </c>
      <c r="L3" s="51" t="s">
        <v>61</v>
      </c>
    </row>
    <row r="4" spans="2:19" x14ac:dyDescent="0.25">
      <c r="C4" s="9" t="s">
        <v>62</v>
      </c>
      <c r="G4" s="8"/>
      <c r="H4" s="8"/>
      <c r="I4" s="8"/>
      <c r="J4" s="8"/>
      <c r="K4" s="8"/>
      <c r="L4" s="8"/>
    </row>
    <row r="5" spans="2:19" ht="14.5" x14ac:dyDescent="0.35">
      <c r="B5" s="59" t="s">
        <v>63</v>
      </c>
      <c r="C5" s="54" t="s">
        <v>64</v>
      </c>
      <c r="D5" s="72">
        <v>13542</v>
      </c>
      <c r="E5" s="55">
        <v>1205</v>
      </c>
      <c r="F5" s="55">
        <v>1381</v>
      </c>
      <c r="G5" s="55">
        <v>509</v>
      </c>
      <c r="H5" s="55">
        <v>1087</v>
      </c>
      <c r="I5" s="55">
        <v>0</v>
      </c>
      <c r="J5" s="55">
        <v>0</v>
      </c>
      <c r="K5" s="55">
        <v>0</v>
      </c>
      <c r="L5" s="56">
        <f>SUM(D5:K5)</f>
        <v>17724</v>
      </c>
      <c r="P5" s="10"/>
    </row>
    <row r="6" spans="2:19" ht="14.5" x14ac:dyDescent="0.35">
      <c r="B6" s="59" t="s">
        <v>65</v>
      </c>
      <c r="C6" s="54" t="s">
        <v>66</v>
      </c>
      <c r="D6" s="70">
        <v>5502</v>
      </c>
      <c r="E6" s="55">
        <v>1730</v>
      </c>
      <c r="F6" s="55">
        <v>11550</v>
      </c>
      <c r="G6" s="55">
        <v>0</v>
      </c>
      <c r="H6" s="55">
        <v>0</v>
      </c>
      <c r="I6" s="55">
        <v>7.0000000000000001E-3</v>
      </c>
      <c r="J6" s="55">
        <v>0.153</v>
      </c>
      <c r="K6" s="55">
        <v>23</v>
      </c>
      <c r="L6" s="56">
        <f>SUM(D6:K6)</f>
        <v>18805.16</v>
      </c>
    </row>
    <row r="7" spans="2:19" ht="14.5" x14ac:dyDescent="0.35">
      <c r="B7" s="59" t="s">
        <v>67</v>
      </c>
      <c r="C7" s="54" t="s">
        <v>68</v>
      </c>
      <c r="D7" s="70">
        <v>-30</v>
      </c>
      <c r="E7" s="55">
        <v>0</v>
      </c>
      <c r="F7" s="55">
        <v>-2877</v>
      </c>
      <c r="G7" s="55">
        <v>0</v>
      </c>
      <c r="H7" s="55">
        <v>0</v>
      </c>
      <c r="I7" s="55">
        <v>0</v>
      </c>
      <c r="J7" s="55">
        <v>-0.129</v>
      </c>
      <c r="K7" s="55">
        <v>-35</v>
      </c>
      <c r="L7" s="56">
        <f>SUM(D7:K7)</f>
        <v>-2942.1289999999999</v>
      </c>
      <c r="P7" s="10"/>
    </row>
    <row r="8" spans="2:19" ht="14.5" x14ac:dyDescent="0.35">
      <c r="B8" s="133" t="s">
        <v>210</v>
      </c>
      <c r="C8" s="76" t="s">
        <v>211</v>
      </c>
      <c r="D8" s="74">
        <f>SUM(D5:D7)</f>
        <v>19014</v>
      </c>
      <c r="E8" s="78">
        <f>SUM(E5:E7)</f>
        <v>2935</v>
      </c>
      <c r="F8" s="78">
        <f>SUM(F5:F7)</f>
        <v>10054</v>
      </c>
      <c r="G8" s="78">
        <f t="shared" ref="G8:L8" si="0">SUM(G5:G7)</f>
        <v>509</v>
      </c>
      <c r="H8" s="78">
        <f t="shared" si="0"/>
        <v>1087</v>
      </c>
      <c r="I8" s="78">
        <f t="shared" si="0"/>
        <v>7.0000000000000001E-3</v>
      </c>
      <c r="J8" s="78">
        <f t="shared" si="0"/>
        <v>2.3999999999999994E-2</v>
      </c>
      <c r="K8" s="78">
        <f t="shared" si="0"/>
        <v>-12</v>
      </c>
      <c r="L8" s="79">
        <f t="shared" si="0"/>
        <v>33587.031000000003</v>
      </c>
    </row>
    <row r="9" spans="2:19" ht="13" x14ac:dyDescent="0.3">
      <c r="B9" s="52"/>
      <c r="C9" s="9" t="s">
        <v>69</v>
      </c>
      <c r="D9" s="8"/>
      <c r="E9" s="8"/>
      <c r="F9" s="8"/>
      <c r="G9" s="8"/>
      <c r="H9" s="8"/>
      <c r="I9" s="8"/>
      <c r="J9" s="8"/>
      <c r="K9" s="8"/>
      <c r="L9" s="77"/>
    </row>
    <row r="10" spans="2:19" ht="13" x14ac:dyDescent="0.3">
      <c r="B10" s="59" t="s">
        <v>70</v>
      </c>
      <c r="C10" s="81" t="s">
        <v>71</v>
      </c>
      <c r="D10" s="61">
        <v>0</v>
      </c>
      <c r="E10" s="61">
        <v>-792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-301</v>
      </c>
      <c r="L10" s="63">
        <f>SUM(D10:K10)</f>
        <v>-1093</v>
      </c>
    </row>
    <row r="11" spans="2:19" ht="13" x14ac:dyDescent="0.3">
      <c r="B11" s="59" t="s">
        <v>54</v>
      </c>
      <c r="C11" s="82" t="s">
        <v>72</v>
      </c>
      <c r="D11" s="61">
        <v>-11508</v>
      </c>
      <c r="E11" s="61">
        <v>-431</v>
      </c>
      <c r="F11" s="61">
        <v>0</v>
      </c>
      <c r="G11" s="61">
        <v>-509</v>
      </c>
      <c r="H11" s="61">
        <v>-1087</v>
      </c>
      <c r="I11" s="61">
        <v>0</v>
      </c>
      <c r="J11" s="61">
        <v>0</v>
      </c>
      <c r="K11" s="61">
        <v>4821</v>
      </c>
      <c r="L11" s="63">
        <f>SUM(D11:K11)</f>
        <v>-8714</v>
      </c>
    </row>
    <row r="12" spans="2:19" ht="13" x14ac:dyDescent="0.3">
      <c r="B12" s="59" t="s">
        <v>73</v>
      </c>
      <c r="C12" s="82" t="s">
        <v>74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3">
        <f>SUM(D12:K12)</f>
        <v>0</v>
      </c>
    </row>
    <row r="13" spans="2:19" ht="13" x14ac:dyDescent="0.3">
      <c r="B13" s="59" t="s">
        <v>75</v>
      </c>
      <c r="C13" s="82" t="s">
        <v>76</v>
      </c>
      <c r="D13" s="61"/>
      <c r="E13" s="61"/>
      <c r="F13" s="61">
        <v>-952</v>
      </c>
      <c r="G13" s="61"/>
      <c r="H13" s="61"/>
      <c r="I13" s="61"/>
      <c r="J13" s="61"/>
      <c r="K13" s="61"/>
      <c r="L13" s="63">
        <f>SUM(D13:K13)</f>
        <v>-952</v>
      </c>
    </row>
    <row r="14" spans="2:19" ht="14.5" x14ac:dyDescent="0.35">
      <c r="B14" s="52"/>
      <c r="C14" s="76" t="s">
        <v>77</v>
      </c>
      <c r="D14" s="80">
        <f>SUM(D10:D13)</f>
        <v>-11508</v>
      </c>
      <c r="E14" s="78">
        <f t="shared" ref="E14:J14" si="1">SUM(E10:E13)</f>
        <v>-1223</v>
      </c>
      <c r="F14" s="78">
        <f>SUM(F10:F13)</f>
        <v>-952</v>
      </c>
      <c r="G14" s="78">
        <f t="shared" si="1"/>
        <v>-509</v>
      </c>
      <c r="H14" s="78">
        <f t="shared" si="1"/>
        <v>-1087</v>
      </c>
      <c r="I14" s="78">
        <f t="shared" si="1"/>
        <v>0</v>
      </c>
      <c r="J14" s="78">
        <f t="shared" si="1"/>
        <v>0</v>
      </c>
      <c r="K14" s="78">
        <f>SUM(K10:K13)</f>
        <v>4520</v>
      </c>
      <c r="L14" s="79">
        <f>SUM(L10:L13)</f>
        <v>-10759</v>
      </c>
    </row>
    <row r="15" spans="2:19" ht="13" x14ac:dyDescent="0.3">
      <c r="B15" s="52"/>
      <c r="C15" s="9" t="s">
        <v>78</v>
      </c>
      <c r="D15" s="8"/>
      <c r="E15" s="8"/>
      <c r="F15" s="8"/>
      <c r="G15" s="8"/>
      <c r="H15" s="8"/>
      <c r="I15" s="8"/>
      <c r="J15" s="8"/>
      <c r="K15" s="8"/>
      <c r="L15" s="77"/>
    </row>
    <row r="16" spans="2:19" ht="13" x14ac:dyDescent="0.3">
      <c r="B16" s="59" t="s">
        <v>79</v>
      </c>
      <c r="C16" s="83" t="s">
        <v>80</v>
      </c>
      <c r="D16" s="65">
        <v>0</v>
      </c>
      <c r="E16" s="65">
        <v>420</v>
      </c>
      <c r="F16" s="65">
        <v>1185</v>
      </c>
      <c r="G16" s="65">
        <v>0</v>
      </c>
      <c r="H16" s="65">
        <v>0</v>
      </c>
      <c r="I16" s="65">
        <v>0</v>
      </c>
      <c r="J16" s="65">
        <v>0</v>
      </c>
      <c r="K16" s="65">
        <v>1115</v>
      </c>
      <c r="L16" s="68">
        <f t="shared" ref="L16:L23" si="2">SUM(D16:K16)</f>
        <v>2720</v>
      </c>
    </row>
    <row r="17" spans="2:14" ht="13" x14ac:dyDescent="0.3">
      <c r="B17" s="59" t="s">
        <v>81</v>
      </c>
      <c r="C17" s="84" t="s">
        <v>82</v>
      </c>
      <c r="D17" s="65">
        <v>0</v>
      </c>
      <c r="E17" s="65">
        <v>0</v>
      </c>
      <c r="F17" s="65">
        <v>4</v>
      </c>
      <c r="G17" s="65">
        <v>0</v>
      </c>
      <c r="H17" s="65">
        <v>0</v>
      </c>
      <c r="I17" s="65">
        <v>0</v>
      </c>
      <c r="J17" s="65">
        <v>0</v>
      </c>
      <c r="K17" s="65">
        <v>383</v>
      </c>
      <c r="L17" s="68">
        <f t="shared" si="2"/>
        <v>387</v>
      </c>
    </row>
    <row r="18" spans="2:14" ht="13" x14ac:dyDescent="0.3">
      <c r="B18" s="59" t="s">
        <v>83</v>
      </c>
      <c r="C18" s="84" t="s">
        <v>84</v>
      </c>
      <c r="D18" s="65">
        <v>7504</v>
      </c>
      <c r="E18" s="65">
        <v>27</v>
      </c>
      <c r="F18" s="65">
        <v>2156</v>
      </c>
      <c r="G18" s="65">
        <v>0</v>
      </c>
      <c r="H18" s="65">
        <v>0</v>
      </c>
      <c r="I18" s="65">
        <v>0</v>
      </c>
      <c r="J18" s="65">
        <v>0</v>
      </c>
      <c r="K18" s="65">
        <v>1925</v>
      </c>
      <c r="L18" s="68">
        <f t="shared" si="2"/>
        <v>11612</v>
      </c>
    </row>
    <row r="19" spans="2:14" ht="13" x14ac:dyDescent="0.3">
      <c r="B19" s="59" t="s">
        <v>85</v>
      </c>
      <c r="C19" s="84" t="s">
        <v>86</v>
      </c>
      <c r="D19" s="65">
        <v>0</v>
      </c>
      <c r="E19" s="65">
        <v>8</v>
      </c>
      <c r="F19" s="65">
        <v>31</v>
      </c>
      <c r="G19" s="65">
        <v>0</v>
      </c>
      <c r="H19" s="65">
        <v>0</v>
      </c>
      <c r="I19" s="65">
        <v>1E-3</v>
      </c>
      <c r="J19" s="65">
        <v>0</v>
      </c>
      <c r="K19" s="65">
        <v>763</v>
      </c>
      <c r="L19" s="68">
        <f t="shared" si="2"/>
        <v>802.00099999999998</v>
      </c>
    </row>
    <row r="20" spans="2:14" ht="13" x14ac:dyDescent="0.3">
      <c r="B20" s="59" t="s">
        <v>87</v>
      </c>
      <c r="C20" s="84" t="s">
        <v>88</v>
      </c>
      <c r="D20" s="65">
        <v>0</v>
      </c>
      <c r="E20" s="65">
        <v>441</v>
      </c>
      <c r="F20" s="65">
        <v>2008</v>
      </c>
      <c r="G20" s="65">
        <v>0</v>
      </c>
      <c r="H20" s="65">
        <v>0</v>
      </c>
      <c r="I20" s="65">
        <v>0</v>
      </c>
      <c r="J20" s="65">
        <v>0</v>
      </c>
      <c r="K20" s="65">
        <v>69</v>
      </c>
      <c r="L20" s="68">
        <f t="shared" si="2"/>
        <v>2518</v>
      </c>
    </row>
    <row r="21" spans="2:14" ht="13" x14ac:dyDescent="0.3">
      <c r="B21" s="59" t="s">
        <v>89</v>
      </c>
      <c r="C21" s="85" t="s">
        <v>90</v>
      </c>
      <c r="D21" s="66">
        <v>0</v>
      </c>
      <c r="E21" s="66">
        <v>33</v>
      </c>
      <c r="F21" s="66">
        <v>3717</v>
      </c>
      <c r="G21" s="66">
        <f>IF((SUM(G16:G20,G22:G23)-SUM(G10:G12))&gt;G8,0,(G8-SUM(G16:G20,G22:G23)+SUM(G10:G12)))</f>
        <v>0</v>
      </c>
      <c r="H21" s="66">
        <f>IF((SUM(H16:H20,H22:H23)-SUM(H10:H12))&gt;H8,0,(H8-SUM(H16:H20,H22:H23)+SUM(H10:H12)))</f>
        <v>0</v>
      </c>
      <c r="I21" s="66">
        <f>IF((SUM(I16:I20,I22:I23)-SUM(I10:I12))&gt;I8,0,(I8-SUM(I16:I20,I22:I23)+SUM(I10:I12)))</f>
        <v>6.0000000000000001E-3</v>
      </c>
      <c r="J21" s="66">
        <f>IF((SUM(J16:J20,J22:J23)-SUM(J10:J12))&gt;J8,0,(J8-SUM(J16:J20,J22:J23)+SUM(J10:J12)))</f>
        <v>2.3999999999999994E-2</v>
      </c>
      <c r="K21" s="66">
        <v>253</v>
      </c>
      <c r="L21" s="69">
        <f t="shared" si="2"/>
        <v>4003.0299999999997</v>
      </c>
    </row>
    <row r="22" spans="2:14" ht="13" x14ac:dyDescent="0.3">
      <c r="B22" s="59" t="s">
        <v>109</v>
      </c>
      <c r="C22" s="84" t="s">
        <v>91</v>
      </c>
      <c r="D22" s="65">
        <v>0</v>
      </c>
      <c r="E22" s="65">
        <v>782</v>
      </c>
      <c r="F22" s="65">
        <v>0</v>
      </c>
      <c r="G22" s="67"/>
      <c r="H22" s="65">
        <v>0</v>
      </c>
      <c r="I22" s="65">
        <v>0</v>
      </c>
      <c r="J22" s="65">
        <v>0</v>
      </c>
      <c r="K22" s="65">
        <v>0</v>
      </c>
      <c r="L22" s="68">
        <f t="shared" si="2"/>
        <v>782</v>
      </c>
    </row>
    <row r="23" spans="2:14" ht="13" x14ac:dyDescent="0.3">
      <c r="B23" s="59" t="s">
        <v>110</v>
      </c>
      <c r="C23" s="84" t="s">
        <v>92</v>
      </c>
      <c r="D23" s="65">
        <v>0</v>
      </c>
      <c r="E23" s="65">
        <v>0</v>
      </c>
      <c r="F23" s="65">
        <v>0</v>
      </c>
      <c r="G23" s="67"/>
      <c r="H23" s="65">
        <v>0</v>
      </c>
      <c r="I23" s="65">
        <v>0</v>
      </c>
      <c r="J23" s="65">
        <v>0</v>
      </c>
      <c r="K23" s="65">
        <v>0</v>
      </c>
      <c r="L23" s="68">
        <f t="shared" si="2"/>
        <v>0</v>
      </c>
    </row>
    <row r="24" spans="2:14" ht="14.5" x14ac:dyDescent="0.35">
      <c r="B24" s="133" t="s">
        <v>112</v>
      </c>
      <c r="C24" s="76" t="s">
        <v>212</v>
      </c>
      <c r="D24" s="73">
        <f t="shared" ref="D24:L24" si="3">SUM(D16:D23)</f>
        <v>7504</v>
      </c>
      <c r="E24" s="73">
        <f t="shared" si="3"/>
        <v>1711</v>
      </c>
      <c r="F24" s="73">
        <f t="shared" si="3"/>
        <v>9101</v>
      </c>
      <c r="G24" s="73">
        <f t="shared" si="3"/>
        <v>0</v>
      </c>
      <c r="H24" s="73">
        <f t="shared" si="3"/>
        <v>0</v>
      </c>
      <c r="I24" s="73">
        <f t="shared" si="3"/>
        <v>7.0000000000000001E-3</v>
      </c>
      <c r="J24" s="73">
        <f t="shared" si="3"/>
        <v>2.3999999999999994E-2</v>
      </c>
      <c r="K24" s="73">
        <f>SUM(K16:K23)</f>
        <v>4508</v>
      </c>
      <c r="L24" s="75">
        <f t="shared" si="3"/>
        <v>22824.030999999999</v>
      </c>
      <c r="N24" s="152"/>
    </row>
    <row r="25" spans="2:14" x14ac:dyDescent="0.25">
      <c r="D25" s="10"/>
      <c r="F25" s="10"/>
      <c r="G25" s="10"/>
      <c r="H25" s="10"/>
      <c r="I25" s="10"/>
      <c r="J25" s="10"/>
      <c r="K25" s="10"/>
      <c r="L25" s="10"/>
    </row>
    <row r="26" spans="2:14" x14ac:dyDescent="0.25">
      <c r="D26" s="10"/>
      <c r="F26" s="10"/>
      <c r="G26" s="10"/>
      <c r="H26" s="10"/>
      <c r="I26" s="10"/>
      <c r="J26" s="10"/>
      <c r="K26" s="10"/>
      <c r="L26" s="10"/>
      <c r="M26" s="10"/>
    </row>
    <row r="27" spans="2:14" ht="14.5" x14ac:dyDescent="0.35">
      <c r="C27" s="70" t="s">
        <v>195</v>
      </c>
      <c r="D27" s="70"/>
      <c r="E27" s="70"/>
      <c r="F27" s="10"/>
      <c r="G27" s="10"/>
      <c r="H27" s="10"/>
      <c r="I27" s="10"/>
      <c r="J27" s="10"/>
      <c r="K27" s="10"/>
      <c r="L27" s="10"/>
      <c r="M27" s="10"/>
    </row>
    <row r="28" spans="2:14" x14ac:dyDescent="0.25">
      <c r="D28" s="10"/>
      <c r="F28" s="10"/>
      <c r="G28" s="10"/>
      <c r="H28" s="10"/>
      <c r="I28" s="10"/>
      <c r="J28" s="10"/>
      <c r="K28" s="10"/>
      <c r="L28" s="10"/>
      <c r="M28" s="10"/>
    </row>
    <row r="29" spans="2:14" x14ac:dyDescent="0.25">
      <c r="D29" s="10"/>
      <c r="F29" s="10"/>
      <c r="G29" s="10"/>
      <c r="H29" s="10"/>
      <c r="I29" s="10"/>
      <c r="J29" s="10"/>
      <c r="K29" s="10"/>
      <c r="L29" s="10"/>
      <c r="M29" s="10"/>
    </row>
    <row r="30" spans="2:14" x14ac:dyDescent="0.25">
      <c r="D30" s="10"/>
      <c r="F30" s="10"/>
      <c r="G30" s="10"/>
      <c r="H30" s="10"/>
      <c r="I30" s="10"/>
      <c r="J30" s="10"/>
      <c r="K30" s="10"/>
      <c r="L30" s="10"/>
      <c r="M30" s="10"/>
    </row>
    <row r="31" spans="2:14" x14ac:dyDescent="0.25">
      <c r="D31" s="10"/>
      <c r="F31" s="10"/>
      <c r="G31" s="10"/>
      <c r="H31" s="10"/>
      <c r="I31" s="10"/>
      <c r="J31" s="10"/>
      <c r="K31" s="10"/>
      <c r="L31" s="10"/>
      <c r="M31" s="10"/>
    </row>
    <row r="32" spans="2:14" x14ac:dyDescent="0.25">
      <c r="D32" s="10"/>
      <c r="F32" s="10"/>
      <c r="G32" s="10"/>
      <c r="H32" s="10"/>
      <c r="I32" s="10"/>
      <c r="J32" s="10"/>
      <c r="K32" s="10"/>
      <c r="L32" s="10"/>
      <c r="M32" s="10"/>
    </row>
    <row r="33" spans="2:14" x14ac:dyDescent="0.25">
      <c r="D33" s="10"/>
      <c r="F33" s="10"/>
      <c r="G33" s="10"/>
      <c r="H33" s="10"/>
      <c r="I33" s="10"/>
      <c r="J33" s="10"/>
      <c r="K33" s="10"/>
      <c r="L33" s="10"/>
      <c r="M33" s="10"/>
    </row>
    <row r="34" spans="2:14" x14ac:dyDescent="0.25">
      <c r="D34" s="10"/>
      <c r="F34" s="10"/>
      <c r="G34" s="10"/>
      <c r="H34" s="10"/>
      <c r="I34" s="10"/>
      <c r="J34" s="10"/>
      <c r="K34" s="10"/>
      <c r="L34" s="10"/>
      <c r="M34" s="10"/>
    </row>
    <row r="35" spans="2:14" x14ac:dyDescent="0.25">
      <c r="D35" s="10"/>
      <c r="F35" s="10"/>
      <c r="G35" s="10"/>
      <c r="H35" s="10"/>
      <c r="I35" s="10"/>
      <c r="J35" s="10"/>
      <c r="K35" s="10"/>
      <c r="L35" s="10"/>
      <c r="M35" s="10"/>
    </row>
    <row r="36" spans="2:14" x14ac:dyDescent="0.25">
      <c r="D36" s="26" t="s">
        <v>47</v>
      </c>
      <c r="E36" s="26" t="s">
        <v>48</v>
      </c>
      <c r="F36" s="26" t="s">
        <v>49</v>
      </c>
      <c r="G36" s="1"/>
      <c r="H36" s="1"/>
      <c r="I36" s="1"/>
      <c r="J36" s="1"/>
      <c r="K36" s="1"/>
      <c r="L36" s="1"/>
      <c r="M36" s="1"/>
    </row>
    <row r="37" spans="2:14" x14ac:dyDescent="0.25">
      <c r="C37" s="27" t="s">
        <v>154</v>
      </c>
      <c r="D37" s="28">
        <v>0.5</v>
      </c>
      <c r="E37" s="28">
        <v>1</v>
      </c>
      <c r="F37" s="28">
        <v>1</v>
      </c>
      <c r="G37" s="31"/>
      <c r="H37" s="31"/>
      <c r="I37" s="31"/>
      <c r="J37" s="31"/>
      <c r="K37" s="31"/>
      <c r="L37" s="31"/>
      <c r="M37" s="31"/>
    </row>
    <row r="38" spans="2:14" x14ac:dyDescent="0.25">
      <c r="C38" s="29" t="s">
        <v>155</v>
      </c>
      <c r="D38" s="30">
        <v>0.5</v>
      </c>
      <c r="E38" s="30">
        <v>0</v>
      </c>
      <c r="F38" s="30">
        <v>0</v>
      </c>
      <c r="G38" s="31"/>
      <c r="H38" s="31"/>
      <c r="I38" s="31"/>
      <c r="J38" s="31"/>
      <c r="K38" s="31"/>
      <c r="L38" s="31"/>
      <c r="M38" s="31"/>
    </row>
    <row r="39" spans="2:14" x14ac:dyDescent="0.25">
      <c r="C39" s="1"/>
      <c r="D39" s="31"/>
    </row>
    <row r="40" spans="2:14" x14ac:dyDescent="0.25">
      <c r="C40" s="1"/>
      <c r="D40" s="31"/>
    </row>
    <row r="41" spans="2:14" ht="26" x14ac:dyDescent="0.3">
      <c r="B41" s="34" t="s">
        <v>130</v>
      </c>
      <c r="C41" s="94" t="s">
        <v>157</v>
      </c>
      <c r="D41" s="58" t="s">
        <v>55</v>
      </c>
      <c r="E41" s="58" t="s">
        <v>56</v>
      </c>
      <c r="F41" s="58" t="s">
        <v>190</v>
      </c>
      <c r="G41" s="58" t="s">
        <v>57</v>
      </c>
      <c r="H41" s="58" t="s">
        <v>58</v>
      </c>
      <c r="I41" s="58" t="s">
        <v>59</v>
      </c>
      <c r="J41" s="58" t="s">
        <v>60</v>
      </c>
      <c r="K41" s="58" t="s">
        <v>111</v>
      </c>
      <c r="L41" s="35"/>
    </row>
    <row r="42" spans="2:14" ht="13" x14ac:dyDescent="0.3">
      <c r="B42" s="59" t="s">
        <v>79</v>
      </c>
      <c r="C42" s="83" t="s">
        <v>131</v>
      </c>
      <c r="D42" s="86"/>
      <c r="E42" s="88"/>
      <c r="F42" s="88"/>
      <c r="G42" s="88"/>
      <c r="H42" s="88"/>
      <c r="I42" s="88"/>
      <c r="J42" s="88"/>
      <c r="K42" s="89"/>
      <c r="N42" s="83" t="s">
        <v>134</v>
      </c>
    </row>
    <row r="43" spans="2:14" ht="13" x14ac:dyDescent="0.3">
      <c r="B43" s="59" t="s">
        <v>79</v>
      </c>
      <c r="C43" s="84" t="s">
        <v>132</v>
      </c>
      <c r="D43" s="87"/>
      <c r="E43" s="60"/>
      <c r="F43" s="60"/>
      <c r="G43" s="60"/>
      <c r="H43" s="60"/>
      <c r="I43" s="60"/>
      <c r="J43" s="60"/>
      <c r="K43" s="90"/>
      <c r="N43" s="84" t="s">
        <v>135</v>
      </c>
    </row>
    <row r="44" spans="2:14" ht="14.5" x14ac:dyDescent="0.35">
      <c r="B44" s="59" t="s">
        <v>79</v>
      </c>
      <c r="C44" s="84" t="s">
        <v>133</v>
      </c>
      <c r="D44" s="87"/>
      <c r="E44" s="70">
        <v>1</v>
      </c>
      <c r="F44" s="60"/>
      <c r="G44" s="60"/>
      <c r="H44" s="60"/>
      <c r="I44" s="60"/>
      <c r="J44" s="60"/>
      <c r="K44" s="90"/>
      <c r="N44" s="84" t="s">
        <v>90</v>
      </c>
    </row>
    <row r="45" spans="2:14" ht="13" x14ac:dyDescent="0.3">
      <c r="B45" s="59"/>
      <c r="C45" s="84"/>
      <c r="D45" s="87"/>
      <c r="E45" s="60"/>
      <c r="F45" s="60"/>
      <c r="G45" s="60"/>
      <c r="H45" s="60"/>
      <c r="I45" s="60"/>
      <c r="J45" s="60"/>
      <c r="K45" s="90"/>
      <c r="N45" s="84"/>
    </row>
    <row r="46" spans="2:14" ht="13" x14ac:dyDescent="0.3">
      <c r="B46" s="59" t="s">
        <v>81</v>
      </c>
      <c r="C46" s="84" t="s">
        <v>136</v>
      </c>
      <c r="D46" s="87"/>
      <c r="E46" s="60"/>
      <c r="F46" s="60"/>
      <c r="G46" s="60"/>
      <c r="H46" s="60"/>
      <c r="I46" s="60"/>
      <c r="J46" s="60"/>
      <c r="K46" s="90"/>
      <c r="N46" s="84" t="s">
        <v>138</v>
      </c>
    </row>
    <row r="47" spans="2:14" ht="13" x14ac:dyDescent="0.3">
      <c r="B47" s="59" t="s">
        <v>81</v>
      </c>
      <c r="C47" s="84" t="s">
        <v>137</v>
      </c>
      <c r="D47" s="87"/>
      <c r="E47" s="60"/>
      <c r="F47" s="60"/>
      <c r="G47" s="60"/>
      <c r="H47" s="60"/>
      <c r="I47" s="60"/>
      <c r="J47" s="60"/>
      <c r="K47" s="90"/>
      <c r="N47" s="84" t="s">
        <v>139</v>
      </c>
    </row>
    <row r="48" spans="2:14" ht="13" x14ac:dyDescent="0.3">
      <c r="B48" s="59"/>
      <c r="C48" s="84"/>
      <c r="D48" s="87"/>
      <c r="E48" s="60"/>
      <c r="F48" s="60"/>
      <c r="G48" s="60"/>
      <c r="H48" s="60"/>
      <c r="I48" s="60"/>
      <c r="J48" s="60"/>
      <c r="K48" s="90"/>
      <c r="N48" s="84"/>
    </row>
    <row r="49" spans="2:14" ht="14.5" x14ac:dyDescent="0.35">
      <c r="B49" s="59" t="s">
        <v>87</v>
      </c>
      <c r="C49" s="85" t="s">
        <v>136</v>
      </c>
      <c r="D49" s="91"/>
      <c r="E49" s="64"/>
      <c r="F49" s="71">
        <v>1</v>
      </c>
      <c r="G49" s="64"/>
      <c r="H49" s="64"/>
      <c r="I49" s="64"/>
      <c r="J49" s="64"/>
      <c r="K49" s="92"/>
      <c r="N49" s="85" t="s">
        <v>138</v>
      </c>
    </row>
    <row r="52" spans="2:14" ht="13" x14ac:dyDescent="0.3">
      <c r="C52" s="98" t="s">
        <v>144</v>
      </c>
      <c r="D52" s="100" t="s">
        <v>145</v>
      </c>
      <c r="E52" s="99" t="s">
        <v>146</v>
      </c>
    </row>
    <row r="53" spans="2:14" ht="13" x14ac:dyDescent="0.3">
      <c r="B53" s="25" t="s">
        <v>158</v>
      </c>
      <c r="C53" s="93" t="s">
        <v>147</v>
      </c>
      <c r="D53" s="93" t="s">
        <v>148</v>
      </c>
      <c r="E53" s="96" t="s">
        <v>146</v>
      </c>
    </row>
    <row r="54" spans="2:14" ht="13" x14ac:dyDescent="0.3">
      <c r="B54" s="59" t="s">
        <v>79</v>
      </c>
      <c r="C54" s="95">
        <v>1</v>
      </c>
      <c r="D54" s="95"/>
      <c r="E54" s="95"/>
    </row>
    <row r="55" spans="2:14" ht="13" x14ac:dyDescent="0.3">
      <c r="B55" s="59" t="s">
        <v>87</v>
      </c>
      <c r="C55" s="95">
        <v>1</v>
      </c>
      <c r="D55" s="95"/>
      <c r="E55" s="95"/>
    </row>
    <row r="56" spans="2:14" ht="13" x14ac:dyDescent="0.3">
      <c r="B56" s="59" t="s">
        <v>89</v>
      </c>
      <c r="C56" s="95">
        <v>1</v>
      </c>
      <c r="D56" s="95"/>
      <c r="E56" s="95"/>
    </row>
    <row r="57" spans="2:14" ht="13" x14ac:dyDescent="0.3">
      <c r="B57" s="59" t="s">
        <v>54</v>
      </c>
      <c r="C57" s="97">
        <v>1</v>
      </c>
      <c r="D57" s="97"/>
      <c r="E57" s="97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4"/>
  <sheetViews>
    <sheetView zoomScaleNormal="100" workbookViewId="0">
      <selection activeCell="J10" sqref="J10"/>
    </sheetView>
  </sheetViews>
  <sheetFormatPr defaultColWidth="8.81640625" defaultRowHeight="12.5" x14ac:dyDescent="0.25"/>
  <cols>
    <col min="1" max="1" width="3" style="36" customWidth="1"/>
    <col min="2" max="2" width="12.1796875" style="36" bestFit="1" customWidth="1"/>
    <col min="3" max="3" width="15" style="36" customWidth="1"/>
    <col min="4" max="4" width="13.81640625" style="36" bestFit="1" customWidth="1"/>
    <col min="5" max="5" width="13.7265625" style="36" customWidth="1"/>
    <col min="6" max="6" width="13.1796875" style="36" bestFit="1" customWidth="1"/>
    <col min="7" max="7" width="7.54296875" style="36" customWidth="1"/>
    <col min="8" max="8" width="9.1796875" style="36" bestFit="1" customWidth="1"/>
    <col min="9" max="9" width="9.453125" style="36" customWidth="1"/>
    <col min="10" max="10" width="8.1796875" style="36" customWidth="1"/>
    <col min="11" max="11" width="2.7265625" style="36" customWidth="1"/>
    <col min="12" max="12" width="12.7265625" style="36" bestFit="1" customWidth="1"/>
    <col min="13" max="13" width="7.1796875" style="36" customWidth="1"/>
    <col min="14" max="14" width="11.453125" style="36" bestFit="1" customWidth="1"/>
    <col min="15" max="15" width="41.54296875" style="36" bestFit="1" customWidth="1"/>
    <col min="16" max="16" width="6.26953125" style="36" customWidth="1"/>
    <col min="17" max="17" width="11.7265625" style="36" customWidth="1"/>
    <col min="18" max="18" width="14.26953125" style="36" customWidth="1"/>
    <col min="19" max="19" width="13.7265625" style="36" bestFit="1" customWidth="1"/>
    <col min="20" max="20" width="8.453125" style="36" customWidth="1"/>
    <col min="21" max="16384" width="8.81640625" style="36"/>
  </cols>
  <sheetData>
    <row r="1" spans="2:20" ht="14.5" x14ac:dyDescent="0.35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38"/>
      <c r="H1" s="11" t="s">
        <v>126</v>
      </c>
    </row>
    <row r="2" spans="2:20" ht="31" x14ac:dyDescent="0.35">
      <c r="B2" s="2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M€2020</v>
      </c>
      <c r="G2" s="12"/>
      <c r="H2" s="14" t="s">
        <v>127</v>
      </c>
      <c r="L2" s="164" t="s">
        <v>14</v>
      </c>
      <c r="M2" s="164"/>
      <c r="N2" s="163"/>
      <c r="O2" s="163"/>
      <c r="P2" s="163"/>
      <c r="Q2" s="163"/>
      <c r="R2" s="163"/>
      <c r="S2" s="163"/>
      <c r="T2" s="163"/>
    </row>
    <row r="3" spans="2:20" ht="13" x14ac:dyDescent="0.3">
      <c r="L3" s="165" t="s">
        <v>7</v>
      </c>
      <c r="M3" s="166" t="s">
        <v>30</v>
      </c>
      <c r="N3" s="165" t="s">
        <v>0</v>
      </c>
      <c r="O3" s="165" t="s">
        <v>3</v>
      </c>
      <c r="P3" s="165" t="s">
        <v>4</v>
      </c>
      <c r="Q3" s="165" t="s">
        <v>8</v>
      </c>
      <c r="R3" s="165" t="s">
        <v>9</v>
      </c>
      <c r="S3" s="165" t="s">
        <v>10</v>
      </c>
      <c r="T3" s="165" t="s">
        <v>12</v>
      </c>
    </row>
    <row r="4" spans="2:20" ht="22" thickBot="1" x14ac:dyDescent="0.4">
      <c r="B4" s="12"/>
      <c r="C4" s="12"/>
      <c r="D4" s="12"/>
      <c r="E4" s="12"/>
      <c r="F4" s="12"/>
      <c r="L4" s="159" t="s">
        <v>40</v>
      </c>
      <c r="M4" s="159" t="s">
        <v>31</v>
      </c>
      <c r="N4" s="159" t="s">
        <v>26</v>
      </c>
      <c r="O4" s="159" t="s">
        <v>27</v>
      </c>
      <c r="P4" s="159" t="s">
        <v>4</v>
      </c>
      <c r="Q4" s="159" t="s">
        <v>43</v>
      </c>
      <c r="R4" s="159" t="s">
        <v>44</v>
      </c>
      <c r="S4" s="159" t="s">
        <v>28</v>
      </c>
      <c r="T4" s="159" t="s">
        <v>29</v>
      </c>
    </row>
    <row r="5" spans="2:20" ht="15.5" x14ac:dyDescent="0.35">
      <c r="B5" s="12"/>
      <c r="C5" s="12"/>
      <c r="D5" s="12"/>
      <c r="E5" s="12"/>
      <c r="F5" s="12"/>
      <c r="L5" s="163" t="s">
        <v>105</v>
      </c>
      <c r="M5" s="163"/>
      <c r="N5" s="163" t="str">
        <f>B2&amp;EnergyBalance!D2</f>
        <v>TPSCOA</v>
      </c>
      <c r="O5" s="163" t="str">
        <f>LEFT($D$2,6)&amp;" "&amp;$C$2&amp;" - "&amp;EnergyBalance!D2</f>
        <v>Demand Total Primary Supply - COA</v>
      </c>
      <c r="P5" s="163" t="str">
        <f>$E$2</f>
        <v>PJ</v>
      </c>
      <c r="Q5" s="163"/>
      <c r="R5" s="163"/>
      <c r="S5" s="163"/>
      <c r="T5" s="163"/>
    </row>
    <row r="8" spans="2:20" ht="13" x14ac:dyDescent="0.3">
      <c r="D8" s="6" t="s">
        <v>13</v>
      </c>
      <c r="E8" s="6"/>
      <c r="F8" s="6"/>
      <c r="H8" s="6"/>
      <c r="I8" s="7"/>
      <c r="J8" s="5"/>
      <c r="L8" s="164" t="s">
        <v>15</v>
      </c>
      <c r="M8" s="164"/>
      <c r="N8" s="163"/>
      <c r="O8" s="163"/>
      <c r="P8" s="163"/>
      <c r="Q8" s="163"/>
      <c r="R8" s="163"/>
      <c r="S8" s="163"/>
      <c r="T8" s="163"/>
    </row>
    <row r="9" spans="2:20" ht="13" x14ac:dyDescent="0.3">
      <c r="B9" s="21" t="s">
        <v>1</v>
      </c>
      <c r="C9" s="21" t="s">
        <v>5</v>
      </c>
      <c r="D9" s="21" t="s">
        <v>6</v>
      </c>
      <c r="E9" s="123" t="s">
        <v>207</v>
      </c>
      <c r="F9" s="122" t="s">
        <v>108</v>
      </c>
      <c r="G9" s="122" t="s">
        <v>124</v>
      </c>
      <c r="H9" s="122" t="s">
        <v>106</v>
      </c>
      <c r="I9" s="122" t="s">
        <v>107</v>
      </c>
      <c r="J9" s="123" t="s">
        <v>101</v>
      </c>
      <c r="L9" s="165" t="s">
        <v>11</v>
      </c>
      <c r="M9" s="166" t="s">
        <v>30</v>
      </c>
      <c r="N9" s="165" t="s">
        <v>1</v>
      </c>
      <c r="O9" s="165" t="s">
        <v>2</v>
      </c>
      <c r="P9" s="165" t="s">
        <v>16</v>
      </c>
      <c r="Q9" s="165" t="s">
        <v>17</v>
      </c>
      <c r="R9" s="165" t="s">
        <v>18</v>
      </c>
      <c r="S9" s="165" t="s">
        <v>19</v>
      </c>
      <c r="T9" s="165" t="s">
        <v>20</v>
      </c>
    </row>
    <row r="10" spans="2:20" ht="21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39" t="s">
        <v>125</v>
      </c>
      <c r="H10" s="19" t="s">
        <v>122</v>
      </c>
      <c r="I10" s="19" t="s">
        <v>121</v>
      </c>
      <c r="J10" s="19" t="s">
        <v>214</v>
      </c>
      <c r="L10" s="159" t="s">
        <v>41</v>
      </c>
      <c r="M10" s="159" t="s">
        <v>31</v>
      </c>
      <c r="N10" s="159" t="s">
        <v>21</v>
      </c>
      <c r="O10" s="159" t="s">
        <v>22</v>
      </c>
      <c r="P10" s="159" t="s">
        <v>23</v>
      </c>
      <c r="Q10" s="159" t="s">
        <v>24</v>
      </c>
      <c r="R10" s="159" t="s">
        <v>46</v>
      </c>
      <c r="S10" s="159" t="s">
        <v>45</v>
      </c>
      <c r="T10" s="159" t="s">
        <v>25</v>
      </c>
    </row>
    <row r="11" spans="2:20" ht="13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6"/>
      <c r="H11" s="17" t="str">
        <f>$F$2&amp;"/"&amp;$E$2</f>
        <v>M€2020/PJ</v>
      </c>
      <c r="I11" s="17" t="str">
        <f>$F$2&amp;"/"&amp;$E$2&amp;"a"</f>
        <v>M€2020/PJa</v>
      </c>
      <c r="J11" s="17" t="s">
        <v>115</v>
      </c>
      <c r="L11" s="159" t="s">
        <v>103</v>
      </c>
      <c r="M11" s="159"/>
      <c r="N11" s="159"/>
      <c r="O11" s="159"/>
      <c r="P11" s="159"/>
      <c r="Q11" s="159"/>
      <c r="R11" s="159"/>
      <c r="S11" s="159"/>
      <c r="T11" s="159"/>
    </row>
    <row r="12" spans="2:20" x14ac:dyDescent="0.25">
      <c r="B12" s="36" t="str">
        <f>N12</f>
        <v>DTPSCOA</v>
      </c>
      <c r="C12" s="36" t="str">
        <f>RIGHT(B12,3)</f>
        <v>COA</v>
      </c>
      <c r="D12" s="36" t="str">
        <f>$N$5</f>
        <v>TPSCOA</v>
      </c>
      <c r="F12" s="111">
        <v>1</v>
      </c>
      <c r="G12" s="111">
        <v>0.95</v>
      </c>
      <c r="H12" s="110">
        <v>10</v>
      </c>
      <c r="I12" s="111">
        <f>H12*0.02</f>
        <v>0.2</v>
      </c>
      <c r="J12" s="110">
        <v>20</v>
      </c>
      <c r="L12" s="163" t="s">
        <v>123</v>
      </c>
      <c r="M12" s="163"/>
      <c r="N12" s="163" t="str">
        <f>LEFT(L12,1)&amp;B2&amp;RIGHT(O12,3)</f>
        <v>DTPSCOA</v>
      </c>
      <c r="O12" s="163" t="str">
        <f>$D$2&amp;" "&amp;$C$2&amp;" - "&amp;EnergyBalance!D2</f>
        <v>Demand Technology Total Primary Supply - COA</v>
      </c>
      <c r="P12" s="163" t="str">
        <f>$E$2</f>
        <v>PJ</v>
      </c>
      <c r="Q12" s="163" t="str">
        <f>$E$2&amp;"a"</f>
        <v>PJa</v>
      </c>
      <c r="R12" s="163"/>
      <c r="S12" s="163"/>
      <c r="T12" s="163"/>
    </row>
    <row r="13" spans="2:20" x14ac:dyDescent="0.25">
      <c r="E13" s="39"/>
      <c r="F13" s="118"/>
      <c r="G13" s="118"/>
      <c r="I13" s="118"/>
    </row>
    <row r="14" spans="2:20" x14ac:dyDescent="0.25">
      <c r="E14" s="39"/>
      <c r="F14" s="118"/>
      <c r="G14" s="118"/>
      <c r="I14" s="118"/>
      <c r="O14" s="37"/>
    </row>
    <row r="15" spans="2:20" x14ac:dyDescent="0.25">
      <c r="E15" s="39"/>
      <c r="F15" s="118"/>
      <c r="G15" s="118"/>
      <c r="I15" s="118"/>
      <c r="O15" s="37"/>
    </row>
    <row r="18" spans="2:9" x14ac:dyDescent="0.25">
      <c r="I18" s="117"/>
    </row>
    <row r="19" spans="2:9" x14ac:dyDescent="0.25">
      <c r="I19" s="117"/>
    </row>
    <row r="23" spans="2:9" x14ac:dyDescent="0.25">
      <c r="B23" s="110"/>
      <c r="C23" s="36" t="s">
        <v>196</v>
      </c>
    </row>
    <row r="24" spans="2:9" x14ac:dyDescent="0.25">
      <c r="B24" s="132"/>
      <c r="C24" s="36" t="s">
        <v>197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4"/>
  <sheetViews>
    <sheetView zoomScaleNormal="100" workbookViewId="0">
      <selection activeCell="J10" sqref="J10"/>
    </sheetView>
  </sheetViews>
  <sheetFormatPr defaultColWidth="8.81640625" defaultRowHeight="12.5" x14ac:dyDescent="0.25"/>
  <cols>
    <col min="1" max="1" width="3" style="36" customWidth="1"/>
    <col min="2" max="2" width="12.1796875" style="36" bestFit="1" customWidth="1"/>
    <col min="3" max="3" width="15" style="36" customWidth="1"/>
    <col min="4" max="4" width="13.81640625" style="36" bestFit="1" customWidth="1"/>
    <col min="5" max="5" width="12.26953125" style="36" customWidth="1"/>
    <col min="6" max="6" width="12.1796875" style="36" bestFit="1" customWidth="1"/>
    <col min="7" max="7" width="7.54296875" style="36" customWidth="1"/>
    <col min="8" max="8" width="9.1796875" style="36" bestFit="1" customWidth="1"/>
    <col min="9" max="9" width="9.453125" style="36" customWidth="1"/>
    <col min="10" max="10" width="8.1796875" style="36" customWidth="1"/>
    <col min="11" max="11" width="2.7265625" style="36" customWidth="1"/>
    <col min="12" max="12" width="12.7265625" style="36" bestFit="1" customWidth="1"/>
    <col min="13" max="13" width="7.1796875" style="36" customWidth="1"/>
    <col min="14" max="14" width="11.453125" style="36" bestFit="1" customWidth="1"/>
    <col min="15" max="15" width="41.54296875" style="36" bestFit="1" customWidth="1"/>
    <col min="16" max="16" width="6.453125" style="36" customWidth="1"/>
    <col min="17" max="17" width="11.7265625" style="36" customWidth="1"/>
    <col min="18" max="18" width="14.26953125" style="36" customWidth="1"/>
    <col min="19" max="19" width="13.7265625" style="36" bestFit="1" customWidth="1"/>
    <col min="20" max="20" width="8.453125" style="36" customWidth="1"/>
    <col min="21" max="16384" width="8.81640625" style="36"/>
  </cols>
  <sheetData>
    <row r="1" spans="2:20" ht="14.5" x14ac:dyDescent="0.35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</row>
    <row r="2" spans="2:20" ht="31" x14ac:dyDescent="0.35">
      <c r="B2" s="1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M€2020</v>
      </c>
      <c r="H2" s="14" t="s">
        <v>127</v>
      </c>
      <c r="L2" s="164" t="s">
        <v>14</v>
      </c>
      <c r="M2" s="164"/>
      <c r="N2" s="163"/>
      <c r="O2" s="163"/>
      <c r="P2" s="163"/>
      <c r="Q2" s="163"/>
      <c r="R2" s="163"/>
      <c r="S2" s="163"/>
      <c r="T2" s="163"/>
    </row>
    <row r="3" spans="2:20" ht="13" x14ac:dyDescent="0.3">
      <c r="L3" s="165" t="s">
        <v>7</v>
      </c>
      <c r="M3" s="166" t="s">
        <v>30</v>
      </c>
      <c r="N3" s="165" t="s">
        <v>0</v>
      </c>
      <c r="O3" s="165" t="s">
        <v>3</v>
      </c>
      <c r="P3" s="165" t="s">
        <v>4</v>
      </c>
      <c r="Q3" s="165" t="s">
        <v>8</v>
      </c>
      <c r="R3" s="165" t="s">
        <v>9</v>
      </c>
      <c r="S3" s="165" t="s">
        <v>10</v>
      </c>
      <c r="T3" s="165" t="s">
        <v>12</v>
      </c>
    </row>
    <row r="4" spans="2:20" ht="22" thickBot="1" x14ac:dyDescent="0.4">
      <c r="B4" s="12"/>
      <c r="C4" s="12"/>
      <c r="D4" s="12"/>
      <c r="E4" s="12"/>
      <c r="F4" s="12"/>
      <c r="L4" s="159" t="s">
        <v>40</v>
      </c>
      <c r="M4" s="159" t="s">
        <v>31</v>
      </c>
      <c r="N4" s="159" t="s">
        <v>26</v>
      </c>
      <c r="O4" s="159" t="s">
        <v>27</v>
      </c>
      <c r="P4" s="159" t="s">
        <v>4</v>
      </c>
      <c r="Q4" s="159" t="s">
        <v>43</v>
      </c>
      <c r="R4" s="159" t="s">
        <v>44</v>
      </c>
      <c r="S4" s="159" t="s">
        <v>28</v>
      </c>
      <c r="T4" s="159" t="s">
        <v>29</v>
      </c>
    </row>
    <row r="5" spans="2:20" ht="15.5" x14ac:dyDescent="0.35">
      <c r="B5" s="12"/>
      <c r="C5" s="12"/>
      <c r="D5" s="12"/>
      <c r="E5" s="12"/>
      <c r="F5" s="12"/>
      <c r="L5" s="163" t="s">
        <v>105</v>
      </c>
      <c r="M5" s="163"/>
      <c r="N5" s="163" t="str">
        <f>B2&amp;EnergyBalance!K2</f>
        <v>TPSELC</v>
      </c>
      <c r="O5" s="163" t="str">
        <f>LEFT($D$2,6)&amp;" "&amp;$C$2&amp;" - "&amp;EnergyBalance!K2</f>
        <v>Demand Total Primary Supply - ELC</v>
      </c>
      <c r="P5" s="163" t="str">
        <f>$E$2</f>
        <v>PJ</v>
      </c>
      <c r="Q5" s="163"/>
      <c r="R5" s="163"/>
      <c r="S5" s="163"/>
      <c r="T5" s="163"/>
    </row>
    <row r="8" spans="2:20" ht="13" x14ac:dyDescent="0.3">
      <c r="D8" s="6" t="s">
        <v>13</v>
      </c>
      <c r="E8" s="6"/>
      <c r="F8" s="6"/>
      <c r="H8" s="6"/>
      <c r="I8" s="7"/>
      <c r="J8" s="5"/>
      <c r="L8" s="164" t="s">
        <v>15</v>
      </c>
      <c r="M8" s="164"/>
      <c r="N8" s="163"/>
      <c r="O8" s="163"/>
      <c r="P8" s="163"/>
      <c r="Q8" s="163"/>
      <c r="R8" s="163"/>
      <c r="S8" s="163"/>
      <c r="T8" s="163"/>
    </row>
    <row r="9" spans="2:20" ht="13" x14ac:dyDescent="0.3">
      <c r="B9" s="21" t="s">
        <v>1</v>
      </c>
      <c r="C9" s="21" t="s">
        <v>5</v>
      </c>
      <c r="D9" s="21" t="s">
        <v>6</v>
      </c>
      <c r="E9" s="123" t="s">
        <v>207</v>
      </c>
      <c r="F9" s="122" t="s">
        <v>108</v>
      </c>
      <c r="G9" s="122" t="s">
        <v>124</v>
      </c>
      <c r="H9" s="122" t="s">
        <v>106</v>
      </c>
      <c r="I9" s="122" t="s">
        <v>107</v>
      </c>
      <c r="J9" s="123" t="s">
        <v>101</v>
      </c>
      <c r="L9" s="165" t="s">
        <v>11</v>
      </c>
      <c r="M9" s="166" t="s">
        <v>30</v>
      </c>
      <c r="N9" s="165" t="s">
        <v>1</v>
      </c>
      <c r="O9" s="165" t="s">
        <v>2</v>
      </c>
      <c r="P9" s="165" t="s">
        <v>16</v>
      </c>
      <c r="Q9" s="165" t="s">
        <v>17</v>
      </c>
      <c r="R9" s="165" t="s">
        <v>18</v>
      </c>
      <c r="S9" s="165" t="s">
        <v>19</v>
      </c>
      <c r="T9" s="165" t="s">
        <v>20</v>
      </c>
    </row>
    <row r="10" spans="2:20" ht="21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39" t="s">
        <v>125</v>
      </c>
      <c r="H10" s="19" t="s">
        <v>122</v>
      </c>
      <c r="I10" s="19" t="s">
        <v>121</v>
      </c>
      <c r="J10" s="19" t="s">
        <v>214</v>
      </c>
      <c r="L10" s="159" t="s">
        <v>41</v>
      </c>
      <c r="M10" s="159" t="s">
        <v>31</v>
      </c>
      <c r="N10" s="159" t="s">
        <v>21</v>
      </c>
      <c r="O10" s="159" t="s">
        <v>22</v>
      </c>
      <c r="P10" s="159" t="s">
        <v>23</v>
      </c>
      <c r="Q10" s="159" t="s">
        <v>24</v>
      </c>
      <c r="R10" s="159" t="s">
        <v>46</v>
      </c>
      <c r="S10" s="159" t="s">
        <v>45</v>
      </c>
      <c r="T10" s="159" t="s">
        <v>25</v>
      </c>
    </row>
    <row r="11" spans="2:20" ht="13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6"/>
      <c r="H11" s="17" t="str">
        <f>$F$2&amp;"/"&amp;$E$2</f>
        <v>M€2020/PJ</v>
      </c>
      <c r="I11" s="17" t="str">
        <f>$F$2&amp;"/"&amp;$E$2&amp;"a"</f>
        <v>M€2020/PJa</v>
      </c>
      <c r="J11" s="17" t="s">
        <v>115</v>
      </c>
      <c r="L11" s="159" t="s">
        <v>103</v>
      </c>
      <c r="M11" s="159"/>
      <c r="N11" s="159"/>
      <c r="O11" s="159"/>
      <c r="P11" s="159"/>
      <c r="Q11" s="159"/>
      <c r="R11" s="159"/>
      <c r="S11" s="159"/>
      <c r="T11" s="159"/>
    </row>
    <row r="12" spans="2:20" x14ac:dyDescent="0.25">
      <c r="B12" s="36" t="str">
        <f>N12</f>
        <v>DTPSELC</v>
      </c>
      <c r="C12" s="36" t="str">
        <f>RIGHT(B12,3)</f>
        <v>ELC</v>
      </c>
      <c r="D12" s="36" t="str">
        <f>$N$5</f>
        <v>TPSELC</v>
      </c>
      <c r="F12" s="111">
        <v>1</v>
      </c>
      <c r="G12" s="111">
        <v>0.95</v>
      </c>
      <c r="H12" s="110">
        <v>10</v>
      </c>
      <c r="I12" s="111">
        <f>H12*0.02</f>
        <v>0.2</v>
      </c>
      <c r="J12" s="110">
        <v>20</v>
      </c>
      <c r="L12" s="163" t="s">
        <v>123</v>
      </c>
      <c r="M12" s="163"/>
      <c r="N12" s="163" t="str">
        <f>LEFT(L12,1)&amp;B2&amp;RIGHT(O12,3)</f>
        <v>DTPSELC</v>
      </c>
      <c r="O12" s="163" t="str">
        <f>$D$2&amp;" "&amp;$C$2&amp;" - "&amp;EnergyBalance!K2</f>
        <v>Demand Technology Total Primary Supply - ELC</v>
      </c>
      <c r="P12" s="163" t="str">
        <f>$E$2</f>
        <v>PJ</v>
      </c>
      <c r="Q12" s="163" t="str">
        <f>$E$2&amp;"a"</f>
        <v>PJa</v>
      </c>
      <c r="R12" s="163"/>
      <c r="S12" s="163"/>
      <c r="T12" s="163"/>
    </row>
    <row r="13" spans="2:20" x14ac:dyDescent="0.25">
      <c r="E13" s="39"/>
      <c r="F13" s="118"/>
      <c r="G13" s="118"/>
      <c r="I13" s="118"/>
    </row>
    <row r="14" spans="2:20" x14ac:dyDescent="0.25">
      <c r="E14" s="39"/>
      <c r="F14" s="118"/>
      <c r="G14" s="118"/>
      <c r="I14" s="118"/>
      <c r="O14" s="37"/>
    </row>
    <row r="15" spans="2:20" x14ac:dyDescent="0.25">
      <c r="E15" s="39"/>
      <c r="F15" s="118"/>
      <c r="G15" s="118"/>
      <c r="I15" s="118"/>
      <c r="O15" s="37"/>
    </row>
    <row r="18" spans="2:9" x14ac:dyDescent="0.25">
      <c r="I18" s="117"/>
    </row>
    <row r="19" spans="2:9" x14ac:dyDescent="0.25">
      <c r="I19" s="117"/>
    </row>
    <row r="23" spans="2:9" x14ac:dyDescent="0.25">
      <c r="B23" s="110"/>
      <c r="C23" s="36" t="s">
        <v>196</v>
      </c>
    </row>
    <row r="24" spans="2:9" x14ac:dyDescent="0.25">
      <c r="B24" s="132"/>
      <c r="C24" s="36" t="s">
        <v>197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8"/>
  <sheetViews>
    <sheetView zoomScale="90" zoomScaleNormal="90" workbookViewId="0">
      <selection activeCell="K15" sqref="K15"/>
    </sheetView>
  </sheetViews>
  <sheetFormatPr defaultRowHeight="12.5" x14ac:dyDescent="0.25"/>
  <cols>
    <col min="1" max="1" width="3" customWidth="1"/>
    <col min="2" max="2" width="12.1796875" bestFit="1" customWidth="1"/>
    <col min="3" max="3" width="12" customWidth="1"/>
    <col min="4" max="4" width="13.81640625" customWidth="1"/>
    <col min="5" max="5" width="13.1796875" customWidth="1"/>
    <col min="6" max="6" width="13.1796875" bestFit="1" customWidth="1"/>
    <col min="7" max="7" width="11.453125" bestFit="1" customWidth="1"/>
    <col min="8" max="8" width="11.81640625" bestFit="1" customWidth="1"/>
    <col min="9" max="9" width="11.54296875" bestFit="1" customWidth="1"/>
    <col min="10" max="10" width="8.81640625" customWidth="1"/>
    <col min="11" max="11" width="7" bestFit="1" customWidth="1"/>
    <col min="12" max="12" width="14" customWidth="1"/>
    <col min="13" max="13" width="2" customWidth="1"/>
    <col min="14" max="14" width="12.453125" customWidth="1"/>
    <col min="15" max="15" width="7.1796875" customWidth="1"/>
    <col min="16" max="16" width="11" customWidth="1"/>
    <col min="17" max="17" width="79.1796875" bestFit="1" customWidth="1"/>
    <col min="18" max="18" width="6.1796875" customWidth="1"/>
    <col min="19" max="19" width="12" customWidth="1"/>
    <col min="20" max="20" width="12.81640625" bestFit="1" customWidth="1"/>
    <col min="21" max="21" width="13.26953125" customWidth="1"/>
    <col min="22" max="22" width="8" bestFit="1" customWidth="1"/>
  </cols>
  <sheetData>
    <row r="1" spans="2:22" ht="14.5" x14ac:dyDescent="0.35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1" t="s">
        <v>191</v>
      </c>
      <c r="H1" s="11" t="s">
        <v>126</v>
      </c>
      <c r="I1" s="11" t="s">
        <v>206</v>
      </c>
    </row>
    <row r="2" spans="2:22" ht="31" x14ac:dyDescent="0.35">
      <c r="B2" s="14" t="str">
        <f>EnergyBalance!B20</f>
        <v>TRA</v>
      </c>
      <c r="C2" s="14" t="str">
        <f>EnergyBalance!C20</f>
        <v>Transport</v>
      </c>
      <c r="D2" s="24" t="s">
        <v>153</v>
      </c>
      <c r="E2" s="14" t="str">
        <f>EnergyBalance!R2</f>
        <v>PJ</v>
      </c>
      <c r="F2" s="14" t="str">
        <f>EnergyBalance!Q2</f>
        <v>M€2020</v>
      </c>
      <c r="G2" s="50" t="s">
        <v>192</v>
      </c>
      <c r="H2" s="14" t="s">
        <v>127</v>
      </c>
      <c r="I2" s="14" t="s">
        <v>128</v>
      </c>
      <c r="N2" s="155" t="s">
        <v>14</v>
      </c>
      <c r="O2" s="155"/>
      <c r="P2" s="156"/>
      <c r="Q2" s="156"/>
      <c r="R2" s="156"/>
      <c r="S2" s="156"/>
      <c r="T2" s="156"/>
      <c r="U2" s="156"/>
      <c r="V2" s="156"/>
    </row>
    <row r="3" spans="2:22" ht="13" x14ac:dyDescent="0.3">
      <c r="N3" s="157" t="s">
        <v>7</v>
      </c>
      <c r="O3" s="158" t="s">
        <v>30</v>
      </c>
      <c r="P3" s="157" t="s">
        <v>0</v>
      </c>
      <c r="Q3" s="157" t="s">
        <v>3</v>
      </c>
      <c r="R3" s="157" t="s">
        <v>4</v>
      </c>
      <c r="S3" s="157" t="s">
        <v>8</v>
      </c>
      <c r="T3" s="157" t="s">
        <v>9</v>
      </c>
      <c r="U3" s="157" t="s">
        <v>10</v>
      </c>
      <c r="V3" s="157" t="s">
        <v>12</v>
      </c>
    </row>
    <row r="4" spans="2:22" ht="22" thickBot="1" x14ac:dyDescent="0.4">
      <c r="B4" s="12"/>
      <c r="C4" s="12"/>
      <c r="D4" s="12"/>
      <c r="E4" s="12"/>
      <c r="F4" s="12"/>
      <c r="N4" s="159" t="s">
        <v>40</v>
      </c>
      <c r="O4" s="159" t="s">
        <v>31</v>
      </c>
      <c r="P4" s="159" t="s">
        <v>26</v>
      </c>
      <c r="Q4" s="159" t="s">
        <v>27</v>
      </c>
      <c r="R4" s="159" t="s">
        <v>4</v>
      </c>
      <c r="S4" s="159" t="s">
        <v>43</v>
      </c>
      <c r="T4" s="159" t="s">
        <v>44</v>
      </c>
      <c r="U4" s="159" t="s">
        <v>28</v>
      </c>
      <c r="V4" s="159" t="s">
        <v>29</v>
      </c>
    </row>
    <row r="5" spans="2:22" ht="15.5" x14ac:dyDescent="0.35">
      <c r="B5" s="12"/>
      <c r="C5" s="12"/>
      <c r="D5" s="12"/>
      <c r="E5" s="12"/>
      <c r="F5" s="12"/>
      <c r="N5" s="156" t="s">
        <v>105</v>
      </c>
      <c r="O5" s="160"/>
      <c r="P5" s="156" t="str">
        <f>LEFT($N$5,1)&amp;LEFT($B$2,1)&amp;EnergyBalance!$C$49</f>
        <v>DTD1</v>
      </c>
      <c r="Q5" s="156" t="str">
        <f>LEFT($D$2,6)&amp;" "&amp;$C$2&amp; " Sector - "&amp;EnergyBalance!$N$49</f>
        <v>Demand Transport Sector - Demand 1</v>
      </c>
      <c r="R5" s="156" t="str">
        <f>$E$2</f>
        <v>PJ</v>
      </c>
      <c r="S5" s="156"/>
      <c r="T5" s="156"/>
      <c r="U5" s="156"/>
      <c r="V5" s="156"/>
    </row>
    <row r="6" spans="2:22" x14ac:dyDescent="0.25">
      <c r="N6" s="160" t="s">
        <v>143</v>
      </c>
      <c r="O6" s="160"/>
      <c r="P6" s="160" t="str">
        <f>$B$2&amp;EnergyBalance!$C$52</f>
        <v>TRACO2</v>
      </c>
      <c r="Q6" s="160" t="str">
        <f>$C$2&amp;" "&amp;EnergyBalance!$C$53</f>
        <v>Transport Carbon dioxide</v>
      </c>
      <c r="R6" s="160" t="str">
        <f>EnergyBalance!$S$2</f>
        <v>kt</v>
      </c>
      <c r="S6" s="160"/>
      <c r="T6" s="160"/>
      <c r="U6" s="160"/>
      <c r="V6" s="160"/>
    </row>
    <row r="8" spans="2:22" ht="13" x14ac:dyDescent="0.3">
      <c r="D8" s="6" t="s">
        <v>13</v>
      </c>
      <c r="E8" s="6"/>
      <c r="F8" s="6"/>
      <c r="H8" s="6"/>
      <c r="I8" s="7"/>
      <c r="J8" s="5"/>
      <c r="K8" s="13"/>
      <c r="N8" s="155" t="s">
        <v>15</v>
      </c>
      <c r="O8" s="155"/>
      <c r="P8" s="160"/>
      <c r="Q8" s="160"/>
      <c r="R8" s="160"/>
      <c r="S8" s="160"/>
      <c r="T8" s="160"/>
      <c r="U8" s="160"/>
      <c r="V8" s="160"/>
    </row>
    <row r="9" spans="2:22" ht="13" x14ac:dyDescent="0.3">
      <c r="B9" s="21" t="s">
        <v>1</v>
      </c>
      <c r="C9" s="21" t="s">
        <v>5</v>
      </c>
      <c r="D9" s="21" t="s">
        <v>6</v>
      </c>
      <c r="E9" s="123" t="s">
        <v>207</v>
      </c>
      <c r="F9" s="122" t="s">
        <v>108</v>
      </c>
      <c r="G9" s="122" t="s">
        <v>124</v>
      </c>
      <c r="H9" s="122" t="s">
        <v>106</v>
      </c>
      <c r="I9" s="122" t="s">
        <v>107</v>
      </c>
      <c r="J9" s="123" t="s">
        <v>101</v>
      </c>
      <c r="K9" s="123" t="s">
        <v>205</v>
      </c>
      <c r="L9" s="123" t="s">
        <v>129</v>
      </c>
      <c r="N9" s="157" t="s">
        <v>11</v>
      </c>
      <c r="O9" s="158" t="s">
        <v>30</v>
      </c>
      <c r="P9" s="157" t="s">
        <v>1</v>
      </c>
      <c r="Q9" s="157" t="s">
        <v>2</v>
      </c>
      <c r="R9" s="157" t="s">
        <v>16</v>
      </c>
      <c r="S9" s="157" t="s">
        <v>17</v>
      </c>
      <c r="T9" s="157" t="s">
        <v>18</v>
      </c>
      <c r="U9" s="157" t="s">
        <v>19</v>
      </c>
      <c r="V9" s="157" t="s">
        <v>20</v>
      </c>
    </row>
    <row r="10" spans="2:22" ht="21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39" t="s">
        <v>125</v>
      </c>
      <c r="H10" s="19" t="s">
        <v>122</v>
      </c>
      <c r="I10" s="19" t="s">
        <v>121</v>
      </c>
      <c r="J10" s="19" t="s">
        <v>214</v>
      </c>
      <c r="K10" s="19"/>
      <c r="L10" s="19" t="s">
        <v>142</v>
      </c>
      <c r="N10" s="159" t="s">
        <v>41</v>
      </c>
      <c r="O10" s="159" t="s">
        <v>31</v>
      </c>
      <c r="P10" s="159" t="s">
        <v>21</v>
      </c>
      <c r="Q10" s="159" t="s">
        <v>22</v>
      </c>
      <c r="R10" s="159" t="s">
        <v>23</v>
      </c>
      <c r="S10" s="159" t="s">
        <v>24</v>
      </c>
      <c r="T10" s="159" t="s">
        <v>46</v>
      </c>
      <c r="U10" s="159" t="s">
        <v>45</v>
      </c>
      <c r="V10" s="159" t="s">
        <v>25</v>
      </c>
    </row>
    <row r="11" spans="2:22" ht="13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6"/>
      <c r="H11" s="17" t="str">
        <f>$F$2&amp;"/"&amp;$E$2</f>
        <v>M€2020/PJ</v>
      </c>
      <c r="I11" s="17" t="str">
        <f>$F$2&amp;"/"&amp;$E$2&amp;"a"</f>
        <v>M€2020/PJa</v>
      </c>
      <c r="J11" s="17" t="s">
        <v>115</v>
      </c>
      <c r="K11" s="17"/>
      <c r="L11" s="17" t="str">
        <f>EnergyBalance!$S$2</f>
        <v>kt</v>
      </c>
      <c r="N11" s="156" t="s">
        <v>123</v>
      </c>
      <c r="O11" s="160"/>
      <c r="P11" s="160" t="str">
        <f>LEFT($B$2)&amp;EnergyBalance!$C$44&amp;$H$2&amp;EnergyBalance!F2</f>
        <v>TOTEOIL</v>
      </c>
      <c r="Q11" s="160" t="str">
        <f>$D$2&amp;" "&amp;$C$2&amp; " Sector - "&amp;" "&amp;$H$1&amp;" "&amp;EnergyBalance!$N$40&amp;" - "&amp;EnergyBalance!$F$3</f>
        <v>Demand Technologies Transport Sector -  Existing  - Crude Oil</v>
      </c>
      <c r="R11" s="160" t="str">
        <f>$E$2</f>
        <v>PJ</v>
      </c>
      <c r="S11" s="160" t="str">
        <f>$E$2&amp;"a"</f>
        <v>PJa</v>
      </c>
      <c r="T11" s="160"/>
      <c r="U11" s="160"/>
      <c r="V11" s="160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02">
        <f>EnergyBalance!F20/G12*1.01</f>
        <v>2253.422222222222</v>
      </c>
      <c r="F12" s="107">
        <v>0.5</v>
      </c>
      <c r="G12" s="107">
        <v>0.9</v>
      </c>
      <c r="H12" s="62"/>
      <c r="I12" s="107">
        <v>0.2</v>
      </c>
      <c r="J12" s="62">
        <v>10</v>
      </c>
      <c r="N12" s="160"/>
      <c r="O12" s="160"/>
      <c r="P12" s="160" t="str">
        <f>LEFT($B$2)&amp;EnergyBalance!$C$44&amp;$I$2&amp;EnergyBalance!F2</f>
        <v>TOTNOIL</v>
      </c>
      <c r="Q12" s="160" t="str">
        <f>$D$2&amp;" "&amp;$C$2&amp; " Sector - "&amp;" "&amp;$I$1&amp;" "&amp;EnergyBalance!$N$40&amp;" - "&amp;EnergyBalance!$F$3</f>
        <v>Demand Technologies Transport Sector -  New  - Crude Oil</v>
      </c>
      <c r="R12" s="160" t="str">
        <f>$E$2</f>
        <v>PJ</v>
      </c>
      <c r="S12" s="160" t="str">
        <f>$E$2&amp;"a"</f>
        <v>PJa</v>
      </c>
      <c r="T12" s="160"/>
      <c r="U12" s="160"/>
      <c r="V12" s="160"/>
    </row>
    <row r="13" spans="2:22" x14ac:dyDescent="0.25">
      <c r="D13" t="str">
        <f>$P$6</f>
        <v>TRACO2</v>
      </c>
      <c r="E13" s="10"/>
      <c r="F13" s="20"/>
      <c r="G13" s="20"/>
      <c r="I13" s="20"/>
      <c r="L13" s="151">
        <f>65/F12</f>
        <v>130</v>
      </c>
      <c r="Q13" s="23"/>
      <c r="R13" s="1"/>
      <c r="S13" s="1"/>
      <c r="U13" s="1"/>
    </row>
    <row r="14" spans="2:22" x14ac:dyDescent="0.25">
      <c r="B14" t="str">
        <f>P12</f>
        <v>TOTNOIL</v>
      </c>
      <c r="C14" t="str">
        <f>$B$2&amp;RIGHT(B14,3)</f>
        <v>TRAOIL</v>
      </c>
      <c r="D14" t="str">
        <f>$P$5</f>
        <v>DTD1</v>
      </c>
      <c r="E14" s="10"/>
      <c r="F14" s="107">
        <v>0.7</v>
      </c>
      <c r="G14" s="107">
        <v>0.9</v>
      </c>
      <c r="H14" s="62">
        <v>10</v>
      </c>
      <c r="I14" s="107">
        <f>H14*0.02</f>
        <v>0.2</v>
      </c>
      <c r="J14" s="62">
        <v>15</v>
      </c>
      <c r="K14" s="61">
        <v>2025</v>
      </c>
      <c r="Q14" s="23"/>
      <c r="R14" s="1"/>
      <c r="S14" s="1"/>
      <c r="U14" s="1"/>
    </row>
    <row r="15" spans="2:22" x14ac:dyDescent="0.25">
      <c r="D15" t="str">
        <f>$P$6</f>
        <v>TRACO2</v>
      </c>
      <c r="E15" s="10"/>
      <c r="F15" s="20"/>
      <c r="G15" s="20"/>
      <c r="I15" s="20"/>
      <c r="K15" s="10"/>
      <c r="L15" s="151">
        <f>65/F14</f>
        <v>92.857142857142861</v>
      </c>
      <c r="Q15" s="23"/>
      <c r="R15" s="1"/>
      <c r="S15" s="1"/>
      <c r="U15" s="1"/>
    </row>
    <row r="23" spans="2:13" x14ac:dyDescent="0.25">
      <c r="B23" s="62"/>
      <c r="C23" s="1" t="s">
        <v>196</v>
      </c>
      <c r="K23" s="1"/>
      <c r="L23" s="1"/>
    </row>
    <row r="24" spans="2:13" x14ac:dyDescent="0.25">
      <c r="B24" s="103"/>
      <c r="C24" s="1" t="s">
        <v>197</v>
      </c>
      <c r="K24" s="1"/>
      <c r="L24" s="1"/>
      <c r="M24" s="1"/>
    </row>
    <row r="25" spans="2:13" x14ac:dyDescent="0.25">
      <c r="K25" s="1"/>
      <c r="L25" s="1"/>
      <c r="M25" s="1"/>
    </row>
    <row r="26" spans="2:13" x14ac:dyDescent="0.25">
      <c r="K26" s="1"/>
      <c r="L26" s="1"/>
      <c r="M26" s="1"/>
    </row>
    <row r="27" spans="2:13" x14ac:dyDescent="0.25">
      <c r="E27" s="1"/>
      <c r="M27" s="1"/>
    </row>
    <row r="28" spans="2:13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14" sqref="I14"/>
    </sheetView>
  </sheetViews>
  <sheetFormatPr defaultRowHeight="12.5" x14ac:dyDescent="0.25"/>
  <cols>
    <col min="1" max="1" width="3" customWidth="1"/>
    <col min="2" max="2" width="12.1796875" bestFit="1" customWidth="1"/>
    <col min="3" max="3" width="11.81640625" bestFit="1" customWidth="1"/>
    <col min="4" max="4" width="13.81640625" bestFit="1" customWidth="1"/>
    <col min="5" max="5" width="13" customWidth="1"/>
    <col min="6" max="6" width="13.1796875" bestFit="1" customWidth="1"/>
    <col min="7" max="7" width="7.453125" customWidth="1"/>
    <col min="8" max="8" width="9.1796875" bestFit="1" customWidth="1"/>
    <col min="9" max="9" width="9.54296875" customWidth="1"/>
    <col min="10" max="10" width="7.54296875" bestFit="1" customWidth="1"/>
    <col min="11" max="11" width="8.26953125" customWidth="1"/>
    <col min="12" max="12" width="12.7265625" customWidth="1"/>
    <col min="13" max="13" width="2.7265625" customWidth="1"/>
    <col min="14" max="14" width="12.7265625" bestFit="1" customWidth="1"/>
    <col min="15" max="15" width="7.1796875" customWidth="1"/>
    <col min="16" max="16" width="11.453125" bestFit="1" customWidth="1"/>
    <col min="17" max="17" width="62.453125" bestFit="1" customWidth="1"/>
    <col min="18" max="18" width="6.1796875" customWidth="1"/>
    <col min="19" max="19" width="11.7265625" customWidth="1"/>
    <col min="20" max="20" width="13.453125" customWidth="1"/>
    <col min="21" max="21" width="13.81640625" customWidth="1"/>
    <col min="22" max="22" width="8.453125" customWidth="1"/>
  </cols>
  <sheetData>
    <row r="1" spans="2:22" ht="14.5" x14ac:dyDescent="0.35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  <c r="I1" s="11" t="s">
        <v>206</v>
      </c>
    </row>
    <row r="2" spans="2:22" ht="31" x14ac:dyDescent="0.35">
      <c r="B2" s="14" t="str">
        <f>EnergyBalance!B16</f>
        <v>RSD</v>
      </c>
      <c r="C2" s="14" t="str">
        <f>EnergyBalance!C16</f>
        <v>Residential</v>
      </c>
      <c r="D2" s="24" t="str">
        <f>"Demand Technologies"</f>
        <v>Demand Technologies</v>
      </c>
      <c r="E2" s="14" t="str">
        <f>EnergyBalance!R2</f>
        <v>PJ</v>
      </c>
      <c r="F2" s="14" t="str">
        <f>EnergyBalance!Q2</f>
        <v>M€2020</v>
      </c>
      <c r="H2" s="14" t="s">
        <v>127</v>
      </c>
      <c r="I2" s="14" t="s">
        <v>128</v>
      </c>
      <c r="N2" s="155" t="s">
        <v>14</v>
      </c>
      <c r="O2" s="155"/>
      <c r="P2" s="156"/>
      <c r="Q2" s="156"/>
      <c r="R2" s="156"/>
      <c r="S2" s="156"/>
      <c r="T2" s="156"/>
      <c r="U2" s="156"/>
      <c r="V2" s="156"/>
    </row>
    <row r="3" spans="2:22" ht="13" x14ac:dyDescent="0.3">
      <c r="N3" s="157" t="s">
        <v>7</v>
      </c>
      <c r="O3" s="158" t="s">
        <v>30</v>
      </c>
      <c r="P3" s="157" t="s">
        <v>0</v>
      </c>
      <c r="Q3" s="157" t="s">
        <v>3</v>
      </c>
      <c r="R3" s="157" t="s">
        <v>4</v>
      </c>
      <c r="S3" s="157" t="s">
        <v>8</v>
      </c>
      <c r="T3" s="157" t="s">
        <v>9</v>
      </c>
      <c r="U3" s="157" t="s">
        <v>10</v>
      </c>
      <c r="V3" s="157" t="s">
        <v>12</v>
      </c>
    </row>
    <row r="4" spans="2:22" ht="22" thickBot="1" x14ac:dyDescent="0.4">
      <c r="B4" s="12"/>
      <c r="C4" s="12"/>
      <c r="D4" s="12"/>
      <c r="E4" s="12"/>
      <c r="F4" s="12"/>
      <c r="N4" s="159" t="s">
        <v>40</v>
      </c>
      <c r="O4" s="159" t="s">
        <v>31</v>
      </c>
      <c r="P4" s="159" t="s">
        <v>26</v>
      </c>
      <c r="Q4" s="159" t="s">
        <v>27</v>
      </c>
      <c r="R4" s="159" t="s">
        <v>4</v>
      </c>
      <c r="S4" s="159" t="s">
        <v>43</v>
      </c>
      <c r="T4" s="159" t="s">
        <v>44</v>
      </c>
      <c r="U4" s="159" t="s">
        <v>28</v>
      </c>
      <c r="V4" s="159" t="s">
        <v>29</v>
      </c>
    </row>
    <row r="5" spans="2:22" ht="15.5" x14ac:dyDescent="0.35">
      <c r="B5" s="12"/>
      <c r="C5" s="12"/>
      <c r="D5" s="12"/>
      <c r="E5" s="12"/>
      <c r="F5" s="12"/>
      <c r="N5" s="156" t="s">
        <v>105</v>
      </c>
      <c r="O5" s="160"/>
      <c r="P5" s="156" t="str">
        <f>LEFT($N$5,1)&amp;LEFT(B2,1)&amp;EnergyBalance!$C$44</f>
        <v>DROT</v>
      </c>
      <c r="Q5" s="156" t="str">
        <f>LEFT($D$2,6)&amp;" "&amp;$C$2&amp; " Sector - "&amp;EnergyBalance!$N$44</f>
        <v>Demand Residential Sector - Other</v>
      </c>
      <c r="R5" s="156" t="str">
        <f>$E$2</f>
        <v>PJ</v>
      </c>
      <c r="S5" s="156"/>
      <c r="T5" s="156"/>
      <c r="U5" s="156"/>
      <c r="V5" s="156"/>
    </row>
    <row r="6" spans="2:22" x14ac:dyDescent="0.25">
      <c r="N6" s="160" t="s">
        <v>143</v>
      </c>
      <c r="O6" s="160"/>
      <c r="P6" s="160" t="str">
        <f>$B$2&amp;EnergyBalance!$C$52</f>
        <v>RSDCO2</v>
      </c>
      <c r="Q6" s="160" t="str">
        <f>$C$2&amp;" "&amp;EnergyBalance!$C$53</f>
        <v>Residential Carbon dioxide</v>
      </c>
      <c r="R6" s="160" t="str">
        <f>EnergyBalance!$S$2</f>
        <v>kt</v>
      </c>
      <c r="S6" s="160"/>
      <c r="T6" s="160"/>
      <c r="U6" s="160"/>
      <c r="V6" s="160"/>
    </row>
    <row r="8" spans="2:22" ht="13" x14ac:dyDescent="0.3">
      <c r="D8" s="6" t="s">
        <v>13</v>
      </c>
      <c r="E8" s="6"/>
      <c r="F8" s="6"/>
      <c r="H8" s="6"/>
      <c r="I8" s="7"/>
      <c r="J8" s="5"/>
      <c r="K8" s="13"/>
      <c r="N8" s="155" t="s">
        <v>15</v>
      </c>
      <c r="O8" s="155"/>
      <c r="P8" s="160"/>
      <c r="Q8" s="160"/>
      <c r="R8" s="160"/>
      <c r="S8" s="160"/>
      <c r="T8" s="160"/>
      <c r="U8" s="160"/>
      <c r="V8" s="160"/>
    </row>
    <row r="9" spans="2:22" ht="13" x14ac:dyDescent="0.3">
      <c r="B9" s="21" t="s">
        <v>1</v>
      </c>
      <c r="C9" s="21" t="s">
        <v>5</v>
      </c>
      <c r="D9" s="21" t="s">
        <v>6</v>
      </c>
      <c r="E9" s="123" t="s">
        <v>207</v>
      </c>
      <c r="F9" s="122" t="s">
        <v>108</v>
      </c>
      <c r="G9" s="122" t="s">
        <v>124</v>
      </c>
      <c r="H9" s="122" t="s">
        <v>106</v>
      </c>
      <c r="I9" s="122" t="s">
        <v>107</v>
      </c>
      <c r="J9" s="123" t="s">
        <v>101</v>
      </c>
      <c r="K9" s="123" t="s">
        <v>205</v>
      </c>
      <c r="L9" s="123" t="s">
        <v>129</v>
      </c>
      <c r="N9" s="157" t="s">
        <v>11</v>
      </c>
      <c r="O9" s="158" t="s">
        <v>30</v>
      </c>
      <c r="P9" s="157" t="s">
        <v>1</v>
      </c>
      <c r="Q9" s="157" t="s">
        <v>2</v>
      </c>
      <c r="R9" s="157" t="s">
        <v>16</v>
      </c>
      <c r="S9" s="157" t="s">
        <v>17</v>
      </c>
      <c r="T9" s="157" t="s">
        <v>18</v>
      </c>
      <c r="U9" s="157" t="s">
        <v>19</v>
      </c>
      <c r="V9" s="157" t="s">
        <v>20</v>
      </c>
    </row>
    <row r="10" spans="2:22" ht="21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39" t="s">
        <v>125</v>
      </c>
      <c r="H10" s="19" t="s">
        <v>122</v>
      </c>
      <c r="I10" s="19" t="s">
        <v>121</v>
      </c>
      <c r="J10" s="19" t="s">
        <v>214</v>
      </c>
      <c r="K10" s="19"/>
      <c r="L10" s="19" t="s">
        <v>142</v>
      </c>
      <c r="N10" s="159" t="s">
        <v>41</v>
      </c>
      <c r="O10" s="159" t="s">
        <v>31</v>
      </c>
      <c r="P10" s="159" t="s">
        <v>21</v>
      </c>
      <c r="Q10" s="159" t="s">
        <v>22</v>
      </c>
      <c r="R10" s="159" t="s">
        <v>23</v>
      </c>
      <c r="S10" s="159" t="s">
        <v>24</v>
      </c>
      <c r="T10" s="159" t="s">
        <v>46</v>
      </c>
      <c r="U10" s="159" t="s">
        <v>45</v>
      </c>
      <c r="V10" s="159" t="s">
        <v>25</v>
      </c>
    </row>
    <row r="11" spans="2:22" ht="13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6"/>
      <c r="H11" s="17" t="str">
        <f>$F$2&amp;"/"&amp;$E$2</f>
        <v>M€2020/PJ</v>
      </c>
      <c r="I11" s="17" t="str">
        <f>$F$2&amp;"/"&amp;$E$2&amp;"a"</f>
        <v>M€2020/PJa</v>
      </c>
      <c r="J11" s="17" t="s">
        <v>115</v>
      </c>
      <c r="K11" s="17"/>
      <c r="L11" s="17" t="str">
        <f>EnergyBalance!$S$2</f>
        <v>kt</v>
      </c>
      <c r="N11" s="159" t="s">
        <v>103</v>
      </c>
      <c r="O11" s="159"/>
      <c r="P11" s="159"/>
      <c r="Q11" s="159"/>
      <c r="R11" s="159"/>
      <c r="S11" s="159"/>
      <c r="T11" s="159"/>
      <c r="U11" s="159"/>
      <c r="V11" s="15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02">
        <f>EnergyBalance!E16/$G$12*1.01</f>
        <v>446.5263157894737</v>
      </c>
      <c r="F12" s="107">
        <v>0.8</v>
      </c>
      <c r="G12" s="107">
        <v>0.95</v>
      </c>
      <c r="H12" s="62"/>
      <c r="I12" s="107">
        <v>0.24</v>
      </c>
      <c r="J12" s="62">
        <v>10</v>
      </c>
      <c r="N12" s="156" t="s">
        <v>123</v>
      </c>
      <c r="O12" s="160"/>
      <c r="P12" s="160" t="str">
        <f>LEFT(EnergyBalance!$B$16)&amp;EnergyBalance!$C$44&amp;$H$2&amp;EnergyBalance!E2</f>
        <v>ROTEGAS</v>
      </c>
      <c r="Q12" s="160" t="str">
        <f>$D$2&amp;" "&amp;$C$2&amp; " Sector - "&amp;" "&amp;$H$1&amp;" "&amp;EnergyBalance!$N$44&amp;" - "&amp;EnergyBalance!$E$3</f>
        <v>Demand Technologies Residential Sector -  Existing Other - Natural Gas</v>
      </c>
      <c r="R12" s="160" t="str">
        <f>$E$2</f>
        <v>PJ</v>
      </c>
      <c r="S12" s="160" t="str">
        <f>$E$2&amp;"a"</f>
        <v>PJa</v>
      </c>
      <c r="T12" s="160"/>
      <c r="U12" s="160"/>
      <c r="V12" s="160"/>
    </row>
    <row r="13" spans="2:22" x14ac:dyDescent="0.25">
      <c r="D13" t="str">
        <f>$P$6</f>
        <v>RSDCO2</v>
      </c>
      <c r="E13" s="10"/>
      <c r="F13" s="20"/>
      <c r="G13" s="20"/>
      <c r="I13" s="20"/>
      <c r="L13" s="62">
        <f>56.1/F12</f>
        <v>70.125</v>
      </c>
      <c r="N13" s="156"/>
      <c r="O13" s="160"/>
      <c r="P13" s="160" t="str">
        <f>LEFT(EnergyBalance!$B$16)&amp;EnergyBalance!$C$44&amp;$I$2&amp;EnergyBalance!E2</f>
        <v>ROTNGAS</v>
      </c>
      <c r="Q13" s="160" t="str">
        <f>$D$2&amp;" "&amp;$C$2&amp; " Sector - "&amp;" "&amp;$I$1&amp;" "&amp;EnergyBalance!$N$44&amp;" - "&amp;EnergyBalance!$E$3</f>
        <v>Demand Technologies Residential Sector -  New Other - Natural Gas</v>
      </c>
      <c r="R13" s="160" t="str">
        <f>$E$2</f>
        <v>PJ</v>
      </c>
      <c r="S13" s="160" t="str">
        <f>$E$2&amp;"a"</f>
        <v>PJa</v>
      </c>
      <c r="T13" s="160"/>
      <c r="U13" s="160"/>
      <c r="V13" s="160"/>
    </row>
    <row r="14" spans="2:22" x14ac:dyDescent="0.25">
      <c r="B14" t="str">
        <f>P13</f>
        <v>ROTNGAS</v>
      </c>
      <c r="C14" t="str">
        <f>$B$2&amp;RIGHT(B14,3)</f>
        <v>RSDGAS</v>
      </c>
      <c r="D14" t="str">
        <f>$P$5</f>
        <v>DROT</v>
      </c>
      <c r="E14" s="10"/>
      <c r="F14" s="107">
        <v>0.9</v>
      </c>
      <c r="G14" s="107">
        <v>0.95</v>
      </c>
      <c r="H14" s="62">
        <v>12</v>
      </c>
      <c r="I14" s="107">
        <f>H14*0.02</f>
        <v>0.24</v>
      </c>
      <c r="J14" s="62">
        <v>20</v>
      </c>
      <c r="K14" s="61">
        <v>2025</v>
      </c>
      <c r="Q14" s="23"/>
    </row>
    <row r="15" spans="2:22" x14ac:dyDescent="0.25">
      <c r="D15" t="str">
        <f>$P$6</f>
        <v>RSDCO2</v>
      </c>
      <c r="E15" s="10"/>
      <c r="F15" s="20"/>
      <c r="G15" s="20"/>
      <c r="I15" s="20"/>
      <c r="K15" s="10"/>
      <c r="L15" s="151">
        <f>56.1/F14</f>
        <v>62.333333333333336</v>
      </c>
      <c r="Q15" s="23"/>
    </row>
    <row r="18" spans="2:13" x14ac:dyDescent="0.25">
      <c r="I18" s="13"/>
    </row>
    <row r="19" spans="2:13" x14ac:dyDescent="0.25">
      <c r="I19" s="13"/>
    </row>
    <row r="23" spans="2:13" x14ac:dyDescent="0.25">
      <c r="B23" s="62"/>
      <c r="C23" s="1" t="s">
        <v>196</v>
      </c>
    </row>
    <row r="24" spans="2:13" x14ac:dyDescent="0.25">
      <c r="B24" s="103"/>
      <c r="C24" s="1" t="s">
        <v>197</v>
      </c>
      <c r="K24" s="1"/>
    </row>
    <row r="25" spans="2:13" x14ac:dyDescent="0.25">
      <c r="K25" s="1"/>
      <c r="L25" s="1"/>
      <c r="M25" s="1"/>
    </row>
    <row r="26" spans="2:13" x14ac:dyDescent="0.25">
      <c r="K26" s="1"/>
      <c r="L26" s="1"/>
      <c r="M26" s="1"/>
    </row>
    <row r="27" spans="2:13" x14ac:dyDescent="0.25">
      <c r="K27" s="1"/>
      <c r="L27" s="1"/>
      <c r="M27" s="1"/>
    </row>
    <row r="28" spans="2:13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tabSelected="1" workbookViewId="0">
      <selection activeCell="K15" sqref="K15"/>
    </sheetView>
  </sheetViews>
  <sheetFormatPr defaultRowHeight="12.5" x14ac:dyDescent="0.25"/>
  <cols>
    <col min="1" max="1" width="2" bestFit="1" customWidth="1"/>
    <col min="2" max="2" width="12.54296875" customWidth="1"/>
    <col min="3" max="3" width="13.1796875" customWidth="1"/>
    <col min="4" max="4" width="11.54296875" customWidth="1"/>
    <col min="5" max="5" width="10.81640625" bestFit="1" customWidth="1"/>
    <col min="6" max="9" width="11.26953125" customWidth="1"/>
    <col min="10" max="10" width="2" bestFit="1" customWidth="1"/>
    <col min="11" max="11" width="12.1796875" bestFit="1" customWidth="1"/>
    <col min="12" max="12" width="7" bestFit="1" customWidth="1"/>
    <col min="13" max="13" width="2" bestFit="1" customWidth="1"/>
    <col min="14" max="14" width="12.81640625" customWidth="1"/>
    <col min="15" max="15" width="13.7265625" customWidth="1"/>
  </cols>
  <sheetData>
    <row r="1" spans="2:17" ht="14.5" x14ac:dyDescent="0.35">
      <c r="B1" s="11" t="s">
        <v>94</v>
      </c>
      <c r="C1" s="11" t="s">
        <v>95</v>
      </c>
      <c r="D1" s="11" t="s">
        <v>96</v>
      </c>
      <c r="E1" s="11" t="s">
        <v>98</v>
      </c>
      <c r="G1" s="11" t="s">
        <v>99</v>
      </c>
    </row>
    <row r="2" spans="2:17" ht="15.5" x14ac:dyDescent="0.35">
      <c r="B2" s="14" t="s">
        <v>105</v>
      </c>
      <c r="C2" s="14"/>
      <c r="D2" s="14"/>
      <c r="E2" s="14" t="str">
        <f>EnergyBalance!R2</f>
        <v>PJ</v>
      </c>
      <c r="G2" s="14" t="str">
        <f>EnergyBalance!Q2</f>
        <v>M€2020</v>
      </c>
    </row>
    <row r="5" spans="2:17" ht="13" x14ac:dyDescent="0.3">
      <c r="C5" s="2" t="s">
        <v>13</v>
      </c>
      <c r="D5" s="2"/>
      <c r="E5" s="1"/>
      <c r="P5" s="2" t="s">
        <v>13</v>
      </c>
      <c r="Q5" s="1"/>
    </row>
    <row r="6" spans="2:17" ht="13" x14ac:dyDescent="0.25">
      <c r="B6" s="4" t="s">
        <v>102</v>
      </c>
      <c r="C6" s="4" t="s">
        <v>0</v>
      </c>
      <c r="D6" s="4" t="s">
        <v>193</v>
      </c>
      <c r="E6" s="140">
        <v>2020</v>
      </c>
      <c r="F6" s="140">
        <v>2023</v>
      </c>
      <c r="G6" s="140">
        <v>2025</v>
      </c>
      <c r="H6" s="140">
        <v>2028</v>
      </c>
      <c r="I6" s="140">
        <v>2030</v>
      </c>
      <c r="N6" s="4" t="s">
        <v>102</v>
      </c>
      <c r="O6" s="4" t="s">
        <v>0</v>
      </c>
      <c r="P6" s="4" t="s">
        <v>177</v>
      </c>
      <c r="Q6" s="4">
        <v>2020</v>
      </c>
    </row>
    <row r="7" spans="2:17" ht="20.5" x14ac:dyDescent="0.25">
      <c r="B7" s="19" t="s">
        <v>103</v>
      </c>
      <c r="C7" s="19" t="s">
        <v>104</v>
      </c>
      <c r="D7" s="19" t="s">
        <v>194</v>
      </c>
      <c r="E7" s="124" t="s">
        <v>36</v>
      </c>
      <c r="F7" s="124"/>
      <c r="G7" s="124"/>
      <c r="H7" s="124"/>
      <c r="I7" s="124"/>
      <c r="K7" s="113" t="s">
        <v>176</v>
      </c>
      <c r="L7" s="167" t="s">
        <v>217</v>
      </c>
      <c r="N7" s="19" t="s">
        <v>103</v>
      </c>
      <c r="O7" s="19" t="s">
        <v>104</v>
      </c>
      <c r="P7" s="19"/>
      <c r="Q7" s="19"/>
    </row>
    <row r="8" spans="2:17" ht="13" thickBot="1" x14ac:dyDescent="0.3">
      <c r="B8" s="18" t="s">
        <v>114</v>
      </c>
      <c r="C8" s="18"/>
      <c r="D8" s="18"/>
      <c r="E8" s="17" t="str">
        <f>E2</f>
        <v>PJ</v>
      </c>
      <c r="F8" s="17"/>
      <c r="G8" s="17"/>
      <c r="H8" s="17"/>
      <c r="I8" s="17"/>
      <c r="K8" s="114"/>
      <c r="L8" s="114"/>
      <c r="N8" s="18" t="s">
        <v>114</v>
      </c>
      <c r="O8" s="18"/>
      <c r="P8" s="18"/>
      <c r="Q8" s="18"/>
    </row>
    <row r="9" spans="2:17" x14ac:dyDescent="0.25">
      <c r="B9" s="42" t="s">
        <v>35</v>
      </c>
      <c r="C9" s="42" t="str">
        <f>DemTechs_TPS!N5</f>
        <v>TPSCOA</v>
      </c>
      <c r="D9" s="42" t="s">
        <v>97</v>
      </c>
      <c r="E9" s="129">
        <f>EnergyBalance!D24</f>
        <v>7504</v>
      </c>
      <c r="F9" s="130"/>
      <c r="G9" s="130"/>
      <c r="H9" s="130"/>
      <c r="I9" s="130"/>
      <c r="K9" s="109"/>
      <c r="L9" s="61"/>
      <c r="N9" s="1" t="s">
        <v>178</v>
      </c>
      <c r="O9" s="1" t="str">
        <f>DemTechs_ELC!$N$5</f>
        <v>TPSELC</v>
      </c>
      <c r="P9" s="36" t="s">
        <v>179</v>
      </c>
      <c r="Q9" s="104">
        <v>0.3</v>
      </c>
    </row>
    <row r="10" spans="2:17" x14ac:dyDescent="0.25">
      <c r="B10" t="s">
        <v>35</v>
      </c>
      <c r="C10" t="str">
        <f>DemTechs_RSD!$P$5</f>
        <v>DROT</v>
      </c>
      <c r="D10" s="1" t="s">
        <v>97</v>
      </c>
      <c r="E10" s="102">
        <f>EnergyBalance!E16</f>
        <v>420</v>
      </c>
      <c r="F10" s="103"/>
      <c r="G10" s="103"/>
      <c r="H10" s="103"/>
      <c r="I10" s="103"/>
      <c r="K10" s="61"/>
      <c r="L10" s="61"/>
      <c r="N10" s="1" t="s">
        <v>178</v>
      </c>
      <c r="O10" s="1" t="str">
        <f>DemTechs_ELC!$N$5</f>
        <v>TPSELC</v>
      </c>
      <c r="P10" s="36" t="s">
        <v>180</v>
      </c>
      <c r="Q10" s="104">
        <v>0.2</v>
      </c>
    </row>
    <row r="11" spans="2:17" x14ac:dyDescent="0.25">
      <c r="B11" t="s">
        <v>35</v>
      </c>
      <c r="C11" t="str">
        <f>DemTechs_TRA!$P$5</f>
        <v>DTD1</v>
      </c>
      <c r="D11" s="1" t="s">
        <v>97</v>
      </c>
      <c r="E11" s="102">
        <f>EnergyBalance!F20</f>
        <v>2008</v>
      </c>
      <c r="F11" s="102"/>
      <c r="G11" s="102"/>
      <c r="H11" s="102"/>
      <c r="I11" s="102"/>
      <c r="K11" s="141"/>
      <c r="L11" s="141"/>
      <c r="N11" s="1" t="s">
        <v>178</v>
      </c>
      <c r="O11" s="1" t="str">
        <f>DemTechs_ELC!$N$5</f>
        <v>TPSELC</v>
      </c>
      <c r="P11" s="36" t="s">
        <v>181</v>
      </c>
      <c r="Q11" s="104">
        <v>0.27</v>
      </c>
    </row>
    <row r="12" spans="2:17" x14ac:dyDescent="0.25">
      <c r="B12" s="8" t="s">
        <v>35</v>
      </c>
      <c r="C12" s="8" t="str">
        <f>DemTechs_ELC!N5</f>
        <v>TPSELC</v>
      </c>
      <c r="D12" s="43" t="s">
        <v>97</v>
      </c>
      <c r="E12" s="131">
        <f>EnergyBalance!K24</f>
        <v>4508</v>
      </c>
      <c r="F12" s="131">
        <f>$E$12*(1+$K$12)^(F6-$E$6)</f>
        <v>4644.5969079999995</v>
      </c>
      <c r="G12" s="131">
        <f>$E$12*(1+$K$12)^(G6-$E$6)</f>
        <v>4737.9533058507996</v>
      </c>
      <c r="H12" s="131">
        <f>$E$12*(1+$K$12)^(H6-$E$6)</f>
        <v>4881.5180289713853</v>
      </c>
      <c r="I12" s="131">
        <f>$E$12*(1+$K$12)^(I6-$E$6)</f>
        <v>4979.6365413537114</v>
      </c>
      <c r="K12" s="142">
        <v>0.01</v>
      </c>
      <c r="L12" s="142">
        <v>0.05</v>
      </c>
      <c r="N12" s="43" t="s">
        <v>178</v>
      </c>
      <c r="O12" s="43" t="str">
        <f>DemTechs_ELC!$N$5</f>
        <v>TPSELC</v>
      </c>
      <c r="P12" s="44" t="s">
        <v>182</v>
      </c>
      <c r="Q12" s="112">
        <v>0.23</v>
      </c>
    </row>
    <row r="13" spans="2:17" x14ac:dyDescent="0.25">
      <c r="E13" s="39"/>
    </row>
    <row r="14" spans="2:17" x14ac:dyDescent="0.25">
      <c r="E14" s="10"/>
    </row>
    <row r="16" spans="2:17" x14ac:dyDescent="0.25">
      <c r="E16" s="10"/>
    </row>
    <row r="22" spans="2:3" x14ac:dyDescent="0.25">
      <c r="B22" s="62"/>
      <c r="C22" s="1" t="s">
        <v>196</v>
      </c>
    </row>
    <row r="23" spans="2:3" x14ac:dyDescent="0.25">
      <c r="B23" s="103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6"/>
  <sheetViews>
    <sheetView zoomScale="60" zoomScaleNormal="60" workbookViewId="0">
      <selection activeCell="P51" sqref="P51"/>
    </sheetView>
  </sheetViews>
  <sheetFormatPr defaultRowHeight="12.5" x14ac:dyDescent="0.25"/>
  <cols>
    <col min="1" max="1" width="1.81640625" customWidth="1"/>
    <col min="2" max="2" width="7.7265625" customWidth="1"/>
    <col min="3" max="3" width="6.81640625" customWidth="1"/>
    <col min="12" max="12" width="6.7265625" customWidth="1"/>
    <col min="13" max="13" width="7.1796875" customWidth="1"/>
    <col min="23" max="23" width="5.453125" customWidth="1"/>
  </cols>
  <sheetData>
    <row r="2" spans="2:27" ht="18" x14ac:dyDescent="0.4">
      <c r="B2" s="115" t="s">
        <v>199</v>
      </c>
      <c r="M2" s="115" t="s">
        <v>203</v>
      </c>
    </row>
    <row r="3" spans="2:27" ht="18" x14ac:dyDescent="0.4">
      <c r="M3" s="115" t="s">
        <v>204</v>
      </c>
    </row>
    <row r="4" spans="2:27" ht="13" x14ac:dyDescent="0.3">
      <c r="B4" s="34" t="s">
        <v>213</v>
      </c>
    </row>
    <row r="11" spans="2:27" ht="13" x14ac:dyDescent="0.3">
      <c r="M11" s="34"/>
      <c r="N11" s="34"/>
    </row>
    <row r="12" spans="2:27" x14ac:dyDescent="0.25">
      <c r="N12" s="1"/>
    </row>
    <row r="13" spans="2:27" x14ac:dyDescent="0.25">
      <c r="N13" s="1"/>
    </row>
    <row r="14" spans="2:27" ht="18" x14ac:dyDescent="0.4">
      <c r="B14" s="115" t="s">
        <v>198</v>
      </c>
    </row>
    <row r="16" spans="2:27" ht="13" x14ac:dyDescent="0.3">
      <c r="D16" s="116" t="s">
        <v>200</v>
      </c>
      <c r="E16" s="116"/>
      <c r="F16" s="116"/>
      <c r="G16" s="116"/>
      <c r="H16" s="116"/>
      <c r="I16" s="116"/>
      <c r="N16" s="116" t="s">
        <v>201</v>
      </c>
      <c r="O16" s="116"/>
      <c r="P16" s="116"/>
      <c r="Q16" s="116"/>
      <c r="X16" s="116" t="s">
        <v>202</v>
      </c>
      <c r="Y16" s="116"/>
      <c r="Z16" s="116"/>
      <c r="AA16" s="11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6"/>
  <sheetViews>
    <sheetView zoomScaleNormal="100" workbookViewId="0">
      <selection activeCell="G11" sqref="G11:H15"/>
    </sheetView>
  </sheetViews>
  <sheetFormatPr defaultRowHeight="12.5" x14ac:dyDescent="0.25"/>
  <cols>
    <col min="1" max="1" width="2" bestFit="1" customWidth="1"/>
    <col min="2" max="2" width="11.54296875" bestFit="1" customWidth="1"/>
    <col min="3" max="3" width="11.26953125" bestFit="1" customWidth="1"/>
    <col min="4" max="4" width="11.7265625" customWidth="1"/>
    <col min="5" max="5" width="11.453125" bestFit="1" customWidth="1"/>
    <col min="6" max="6" width="8.26953125" bestFit="1" customWidth="1"/>
    <col min="7" max="7" width="13.7265625" customWidth="1"/>
    <col min="8" max="8" width="8.453125" bestFit="1" customWidth="1"/>
    <col min="9" max="9" width="13.7265625" bestFit="1" customWidth="1"/>
    <col min="10" max="10" width="2" customWidth="1"/>
    <col min="11" max="11" width="13.7265625" customWidth="1"/>
    <col min="12" max="12" width="7.1796875" customWidth="1"/>
    <col min="13" max="13" width="11.453125" bestFit="1" customWidth="1"/>
    <col min="14" max="14" width="35" bestFit="1" customWidth="1"/>
    <col min="15" max="15" width="6.5429687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2:19" ht="14.5" x14ac:dyDescent="0.35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5" x14ac:dyDescent="0.35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M€2020</v>
      </c>
      <c r="K2" s="155" t="s">
        <v>14</v>
      </c>
      <c r="L2" s="155"/>
      <c r="M2" s="156"/>
      <c r="N2" s="156"/>
      <c r="O2" s="156"/>
      <c r="P2" s="156"/>
      <c r="Q2" s="156"/>
      <c r="R2" s="156"/>
      <c r="S2" s="156"/>
    </row>
    <row r="3" spans="2:19" ht="13" x14ac:dyDescent="0.3">
      <c r="K3" s="157" t="s">
        <v>7</v>
      </c>
      <c r="L3" s="158" t="s">
        <v>30</v>
      </c>
      <c r="M3" s="157" t="s">
        <v>0</v>
      </c>
      <c r="N3" s="157" t="s">
        <v>3</v>
      </c>
      <c r="O3" s="157" t="s">
        <v>4</v>
      </c>
      <c r="P3" s="157" t="s">
        <v>8</v>
      </c>
      <c r="Q3" s="157" t="s">
        <v>9</v>
      </c>
      <c r="R3" s="157" t="s">
        <v>10</v>
      </c>
      <c r="S3" s="157" t="s">
        <v>12</v>
      </c>
    </row>
    <row r="4" spans="2:19" ht="21" thickBot="1" x14ac:dyDescent="0.3">
      <c r="C4" s="1"/>
      <c r="K4" s="159" t="s">
        <v>40</v>
      </c>
      <c r="L4" s="159" t="s">
        <v>31</v>
      </c>
      <c r="M4" s="159" t="s">
        <v>26</v>
      </c>
      <c r="N4" s="159" t="s">
        <v>27</v>
      </c>
      <c r="O4" s="159" t="s">
        <v>4</v>
      </c>
      <c r="P4" s="159" t="s">
        <v>43</v>
      </c>
      <c r="Q4" s="159" t="s">
        <v>44</v>
      </c>
      <c r="R4" s="159" t="s">
        <v>28</v>
      </c>
      <c r="S4" s="159" t="s">
        <v>29</v>
      </c>
    </row>
    <row r="5" spans="2:19" x14ac:dyDescent="0.25">
      <c r="K5" s="156" t="s">
        <v>93</v>
      </c>
      <c r="L5" s="160"/>
      <c r="M5" s="156" t="str">
        <f>C2</f>
        <v>COA</v>
      </c>
      <c r="N5" s="156" t="str">
        <f>D2</f>
        <v>Solid Fuels</v>
      </c>
      <c r="O5" s="156" t="str">
        <f>$E$2</f>
        <v>PJ</v>
      </c>
      <c r="P5" s="156"/>
      <c r="Q5" s="156"/>
      <c r="R5" s="156"/>
      <c r="S5" s="156"/>
    </row>
    <row r="6" spans="2:19" x14ac:dyDescent="0.25">
      <c r="K6" s="1"/>
      <c r="M6" s="1"/>
      <c r="N6" s="1"/>
      <c r="O6" s="1"/>
      <c r="P6" s="1"/>
      <c r="Q6" s="1"/>
      <c r="R6" s="1"/>
      <c r="S6" s="1"/>
    </row>
    <row r="7" spans="2:19" ht="13" x14ac:dyDescent="0.3">
      <c r="F7" s="6" t="s">
        <v>13</v>
      </c>
      <c r="H7" s="6"/>
      <c r="K7" s="155" t="s">
        <v>15</v>
      </c>
      <c r="L7" s="155"/>
      <c r="M7" s="160"/>
      <c r="N7" s="160"/>
      <c r="O7" s="160"/>
      <c r="P7" s="160"/>
      <c r="Q7" s="160"/>
      <c r="R7" s="160"/>
      <c r="S7" s="160"/>
    </row>
    <row r="8" spans="2:19" ht="13" x14ac:dyDescent="0.3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27" t="s">
        <v>37</v>
      </c>
      <c r="H8" s="127" t="s">
        <v>38</v>
      </c>
      <c r="I8" s="127" t="s">
        <v>100</v>
      </c>
      <c r="K8" s="157" t="s">
        <v>11</v>
      </c>
      <c r="L8" s="158" t="s">
        <v>30</v>
      </c>
      <c r="M8" s="157" t="s">
        <v>1</v>
      </c>
      <c r="N8" s="157" t="s">
        <v>2</v>
      </c>
      <c r="O8" s="157" t="s">
        <v>16</v>
      </c>
      <c r="P8" s="157" t="s">
        <v>17</v>
      </c>
      <c r="Q8" s="157" t="s">
        <v>18</v>
      </c>
      <c r="R8" s="157" t="s">
        <v>19</v>
      </c>
      <c r="S8" s="157" t="s">
        <v>20</v>
      </c>
    </row>
    <row r="9" spans="2:19" ht="21" thickBot="1" x14ac:dyDescent="0.3">
      <c r="B9" s="18" t="s">
        <v>42</v>
      </c>
      <c r="C9" s="18" t="s">
        <v>32</v>
      </c>
      <c r="D9" s="18" t="s">
        <v>33</v>
      </c>
      <c r="E9" s="18"/>
      <c r="F9" s="134"/>
      <c r="G9" s="134" t="s">
        <v>39</v>
      </c>
      <c r="H9" s="134" t="s">
        <v>117</v>
      </c>
      <c r="I9" s="134" t="s">
        <v>116</v>
      </c>
      <c r="K9" s="159" t="s">
        <v>41</v>
      </c>
      <c r="L9" s="159" t="s">
        <v>31</v>
      </c>
      <c r="M9" s="159" t="s">
        <v>21</v>
      </c>
      <c r="N9" s="159" t="s">
        <v>22</v>
      </c>
      <c r="O9" s="159" t="s">
        <v>23</v>
      </c>
      <c r="P9" s="159" t="s">
        <v>24</v>
      </c>
      <c r="Q9" s="159" t="s">
        <v>46</v>
      </c>
      <c r="R9" s="159" t="s">
        <v>45</v>
      </c>
      <c r="S9" s="159" t="s">
        <v>25</v>
      </c>
    </row>
    <row r="10" spans="2:19" ht="13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M€2020/PJ</v>
      </c>
      <c r="I10" s="17" t="str">
        <f>$E$2</f>
        <v>PJ</v>
      </c>
      <c r="K10" s="159" t="s">
        <v>103</v>
      </c>
      <c r="L10" s="161"/>
      <c r="M10" s="161"/>
      <c r="N10" s="161"/>
      <c r="O10" s="161"/>
      <c r="P10" s="161"/>
      <c r="Q10" s="161"/>
      <c r="R10" s="161"/>
      <c r="S10" s="161"/>
    </row>
    <row r="11" spans="2:19" x14ac:dyDescent="0.25">
      <c r="B11" s="1" t="str">
        <f>M11</f>
        <v>MINCOA1</v>
      </c>
      <c r="C11" s="1"/>
      <c r="D11" s="1" t="str">
        <f>$M$5</f>
        <v>COA</v>
      </c>
      <c r="E11" s="1"/>
      <c r="F11" s="1"/>
      <c r="G11" s="106">
        <v>45000</v>
      </c>
      <c r="H11" s="108">
        <v>1.88</v>
      </c>
      <c r="I11" s="101">
        <f>EnergyBalance!$D$5*EnergyBalance!D37</f>
        <v>6771</v>
      </c>
      <c r="K11" s="156" t="str">
        <f>EnergyBalance!$B$5</f>
        <v>MIN</v>
      </c>
      <c r="L11" s="160"/>
      <c r="M11" s="160" t="str">
        <f>$K$11&amp;$C$2&amp;1</f>
        <v>MINCOA1</v>
      </c>
      <c r="N11" s="162" t="str">
        <f>"Domestic Supply of "&amp;$D$2&amp; " Step "&amp;RIGHT(M11,1)</f>
        <v>Domestic Supply of Solid Fuels Step 1</v>
      </c>
      <c r="O11" s="160" t="str">
        <f>$E$2</f>
        <v>PJ</v>
      </c>
      <c r="P11" s="160"/>
      <c r="Q11" s="160"/>
      <c r="R11" s="160"/>
      <c r="S11" s="160"/>
    </row>
    <row r="12" spans="2:19" x14ac:dyDescent="0.25">
      <c r="B12" s="1" t="str">
        <f>M12</f>
        <v>MINCOA2</v>
      </c>
      <c r="C12" s="1"/>
      <c r="D12" s="1" t="str">
        <f>$M$5</f>
        <v>COA</v>
      </c>
      <c r="E12" s="1"/>
      <c r="F12" s="1"/>
      <c r="G12" s="106">
        <v>1200000</v>
      </c>
      <c r="H12" s="108">
        <v>1.2</v>
      </c>
      <c r="I12" s="101">
        <f>EnergyBalance!$D$5*EnergyBalance!D38</f>
        <v>6771</v>
      </c>
      <c r="K12" s="160"/>
      <c r="L12" s="160"/>
      <c r="M12" s="160" t="str">
        <f>$K$11&amp;$C$2&amp;2</f>
        <v>MINCOA2</v>
      </c>
      <c r="N12" s="162" t="str">
        <f>"Domestic Supply of "&amp;$D$2&amp; " Step "&amp;RIGHT(M12,1)</f>
        <v>Domestic Supply of Solid Fuels Step 2</v>
      </c>
      <c r="O12" s="160" t="str">
        <f>$E$2</f>
        <v>PJ</v>
      </c>
      <c r="P12" s="160"/>
      <c r="Q12" s="160"/>
      <c r="R12" s="160"/>
      <c r="S12" s="160"/>
    </row>
    <row r="13" spans="2:19" x14ac:dyDescent="0.25">
      <c r="B13" s="1" t="str">
        <f>M13</f>
        <v>MINCOA3</v>
      </c>
      <c r="C13" s="1"/>
      <c r="D13" s="1" t="str">
        <f>$M$5</f>
        <v>COA</v>
      </c>
      <c r="E13" s="1"/>
      <c r="F13" s="1"/>
      <c r="G13" s="106">
        <v>0</v>
      </c>
      <c r="H13" s="108">
        <v>3</v>
      </c>
      <c r="I13" s="106"/>
      <c r="K13" s="160"/>
      <c r="L13" s="160"/>
      <c r="M13" s="160" t="str">
        <f>$K$11&amp;$C$2&amp;3</f>
        <v>MINCOA3</v>
      </c>
      <c r="N13" s="162" t="str">
        <f>"Domestic Supply of "&amp;$D$2&amp; " Step "&amp;RIGHT(M13,1)</f>
        <v>Domestic Supply of Solid Fuels Step 3</v>
      </c>
      <c r="O13" s="160" t="str">
        <f>$E$2</f>
        <v>PJ</v>
      </c>
      <c r="P13" s="160"/>
      <c r="Q13" s="160"/>
      <c r="R13" s="160"/>
      <c r="S13" s="160"/>
    </row>
    <row r="14" spans="2:19" x14ac:dyDescent="0.25">
      <c r="B14" s="1" t="str">
        <f>M14</f>
        <v>IMPCOA1</v>
      </c>
      <c r="C14" s="1"/>
      <c r="D14" s="1" t="str">
        <f>$M$5</f>
        <v>COA</v>
      </c>
      <c r="E14" s="1"/>
      <c r="F14" s="1"/>
      <c r="G14" s="1"/>
      <c r="H14" s="108">
        <v>2.2000000000000002</v>
      </c>
      <c r="I14" s="106"/>
      <c r="K14" s="160" t="str">
        <f>EnergyBalance!$B$6</f>
        <v>IMP</v>
      </c>
      <c r="L14" s="160"/>
      <c r="M14" s="160" t="str">
        <f>$K$14&amp;$C$2&amp;1</f>
        <v>IMPCOA1</v>
      </c>
      <c r="N14" s="162" t="str">
        <f>"Import of "&amp;$D$2&amp; " Step "&amp;RIGHT(M14,1)</f>
        <v>Import of Solid Fuels Step 1</v>
      </c>
      <c r="O14" s="160" t="str">
        <f>$E$2</f>
        <v>PJ</v>
      </c>
      <c r="P14" s="160"/>
      <c r="Q14" s="160"/>
      <c r="R14" s="160"/>
      <c r="S14" s="160"/>
    </row>
    <row r="15" spans="2:19" x14ac:dyDescent="0.25">
      <c r="B15" s="1" t="str">
        <f>M15</f>
        <v>EXPCOA1</v>
      </c>
      <c r="C15" s="1" t="str">
        <f>$M$5</f>
        <v>COA</v>
      </c>
      <c r="D15" s="1"/>
      <c r="E15" s="1">
        <v>2005</v>
      </c>
      <c r="F15" s="1" t="s">
        <v>209</v>
      </c>
      <c r="H15" s="108">
        <v>2.75</v>
      </c>
      <c r="I15" s="102">
        <f>-EnergyBalance!D7</f>
        <v>30</v>
      </c>
      <c r="K15" s="160" t="str">
        <f>EnergyBalance!B7</f>
        <v>EXP</v>
      </c>
      <c r="L15" s="160"/>
      <c r="M15" s="160" t="str">
        <f>$K$15&amp;$C$2&amp;1</f>
        <v>EXPCOA1</v>
      </c>
      <c r="N15" s="162" t="str">
        <f>"Export of "&amp;$D$2&amp; " Step "&amp;RIGHT(M15,1)</f>
        <v>Export of Solid Fuels Step 1</v>
      </c>
      <c r="O15" s="160" t="str">
        <f>$E$2</f>
        <v>PJ</v>
      </c>
      <c r="P15" s="160"/>
      <c r="Q15" s="160"/>
      <c r="R15" s="160"/>
      <c r="S15" s="160"/>
    </row>
    <row r="16" spans="2:19" x14ac:dyDescent="0.25">
      <c r="B16" s="1"/>
      <c r="C16" s="1"/>
      <c r="E16" s="1"/>
      <c r="F16" s="1"/>
      <c r="G16" s="1"/>
      <c r="I16" s="10"/>
    </row>
    <row r="17" spans="2:20" x14ac:dyDescent="0.25">
      <c r="F17" s="1"/>
      <c r="I17" s="16"/>
    </row>
    <row r="20" spans="2:20" x14ac:dyDescent="0.25">
      <c r="B20" s="106"/>
      <c r="C20" s="1" t="s">
        <v>196</v>
      </c>
    </row>
    <row r="21" spans="2:20" x14ac:dyDescent="0.25">
      <c r="B21" s="103"/>
      <c r="C21" s="1" t="s">
        <v>197</v>
      </c>
    </row>
    <row r="25" spans="2:20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x14ac:dyDescent="0.25">
      <c r="T26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4"/>
  <sheetViews>
    <sheetView zoomScaleNormal="100" workbookViewId="0">
      <selection activeCell="G11" sqref="G11:H15"/>
    </sheetView>
  </sheetViews>
  <sheetFormatPr defaultRowHeight="12.5" x14ac:dyDescent="0.25"/>
  <cols>
    <col min="1" max="1" width="2" bestFit="1" customWidth="1"/>
    <col min="2" max="2" width="11.54296875" bestFit="1" customWidth="1"/>
    <col min="3" max="3" width="13.54296875" customWidth="1"/>
    <col min="4" max="4" width="12" bestFit="1" customWidth="1"/>
    <col min="5" max="5" width="11.1796875" bestFit="1" customWidth="1"/>
    <col min="6" max="6" width="8.26953125" bestFit="1" customWidth="1"/>
    <col min="7" max="7" width="14.1796875" customWidth="1"/>
    <col min="8" max="8" width="8.7265625" customWidth="1"/>
    <col min="9" max="9" width="14.54296875" customWidth="1"/>
    <col min="10" max="10" width="2" customWidth="1"/>
    <col min="11" max="11" width="13.7265625" customWidth="1"/>
    <col min="12" max="12" width="7.1796875" customWidth="1"/>
    <col min="13" max="13" width="11.453125" bestFit="1" customWidth="1"/>
    <col min="14" max="14" width="35" bestFit="1" customWidth="1"/>
    <col min="15" max="15" width="6.726562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2:19" ht="14.5" x14ac:dyDescent="0.35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5" x14ac:dyDescent="0.35">
      <c r="B2" s="14"/>
      <c r="C2" s="14" t="str">
        <f>EnergyBalance!E2</f>
        <v>GAS</v>
      </c>
      <c r="D2" s="14" t="str">
        <f>EnergyBalance!E3</f>
        <v>Natural Gas</v>
      </c>
      <c r="E2" s="14" t="str">
        <f>EnergyBalance!R2</f>
        <v>PJ</v>
      </c>
      <c r="G2" s="14" t="str">
        <f>EnergyBalance!Q2</f>
        <v>M€2020</v>
      </c>
      <c r="K2" s="155" t="s">
        <v>14</v>
      </c>
      <c r="L2" s="155"/>
      <c r="M2" s="156"/>
      <c r="N2" s="156"/>
      <c r="O2" s="156"/>
      <c r="P2" s="156"/>
      <c r="Q2" s="156"/>
      <c r="R2" s="156"/>
      <c r="S2" s="156"/>
    </row>
    <row r="3" spans="2:19" ht="13" x14ac:dyDescent="0.3">
      <c r="K3" s="157" t="s">
        <v>7</v>
      </c>
      <c r="L3" s="158" t="s">
        <v>30</v>
      </c>
      <c r="M3" s="157" t="s">
        <v>0</v>
      </c>
      <c r="N3" s="157" t="s">
        <v>3</v>
      </c>
      <c r="O3" s="157" t="s">
        <v>4</v>
      </c>
      <c r="P3" s="157" t="s">
        <v>8</v>
      </c>
      <c r="Q3" s="157" t="s">
        <v>9</v>
      </c>
      <c r="R3" s="157" t="s">
        <v>10</v>
      </c>
      <c r="S3" s="157" t="s">
        <v>12</v>
      </c>
    </row>
    <row r="4" spans="2:19" ht="21" thickBot="1" x14ac:dyDescent="0.3">
      <c r="C4" s="1"/>
      <c r="K4" s="159" t="s">
        <v>40</v>
      </c>
      <c r="L4" s="159" t="s">
        <v>31</v>
      </c>
      <c r="M4" s="159" t="s">
        <v>26</v>
      </c>
      <c r="N4" s="159" t="s">
        <v>27</v>
      </c>
      <c r="O4" s="159" t="s">
        <v>4</v>
      </c>
      <c r="P4" s="159" t="s">
        <v>43</v>
      </c>
      <c r="Q4" s="159" t="s">
        <v>44</v>
      </c>
      <c r="R4" s="159" t="s">
        <v>28</v>
      </c>
      <c r="S4" s="159" t="s">
        <v>29</v>
      </c>
    </row>
    <row r="5" spans="2:19" x14ac:dyDescent="0.25">
      <c r="K5" s="156" t="s">
        <v>93</v>
      </c>
      <c r="L5" s="160"/>
      <c r="M5" s="156" t="str">
        <f>C2</f>
        <v>GAS</v>
      </c>
      <c r="N5" s="156" t="str">
        <f>D2</f>
        <v>Natural Gas</v>
      </c>
      <c r="O5" s="156" t="str">
        <f>$E$2</f>
        <v>PJ</v>
      </c>
      <c r="P5" s="156"/>
      <c r="Q5" s="156"/>
      <c r="R5" s="156"/>
      <c r="S5" s="156"/>
    </row>
    <row r="7" spans="2:19" ht="13" x14ac:dyDescent="0.3">
      <c r="F7" s="6" t="s">
        <v>13</v>
      </c>
      <c r="H7" s="6"/>
      <c r="K7" s="155" t="s">
        <v>15</v>
      </c>
      <c r="L7" s="155"/>
      <c r="M7" s="160"/>
      <c r="N7" s="160"/>
      <c r="O7" s="160"/>
      <c r="P7" s="160"/>
      <c r="Q7" s="160"/>
      <c r="R7" s="160"/>
      <c r="S7" s="160"/>
    </row>
    <row r="8" spans="2:19" ht="13" x14ac:dyDescent="0.3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27" t="s">
        <v>37</v>
      </c>
      <c r="H8" s="127" t="s">
        <v>38</v>
      </c>
      <c r="I8" s="127" t="s">
        <v>100</v>
      </c>
      <c r="K8" s="157" t="s">
        <v>11</v>
      </c>
      <c r="L8" s="158" t="s">
        <v>30</v>
      </c>
      <c r="M8" s="157" t="s">
        <v>1</v>
      </c>
      <c r="N8" s="157" t="s">
        <v>2</v>
      </c>
      <c r="O8" s="157" t="s">
        <v>16</v>
      </c>
      <c r="P8" s="157" t="s">
        <v>17</v>
      </c>
      <c r="Q8" s="157" t="s">
        <v>18</v>
      </c>
      <c r="R8" s="157" t="s">
        <v>19</v>
      </c>
      <c r="S8" s="157" t="s">
        <v>20</v>
      </c>
    </row>
    <row r="9" spans="2:19" ht="21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59" t="s">
        <v>41</v>
      </c>
      <c r="L9" s="159" t="s">
        <v>31</v>
      </c>
      <c r="M9" s="159" t="s">
        <v>21</v>
      </c>
      <c r="N9" s="159" t="s">
        <v>22</v>
      </c>
      <c r="O9" s="159" t="s">
        <v>23</v>
      </c>
      <c r="P9" s="159" t="s">
        <v>24</v>
      </c>
      <c r="Q9" s="159" t="s">
        <v>46</v>
      </c>
      <c r="R9" s="159" t="s">
        <v>45</v>
      </c>
      <c r="S9" s="159" t="s">
        <v>25</v>
      </c>
    </row>
    <row r="10" spans="2:19" ht="13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M€2020/PJ</v>
      </c>
      <c r="I10" s="17" t="str">
        <f>$E$2</f>
        <v>PJ</v>
      </c>
      <c r="K10" s="159" t="s">
        <v>103</v>
      </c>
      <c r="L10" s="161"/>
      <c r="M10" s="161"/>
      <c r="N10" s="161"/>
      <c r="O10" s="161"/>
      <c r="P10" s="161"/>
      <c r="Q10" s="161"/>
      <c r="R10" s="161"/>
      <c r="S10" s="161"/>
    </row>
    <row r="11" spans="2:19" x14ac:dyDescent="0.25">
      <c r="B11" s="1" t="str">
        <f>M11</f>
        <v>MINGAS1</v>
      </c>
      <c r="C11" s="1"/>
      <c r="D11" s="1" t="str">
        <f>$M$5</f>
        <v>GAS</v>
      </c>
      <c r="E11" s="1"/>
      <c r="F11" s="1"/>
      <c r="G11" s="107">
        <v>43500</v>
      </c>
      <c r="H11" s="107">
        <v>1.99</v>
      </c>
      <c r="I11" s="101">
        <f>EnergyBalance!$E$5*EnergyBalance!E37</f>
        <v>1205</v>
      </c>
      <c r="K11" s="156" t="str">
        <f>EnergyBalance!$B$5</f>
        <v>MIN</v>
      </c>
      <c r="L11" s="160"/>
      <c r="M11" s="160" t="str">
        <f>$K$11&amp;$C$2&amp;1</f>
        <v>MINGAS1</v>
      </c>
      <c r="N11" s="162" t="str">
        <f>"Domestic Supply of "&amp;$D$2&amp; " Step "&amp;RIGHT(M11,1)</f>
        <v>Domestic Supply of Natural Gas Step 1</v>
      </c>
      <c r="O11" s="160" t="str">
        <f>$E$2</f>
        <v>PJ</v>
      </c>
      <c r="P11" s="160"/>
      <c r="Q11" s="160"/>
      <c r="R11" s="160"/>
      <c r="S11" s="160"/>
    </row>
    <row r="12" spans="2:19" x14ac:dyDescent="0.25">
      <c r="B12" s="1" t="str">
        <f>M12</f>
        <v>MINGAS2</v>
      </c>
      <c r="C12" s="1"/>
      <c r="D12" s="1" t="str">
        <f>$M$5</f>
        <v>GAS</v>
      </c>
      <c r="E12" s="1"/>
      <c r="F12" s="1"/>
      <c r="G12" s="107">
        <v>0</v>
      </c>
      <c r="H12" s="107">
        <v>4.1399999999999997</v>
      </c>
      <c r="I12" s="101">
        <f>EnergyBalance!$E$5*EnergyBalance!E38</f>
        <v>0</v>
      </c>
      <c r="K12" s="160"/>
      <c r="L12" s="160"/>
      <c r="M12" s="160" t="str">
        <f>$K$11&amp;$C$2&amp;2</f>
        <v>MINGAS2</v>
      </c>
      <c r="N12" s="162" t="str">
        <f>"Domestic Supply of "&amp;$D$2&amp; " Step "&amp;RIGHT(M12,1)</f>
        <v>Domestic Supply of Natural Gas Step 2</v>
      </c>
      <c r="O12" s="160" t="str">
        <f>$E$2</f>
        <v>PJ</v>
      </c>
      <c r="P12" s="160"/>
      <c r="Q12" s="160"/>
      <c r="R12" s="160"/>
      <c r="S12" s="160"/>
    </row>
    <row r="13" spans="2:19" x14ac:dyDescent="0.25">
      <c r="B13" s="1" t="str">
        <f>M13</f>
        <v>MINGAS3</v>
      </c>
      <c r="C13" s="1"/>
      <c r="D13" s="1" t="str">
        <f>$M$5</f>
        <v>GAS</v>
      </c>
      <c r="E13" s="1"/>
      <c r="F13" s="1"/>
      <c r="G13" s="107">
        <v>0</v>
      </c>
      <c r="H13" s="107">
        <v>5.4</v>
      </c>
      <c r="I13" s="106">
        <v>0</v>
      </c>
      <c r="K13" s="160"/>
      <c r="L13" s="160"/>
      <c r="M13" s="160" t="str">
        <f>$K$11&amp;$C$2&amp;3</f>
        <v>MINGAS3</v>
      </c>
      <c r="N13" s="162" t="str">
        <f>"Domestic Supply of "&amp;$D$2&amp; " Step "&amp;RIGHT(M13,1)</f>
        <v>Domestic Supply of Natural Gas Step 3</v>
      </c>
      <c r="O13" s="160" t="str">
        <f>$E$2</f>
        <v>PJ</v>
      </c>
      <c r="P13" s="160"/>
      <c r="Q13" s="160"/>
      <c r="R13" s="160"/>
      <c r="S13" s="160"/>
    </row>
    <row r="14" spans="2:19" x14ac:dyDescent="0.25">
      <c r="B14" s="1" t="str">
        <f>M14</f>
        <v>IMPGAS1</v>
      </c>
      <c r="C14" s="1"/>
      <c r="D14" s="1" t="str">
        <f>$M$5</f>
        <v>GAS</v>
      </c>
      <c r="E14" s="1"/>
      <c r="F14" s="1"/>
      <c r="H14" s="107">
        <v>6.1</v>
      </c>
      <c r="I14" s="106"/>
      <c r="K14" s="160" t="str">
        <f>EnergyBalance!$B$6</f>
        <v>IMP</v>
      </c>
      <c r="L14" s="160"/>
      <c r="M14" s="160" t="str">
        <f>$K$14&amp;$C$2&amp;1</f>
        <v>IMPGAS1</v>
      </c>
      <c r="N14" s="162" t="str">
        <f>"Import of "&amp;$D$2&amp; " Step "&amp;RIGHT(M14,1)</f>
        <v>Import of Natural Gas Step 1</v>
      </c>
      <c r="O14" s="160" t="str">
        <f>$E$2</f>
        <v>PJ</v>
      </c>
      <c r="P14" s="160"/>
      <c r="Q14" s="160"/>
      <c r="R14" s="160"/>
      <c r="S14" s="160"/>
    </row>
    <row r="15" spans="2:19" x14ac:dyDescent="0.25">
      <c r="B15" s="1" t="str">
        <f>M15</f>
        <v>EXPGAS1</v>
      </c>
      <c r="C15" s="1" t="str">
        <f>$M$5</f>
        <v>GAS</v>
      </c>
      <c r="D15" s="1"/>
      <c r="E15" s="1">
        <v>2005</v>
      </c>
      <c r="F15" s="1" t="s">
        <v>209</v>
      </c>
      <c r="H15" s="107">
        <v>4.5</v>
      </c>
      <c r="I15" s="102">
        <f>-EnergyBalance!E7</f>
        <v>0</v>
      </c>
      <c r="K15" s="160" t="str">
        <f>EnergyBalance!B7</f>
        <v>EXP</v>
      </c>
      <c r="L15" s="160"/>
      <c r="M15" s="160" t="str">
        <f>$K$15&amp;$C$2&amp;1</f>
        <v>EXPGAS1</v>
      </c>
      <c r="N15" s="162" t="str">
        <f>"Export of "&amp;$D$2&amp; " Step "&amp;RIGHT(M15,1)</f>
        <v>Export of Natural Gas Step 1</v>
      </c>
      <c r="O15" s="160" t="str">
        <f>$E$2</f>
        <v>PJ</v>
      </c>
      <c r="P15" s="160"/>
      <c r="Q15" s="160"/>
      <c r="R15" s="160"/>
      <c r="S15" s="160"/>
    </row>
    <row r="16" spans="2:19" x14ac:dyDescent="0.25">
      <c r="B16" s="1"/>
      <c r="C16" s="1"/>
      <c r="E16" s="1"/>
      <c r="F16" s="1"/>
      <c r="G16" s="1"/>
      <c r="I16" s="10"/>
    </row>
    <row r="17" spans="2:20" x14ac:dyDescent="0.25">
      <c r="F17" s="1"/>
    </row>
    <row r="22" spans="2:20" x14ac:dyDescent="0.25">
      <c r="B22" s="106"/>
      <c r="C22" s="1" t="s">
        <v>196</v>
      </c>
    </row>
    <row r="23" spans="2:20" s="1" customFormat="1" x14ac:dyDescent="0.25">
      <c r="B23" s="103"/>
      <c r="C23" s="1" t="s">
        <v>197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2:20" x14ac:dyDescent="0.25">
      <c r="J24" s="1"/>
      <c r="T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4"/>
  <sheetViews>
    <sheetView topLeftCell="A4" zoomScaleNormal="100" workbookViewId="0">
      <selection activeCell="G11" sqref="G11:H15"/>
    </sheetView>
  </sheetViews>
  <sheetFormatPr defaultRowHeight="12.5" x14ac:dyDescent="0.25"/>
  <cols>
    <col min="1" max="1" width="2" bestFit="1" customWidth="1"/>
    <col min="2" max="2" width="13.26953125" bestFit="1" customWidth="1"/>
    <col min="3" max="3" width="11.26953125" bestFit="1" customWidth="1"/>
    <col min="4" max="4" width="11.7265625" customWidth="1"/>
    <col min="5" max="5" width="11.453125" bestFit="1" customWidth="1"/>
    <col min="6" max="6" width="8.26953125" bestFit="1" customWidth="1"/>
    <col min="7" max="7" width="14.54296875" bestFit="1" customWidth="1"/>
    <col min="8" max="8" width="8.1796875" customWidth="1"/>
    <col min="9" max="9" width="13.453125" customWidth="1"/>
    <col min="10" max="10" width="2" bestFit="1" customWidth="1"/>
    <col min="11" max="11" width="13.7265625" customWidth="1"/>
    <col min="12" max="12" width="7.1796875" customWidth="1"/>
    <col min="13" max="13" width="11.453125" bestFit="1" customWidth="1"/>
    <col min="14" max="14" width="51.81640625" bestFit="1" customWidth="1"/>
    <col min="15" max="15" width="6.5429687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2:19" ht="14.5" x14ac:dyDescent="0.35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5" x14ac:dyDescent="0.35">
      <c r="B2" s="14"/>
      <c r="C2" s="14" t="str">
        <f>EnergyBalance!F2</f>
        <v>OIL</v>
      </c>
      <c r="D2" s="14" t="str">
        <f>EnergyBalance!F3</f>
        <v>Crude Oil</v>
      </c>
      <c r="E2" s="14" t="str">
        <f>EnergyBalance!R2</f>
        <v>PJ</v>
      </c>
      <c r="G2" s="14" t="str">
        <f>EnergyBalance!Q2</f>
        <v>M€2020</v>
      </c>
      <c r="K2" s="155" t="s">
        <v>14</v>
      </c>
      <c r="L2" s="155"/>
      <c r="M2" s="156"/>
      <c r="N2" s="156"/>
      <c r="O2" s="156"/>
      <c r="P2" s="156"/>
      <c r="Q2" s="156"/>
      <c r="R2" s="156"/>
      <c r="S2" s="156"/>
    </row>
    <row r="3" spans="2:19" ht="13" x14ac:dyDescent="0.3">
      <c r="K3" s="157" t="s">
        <v>7</v>
      </c>
      <c r="L3" s="158" t="s">
        <v>30</v>
      </c>
      <c r="M3" s="157" t="s">
        <v>0</v>
      </c>
      <c r="N3" s="157" t="s">
        <v>3</v>
      </c>
      <c r="O3" s="157" t="s">
        <v>4</v>
      </c>
      <c r="P3" s="157" t="s">
        <v>8</v>
      </c>
      <c r="Q3" s="157" t="s">
        <v>9</v>
      </c>
      <c r="R3" s="157" t="s">
        <v>10</v>
      </c>
      <c r="S3" s="157" t="s">
        <v>12</v>
      </c>
    </row>
    <row r="4" spans="2:19" ht="21" thickBot="1" x14ac:dyDescent="0.3">
      <c r="C4" s="1"/>
      <c r="K4" s="159" t="s">
        <v>40</v>
      </c>
      <c r="L4" s="159" t="s">
        <v>31</v>
      </c>
      <c r="M4" s="159" t="s">
        <v>26</v>
      </c>
      <c r="N4" s="159" t="s">
        <v>27</v>
      </c>
      <c r="O4" s="159" t="s">
        <v>4</v>
      </c>
      <c r="P4" s="159" t="s">
        <v>43</v>
      </c>
      <c r="Q4" s="159" t="s">
        <v>44</v>
      </c>
      <c r="R4" s="159" t="s">
        <v>28</v>
      </c>
      <c r="S4" s="159" t="s">
        <v>29</v>
      </c>
    </row>
    <row r="5" spans="2:19" x14ac:dyDescent="0.25">
      <c r="K5" s="156" t="s">
        <v>93</v>
      </c>
      <c r="L5" s="160"/>
      <c r="M5" s="156" t="str">
        <f>C2</f>
        <v>OIL</v>
      </c>
      <c r="N5" s="156" t="str">
        <f>D2</f>
        <v>Crude Oil</v>
      </c>
      <c r="O5" s="156" t="str">
        <f>$E$2</f>
        <v>PJ</v>
      </c>
      <c r="P5" s="156"/>
      <c r="Q5" s="156"/>
      <c r="R5" s="156"/>
      <c r="S5" s="156"/>
    </row>
    <row r="7" spans="2:19" ht="13" x14ac:dyDescent="0.3">
      <c r="F7" s="6" t="s">
        <v>13</v>
      </c>
      <c r="H7" s="6"/>
      <c r="K7" s="155" t="s">
        <v>15</v>
      </c>
      <c r="L7" s="155"/>
      <c r="M7" s="160"/>
      <c r="N7" s="160"/>
      <c r="O7" s="160"/>
      <c r="P7" s="160"/>
      <c r="Q7" s="160"/>
      <c r="R7" s="160"/>
      <c r="S7" s="160"/>
    </row>
    <row r="8" spans="2:19" ht="13" x14ac:dyDescent="0.3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27" t="s">
        <v>37</v>
      </c>
      <c r="H8" s="127" t="s">
        <v>38</v>
      </c>
      <c r="I8" s="127" t="s">
        <v>100</v>
      </c>
      <c r="K8" s="157" t="s">
        <v>11</v>
      </c>
      <c r="L8" s="158" t="s">
        <v>30</v>
      </c>
      <c r="M8" s="157" t="s">
        <v>1</v>
      </c>
      <c r="N8" s="157" t="s">
        <v>2</v>
      </c>
      <c r="O8" s="157" t="s">
        <v>16</v>
      </c>
      <c r="P8" s="157" t="s">
        <v>17</v>
      </c>
      <c r="Q8" s="157" t="s">
        <v>18</v>
      </c>
      <c r="R8" s="157" t="s">
        <v>19</v>
      </c>
      <c r="S8" s="157" t="s">
        <v>20</v>
      </c>
    </row>
    <row r="9" spans="2:19" ht="21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59" t="s">
        <v>41</v>
      </c>
      <c r="L9" s="159" t="s">
        <v>31</v>
      </c>
      <c r="M9" s="159" t="s">
        <v>21</v>
      </c>
      <c r="N9" s="159" t="s">
        <v>22</v>
      </c>
      <c r="O9" s="159" t="s">
        <v>23</v>
      </c>
      <c r="P9" s="159" t="s">
        <v>24</v>
      </c>
      <c r="Q9" s="159" t="s">
        <v>46</v>
      </c>
      <c r="R9" s="159" t="s">
        <v>45</v>
      </c>
      <c r="S9" s="159" t="s">
        <v>25</v>
      </c>
    </row>
    <row r="10" spans="2:19" ht="13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M€2020/PJ</v>
      </c>
      <c r="I10" s="17" t="str">
        <f>$E$2</f>
        <v>PJ</v>
      </c>
      <c r="K10" s="159" t="s">
        <v>103</v>
      </c>
      <c r="L10" s="161"/>
      <c r="M10" s="161"/>
      <c r="N10" s="161"/>
      <c r="O10" s="161"/>
      <c r="P10" s="161"/>
      <c r="Q10" s="161"/>
      <c r="R10" s="161"/>
      <c r="S10" s="161"/>
    </row>
    <row r="11" spans="2:19" x14ac:dyDescent="0.25">
      <c r="B11" s="1" t="str">
        <f>M11</f>
        <v>MINOIL1</v>
      </c>
      <c r="C11" s="1"/>
      <c r="D11" s="1" t="str">
        <f>$M$5</f>
        <v>OIL</v>
      </c>
      <c r="E11" s="1"/>
      <c r="F11" s="1"/>
      <c r="G11" s="62">
        <v>19000</v>
      </c>
      <c r="H11" s="107">
        <v>10.1</v>
      </c>
      <c r="I11" s="101">
        <f>EnergyBalance!$F$5*EnergyBalance!F37</f>
        <v>1381</v>
      </c>
      <c r="K11" s="156" t="str">
        <f>EnergyBalance!$B$5</f>
        <v>MIN</v>
      </c>
      <c r="L11" s="160"/>
      <c r="M11" s="160" t="str">
        <f>$K$11&amp;$C$2&amp;1</f>
        <v>MINOIL1</v>
      </c>
      <c r="N11" s="160" t="str">
        <f>"Domestic Supply of "&amp;$D$2&amp; " Step "&amp;RIGHT(M11,1)</f>
        <v>Domestic Supply of Crude Oil Step 1</v>
      </c>
      <c r="O11" s="160" t="str">
        <f>$E$2</f>
        <v>PJ</v>
      </c>
      <c r="P11" s="160"/>
      <c r="Q11" s="160"/>
      <c r="R11" s="160"/>
      <c r="S11" s="160"/>
    </row>
    <row r="12" spans="2:19" x14ac:dyDescent="0.25">
      <c r="B12" s="1" t="str">
        <f>M12</f>
        <v>MINOIL2</v>
      </c>
      <c r="C12" s="1"/>
      <c r="D12" s="1" t="str">
        <f>$M$5</f>
        <v>OIL</v>
      </c>
      <c r="E12" s="1"/>
      <c r="F12" s="1"/>
      <c r="G12" s="62">
        <v>0</v>
      </c>
      <c r="H12" s="107">
        <v>7.3599999999999994</v>
      </c>
      <c r="I12" s="101">
        <f>EnergyBalance!$F$5*EnergyBalance!F38</f>
        <v>0</v>
      </c>
      <c r="K12" s="160"/>
      <c r="L12" s="160"/>
      <c r="M12" s="160" t="str">
        <f>$K$11&amp;$C$2&amp;2</f>
        <v>MINOIL2</v>
      </c>
      <c r="N12" s="160" t="str">
        <f>"Domestic Supply of "&amp;$D$2&amp; " Step "&amp;RIGHT(M12,1)</f>
        <v>Domestic Supply of Crude Oil Step 2</v>
      </c>
      <c r="O12" s="160" t="str">
        <f>$E$2</f>
        <v>PJ</v>
      </c>
      <c r="P12" s="160"/>
      <c r="Q12" s="160"/>
      <c r="R12" s="160"/>
      <c r="S12" s="160"/>
    </row>
    <row r="13" spans="2:19" x14ac:dyDescent="0.25">
      <c r="B13" s="1" t="str">
        <f>M13</f>
        <v>MINOIL3</v>
      </c>
      <c r="C13" s="1"/>
      <c r="D13" s="1" t="str">
        <f>$M$5</f>
        <v>OIL</v>
      </c>
      <c r="E13" s="1"/>
      <c r="F13" s="1"/>
      <c r="G13" s="62">
        <v>0</v>
      </c>
      <c r="H13" s="107">
        <v>9.6000000000000014</v>
      </c>
      <c r="I13" s="106"/>
      <c r="K13" s="160"/>
      <c r="L13" s="160"/>
      <c r="M13" s="160" t="str">
        <f>$K$11&amp;$C$2&amp;3</f>
        <v>MINOIL3</v>
      </c>
      <c r="N13" s="160" t="str">
        <f>"Domestic Supply of "&amp;$D$2&amp; " Step "&amp;RIGHT(M13,1)</f>
        <v>Domestic Supply of Crude Oil Step 3</v>
      </c>
      <c r="O13" s="160" t="str">
        <f>$E$2</f>
        <v>PJ</v>
      </c>
      <c r="P13" s="160"/>
      <c r="Q13" s="160"/>
      <c r="R13" s="160"/>
      <c r="S13" s="160"/>
    </row>
    <row r="14" spans="2:19" x14ac:dyDescent="0.25">
      <c r="B14" s="1" t="str">
        <f>M14</f>
        <v>IMPOIL1</v>
      </c>
      <c r="C14" s="1"/>
      <c r="D14" s="1" t="str">
        <f>$M$5</f>
        <v>OIL</v>
      </c>
      <c r="E14" s="1"/>
      <c r="F14" s="1"/>
      <c r="G14" s="62"/>
      <c r="H14" s="107">
        <v>6.4</v>
      </c>
      <c r="I14" s="106"/>
      <c r="K14" s="160" t="str">
        <f>EnergyBalance!$B$6</f>
        <v>IMP</v>
      </c>
      <c r="L14" s="160"/>
      <c r="M14" s="160" t="str">
        <f>$K$14&amp;$C$2&amp;1</f>
        <v>IMPOIL1</v>
      </c>
      <c r="N14" s="160" t="str">
        <f>"Import of "&amp;$D$2&amp; " Step "&amp;RIGHT(M14,1)</f>
        <v>Import of Crude Oil Step 1</v>
      </c>
      <c r="O14" s="160" t="str">
        <f>$E$2</f>
        <v>PJ</v>
      </c>
      <c r="P14" s="160"/>
      <c r="Q14" s="160"/>
      <c r="R14" s="160"/>
      <c r="S14" s="160"/>
    </row>
    <row r="15" spans="2:19" x14ac:dyDescent="0.25">
      <c r="B15" s="1" t="str">
        <f>M15</f>
        <v>EXPOIL1</v>
      </c>
      <c r="C15" s="1" t="str">
        <f>$M$5</f>
        <v>OIL</v>
      </c>
      <c r="D15" s="1"/>
      <c r="E15">
        <v>2005</v>
      </c>
      <c r="F15" s="1" t="s">
        <v>209</v>
      </c>
      <c r="G15" s="62"/>
      <c r="H15" s="107">
        <v>7.5</v>
      </c>
      <c r="I15" s="102">
        <f>-EnergyBalance!F7</f>
        <v>2877</v>
      </c>
      <c r="K15" s="160" t="str">
        <f>EnergyBalance!B7</f>
        <v>EXP</v>
      </c>
      <c r="L15" s="160"/>
      <c r="M15" s="160" t="str">
        <f>$K$15&amp;$C$2&amp;1</f>
        <v>EXPOIL1</v>
      </c>
      <c r="N15" s="160" t="str">
        <f>"Export of "&amp;$D$2&amp; " Step "&amp;RIGHT(M15,1)</f>
        <v>Export of Crude Oil Step 1</v>
      </c>
      <c r="O15" s="160" t="str">
        <f>$E$2</f>
        <v>PJ</v>
      </c>
      <c r="P15" s="160"/>
      <c r="Q15" s="160"/>
      <c r="R15" s="160"/>
      <c r="S15" s="160"/>
    </row>
    <row r="16" spans="2:19" x14ac:dyDescent="0.25">
      <c r="F16" s="1"/>
      <c r="I16" s="10"/>
    </row>
    <row r="17" spans="2:25" x14ac:dyDescent="0.25">
      <c r="F17" s="1"/>
      <c r="H17" s="20"/>
    </row>
    <row r="18" spans="2:25" x14ac:dyDescent="0.25">
      <c r="V18" s="1"/>
      <c r="W18" s="1"/>
    </row>
    <row r="19" spans="2:25" x14ac:dyDescent="0.25">
      <c r="U19" s="1"/>
      <c r="X19" s="1"/>
      <c r="Y19" s="1"/>
    </row>
    <row r="22" spans="2:25" x14ac:dyDescent="0.25">
      <c r="B22" s="106"/>
      <c r="C22" s="1" t="s">
        <v>196</v>
      </c>
    </row>
    <row r="23" spans="2:25" x14ac:dyDescent="0.25">
      <c r="B23" s="103"/>
      <c r="C23" s="1" t="s">
        <v>197</v>
      </c>
    </row>
    <row r="24" spans="2:25" x14ac:dyDescent="0.25">
      <c r="J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24"/>
  <sheetViews>
    <sheetView zoomScaleNormal="100" workbookViewId="0">
      <selection activeCell="I11" sqref="I11"/>
    </sheetView>
  </sheetViews>
  <sheetFormatPr defaultColWidth="8.81640625" defaultRowHeight="12.5" x14ac:dyDescent="0.25"/>
  <cols>
    <col min="1" max="1" width="2" style="36" bestFit="1" customWidth="1"/>
    <col min="2" max="2" width="13.81640625" customWidth="1"/>
    <col min="3" max="3" width="11.81640625" bestFit="1" customWidth="1"/>
    <col min="4" max="4" width="11" customWidth="1"/>
    <col min="5" max="5" width="11.453125" bestFit="1" customWidth="1"/>
    <col min="6" max="6" width="8.26953125" bestFit="1" customWidth="1"/>
    <col min="7" max="7" width="13.81640625" customWidth="1"/>
    <col min="8" max="8" width="8.453125" bestFit="1" customWidth="1"/>
    <col min="9" max="9" width="14.7265625" style="36" customWidth="1"/>
    <col min="10" max="10" width="2.54296875" style="36" customWidth="1"/>
    <col min="11" max="11" width="11.81640625" bestFit="1" customWidth="1"/>
    <col min="12" max="12" width="7.453125" bestFit="1" customWidth="1"/>
    <col min="13" max="13" width="12.1796875" bestFit="1" customWidth="1"/>
    <col min="14" max="14" width="40.54296875" customWidth="1"/>
    <col min="15" max="15" width="6.1796875" bestFit="1" customWidth="1"/>
    <col min="16" max="16" width="10.453125" bestFit="1" customWidth="1"/>
    <col min="17" max="17" width="12.81640625" bestFit="1" customWidth="1"/>
    <col min="18" max="18" width="14.1796875" bestFit="1" customWidth="1"/>
    <col min="19" max="19" width="8" bestFit="1" customWidth="1"/>
    <col min="20" max="16384" width="8.81640625" style="36"/>
  </cols>
  <sheetData>
    <row r="1" spans="2:19" ht="14.5" x14ac:dyDescent="0.35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5" x14ac:dyDescent="0.35">
      <c r="B2" s="14"/>
      <c r="C2" s="14" t="str">
        <f>EnergyBalance!H2</f>
        <v>RNW</v>
      </c>
      <c r="D2" s="14" t="str">
        <f>EnergyBalance!H3</f>
        <v>Renewable Energies</v>
      </c>
      <c r="E2" s="14" t="str">
        <f>EnergyBalance!R2</f>
        <v>PJ</v>
      </c>
      <c r="G2" s="14" t="str">
        <f>EnergyBalance!Q2</f>
        <v>M€2020</v>
      </c>
      <c r="K2" s="155" t="s">
        <v>14</v>
      </c>
      <c r="L2" s="155"/>
      <c r="M2" s="156"/>
      <c r="N2" s="156"/>
      <c r="O2" s="156"/>
      <c r="P2" s="156"/>
      <c r="Q2" s="156"/>
      <c r="R2" s="156"/>
      <c r="S2" s="156"/>
    </row>
    <row r="3" spans="2:19" ht="13" x14ac:dyDescent="0.3">
      <c r="H3" s="13"/>
      <c r="K3" s="157" t="s">
        <v>7</v>
      </c>
      <c r="L3" s="158" t="s">
        <v>30</v>
      </c>
      <c r="M3" s="157" t="s">
        <v>0</v>
      </c>
      <c r="N3" s="157" t="s">
        <v>3</v>
      </c>
      <c r="O3" s="157" t="s">
        <v>4</v>
      </c>
      <c r="P3" s="157" t="s">
        <v>8</v>
      </c>
      <c r="Q3" s="157" t="s">
        <v>9</v>
      </c>
      <c r="R3" s="157" t="s">
        <v>10</v>
      </c>
      <c r="S3" s="157" t="s">
        <v>12</v>
      </c>
    </row>
    <row r="4" spans="2:19" ht="21" thickBot="1" x14ac:dyDescent="0.3">
      <c r="B4" s="1"/>
      <c r="K4" s="159" t="s">
        <v>40</v>
      </c>
      <c r="L4" s="159" t="s">
        <v>31</v>
      </c>
      <c r="M4" s="159" t="s">
        <v>26</v>
      </c>
      <c r="N4" s="159" t="s">
        <v>27</v>
      </c>
      <c r="O4" s="159" t="s">
        <v>4</v>
      </c>
      <c r="P4" s="159" t="s">
        <v>43</v>
      </c>
      <c r="Q4" s="159" t="s">
        <v>44</v>
      </c>
      <c r="R4" s="159" t="s">
        <v>28</v>
      </c>
      <c r="S4" s="159" t="s">
        <v>29</v>
      </c>
    </row>
    <row r="5" spans="2:19" x14ac:dyDescent="0.25">
      <c r="K5" s="156" t="s">
        <v>93</v>
      </c>
      <c r="L5" s="160"/>
      <c r="M5" s="156" t="str">
        <f>C2</f>
        <v>RNW</v>
      </c>
      <c r="N5" s="156" t="str">
        <f>D2</f>
        <v>Renewable Energies</v>
      </c>
      <c r="O5" s="156" t="str">
        <f>$E$2</f>
        <v>PJ</v>
      </c>
      <c r="P5" s="156"/>
      <c r="Q5" s="156"/>
      <c r="R5" s="156"/>
      <c r="S5" s="156"/>
    </row>
    <row r="7" spans="2:19" ht="13" x14ac:dyDescent="0.3">
      <c r="F7" s="6" t="s">
        <v>13</v>
      </c>
      <c r="H7" s="6"/>
      <c r="I7"/>
      <c r="K7" s="155" t="s">
        <v>15</v>
      </c>
      <c r="L7" s="155"/>
      <c r="M7" s="160"/>
      <c r="N7" s="160"/>
      <c r="O7" s="160"/>
      <c r="P7" s="160"/>
      <c r="Q7" s="160"/>
      <c r="R7" s="160"/>
      <c r="S7" s="160"/>
    </row>
    <row r="8" spans="2:19" ht="13" x14ac:dyDescent="0.3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27" t="s">
        <v>37</v>
      </c>
      <c r="H8" s="127" t="s">
        <v>38</v>
      </c>
      <c r="I8" s="127" t="s">
        <v>100</v>
      </c>
      <c r="K8" s="157" t="s">
        <v>11</v>
      </c>
      <c r="L8" s="158" t="s">
        <v>30</v>
      </c>
      <c r="M8" s="157" t="s">
        <v>1</v>
      </c>
      <c r="N8" s="157" t="s">
        <v>2</v>
      </c>
      <c r="O8" s="157" t="s">
        <v>16</v>
      </c>
      <c r="P8" s="157" t="s">
        <v>17</v>
      </c>
      <c r="Q8" s="157" t="s">
        <v>18</v>
      </c>
      <c r="R8" s="157" t="s">
        <v>19</v>
      </c>
      <c r="S8" s="157" t="s">
        <v>20</v>
      </c>
    </row>
    <row r="9" spans="2:19" ht="21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59" t="s">
        <v>41</v>
      </c>
      <c r="L9" s="159" t="s">
        <v>31</v>
      </c>
      <c r="M9" s="159" t="s">
        <v>21</v>
      </c>
      <c r="N9" s="159" t="s">
        <v>22</v>
      </c>
      <c r="O9" s="159" t="s">
        <v>23</v>
      </c>
      <c r="P9" s="159" t="s">
        <v>24</v>
      </c>
      <c r="Q9" s="159" t="s">
        <v>46</v>
      </c>
      <c r="R9" s="159" t="s">
        <v>45</v>
      </c>
      <c r="S9" s="159" t="s">
        <v>25</v>
      </c>
    </row>
    <row r="10" spans="2:19" ht="13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M€2020/PJ</v>
      </c>
      <c r="I10" s="17" t="str">
        <f>$E$2</f>
        <v>PJ</v>
      </c>
      <c r="K10" s="159" t="s">
        <v>103</v>
      </c>
      <c r="L10" s="161"/>
      <c r="M10" s="161"/>
      <c r="N10" s="161"/>
      <c r="O10" s="161"/>
      <c r="P10" s="161"/>
      <c r="Q10" s="161"/>
      <c r="R10" s="161"/>
      <c r="S10" s="161"/>
    </row>
    <row r="11" spans="2:19" x14ac:dyDescent="0.25">
      <c r="B11" s="1" t="str">
        <f>M11</f>
        <v>MINRNW1</v>
      </c>
      <c r="C11" s="1"/>
      <c r="D11" s="1" t="str">
        <f>$M$5</f>
        <v>RNW</v>
      </c>
      <c r="E11" s="1"/>
      <c r="F11" s="1"/>
      <c r="G11" s="15">
        <v>4730000</v>
      </c>
      <c r="H11" s="33">
        <v>9.3000000000000007</v>
      </c>
      <c r="I11">
        <v>47300</v>
      </c>
      <c r="K11" s="156" t="str">
        <f>EnergyBalance!$B$5</f>
        <v>MIN</v>
      </c>
      <c r="L11" s="160"/>
      <c r="M11" s="160" t="str">
        <f>$K$11&amp;$C$2&amp;1</f>
        <v>MINRNW1</v>
      </c>
      <c r="N11" s="162" t="str">
        <f>"Domestic Supply of "&amp;$D$2&amp; " Step "&amp;RIGHT(M11,1)</f>
        <v>Domestic Supply of Renewable Energies Step 1</v>
      </c>
      <c r="O11" s="160" t="str">
        <f>$E$2</f>
        <v>PJ</v>
      </c>
      <c r="P11" s="160"/>
      <c r="Q11" s="160"/>
      <c r="R11" s="160"/>
      <c r="S11" s="160"/>
    </row>
    <row r="12" spans="2:19" x14ac:dyDescent="0.25">
      <c r="B12" s="1"/>
      <c r="C12" s="1"/>
      <c r="D12" s="1"/>
      <c r="E12" s="1"/>
      <c r="F12" s="1"/>
      <c r="G12" s="15"/>
      <c r="H12" s="33"/>
      <c r="I12"/>
      <c r="N12" s="23"/>
    </row>
    <row r="13" spans="2:19" x14ac:dyDescent="0.25">
      <c r="B13" s="1"/>
      <c r="C13" s="1"/>
      <c r="D13" s="1"/>
      <c r="E13" s="1"/>
      <c r="F13" s="1"/>
      <c r="G13" s="15"/>
      <c r="H13" s="33"/>
      <c r="I13"/>
      <c r="N13" s="23"/>
    </row>
    <row r="14" spans="2:19" x14ac:dyDescent="0.25">
      <c r="B14" s="1"/>
      <c r="C14" s="1"/>
      <c r="D14" s="1"/>
      <c r="E14" s="1"/>
      <c r="F14" s="1"/>
      <c r="G14" s="1"/>
      <c r="H14" s="33"/>
      <c r="I14"/>
      <c r="N14" s="23"/>
    </row>
    <row r="15" spans="2:19" x14ac:dyDescent="0.25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25">
      <c r="B16" s="1"/>
      <c r="C16" s="1"/>
      <c r="F16" s="1"/>
      <c r="G16" s="1"/>
      <c r="H16" s="1"/>
    </row>
    <row r="20" spans="2:3" ht="19.5" customHeight="1" x14ac:dyDescent="0.25"/>
    <row r="23" spans="2:3" x14ac:dyDescent="0.25">
      <c r="B23" s="62"/>
      <c r="C23" s="1" t="s">
        <v>196</v>
      </c>
    </row>
    <row r="24" spans="2:3" x14ac:dyDescent="0.25">
      <c r="B24" s="103"/>
      <c r="C24" s="1" t="s">
        <v>197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4"/>
  <sheetViews>
    <sheetView zoomScaleNormal="100" workbookViewId="0">
      <selection activeCell="G11" sqref="G11"/>
    </sheetView>
  </sheetViews>
  <sheetFormatPr defaultColWidth="8.81640625" defaultRowHeight="12.5" x14ac:dyDescent="0.25"/>
  <cols>
    <col min="1" max="1" width="2" style="36" bestFit="1" customWidth="1"/>
    <col min="2" max="2" width="13.81640625" customWidth="1"/>
    <col min="3" max="3" width="11.81640625" bestFit="1" customWidth="1"/>
    <col min="4" max="4" width="11" customWidth="1"/>
    <col min="5" max="5" width="11.453125" bestFit="1" customWidth="1"/>
    <col min="6" max="6" width="8.26953125" bestFit="1" customWidth="1"/>
    <col min="7" max="7" width="13.1796875" bestFit="1" customWidth="1"/>
    <col min="8" max="8" width="8.453125" bestFit="1" customWidth="1"/>
    <col min="9" max="9" width="12.54296875" customWidth="1"/>
    <col min="10" max="10" width="2" style="36" bestFit="1" customWidth="1"/>
    <col min="11" max="11" width="11.81640625" bestFit="1" customWidth="1"/>
    <col min="12" max="12" width="7.453125" bestFit="1" customWidth="1"/>
    <col min="13" max="13" width="12.1796875" bestFit="1" customWidth="1"/>
    <col min="14" max="14" width="37.26953125" bestFit="1" customWidth="1"/>
    <col min="15" max="15" width="6.1796875" bestFit="1" customWidth="1"/>
    <col min="16" max="16" width="10.453125" bestFit="1" customWidth="1"/>
    <col min="17" max="17" width="12.81640625" bestFit="1" customWidth="1"/>
    <col min="18" max="18" width="14.1796875" bestFit="1" customWidth="1"/>
    <col min="19" max="19" width="8" bestFit="1" customWidth="1"/>
    <col min="20" max="16384" width="8.81640625" style="36"/>
  </cols>
  <sheetData>
    <row r="1" spans="2:19" ht="14.5" x14ac:dyDescent="0.35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5" x14ac:dyDescent="0.35">
      <c r="B2" s="14"/>
      <c r="C2" s="14" t="str">
        <f>EnergyBalance!G2</f>
        <v>NUC</v>
      </c>
      <c r="D2" s="14" t="str">
        <f>EnergyBalance!G3</f>
        <v>Nuclear Energy</v>
      </c>
      <c r="E2" s="14" t="str">
        <f>EnergyBalance!R2</f>
        <v>PJ</v>
      </c>
      <c r="G2" s="14" t="str">
        <f>EnergyBalance!Q2</f>
        <v>M€2020</v>
      </c>
      <c r="K2" s="155" t="s">
        <v>14</v>
      </c>
      <c r="L2" s="155"/>
      <c r="M2" s="156"/>
      <c r="N2" s="156"/>
      <c r="O2" s="156"/>
      <c r="P2" s="156"/>
      <c r="Q2" s="156"/>
      <c r="R2" s="156"/>
      <c r="S2" s="156"/>
    </row>
    <row r="3" spans="2:19" ht="13" x14ac:dyDescent="0.3">
      <c r="H3" s="13"/>
      <c r="K3" s="157" t="s">
        <v>7</v>
      </c>
      <c r="L3" s="158" t="s">
        <v>30</v>
      </c>
      <c r="M3" s="157" t="s">
        <v>0</v>
      </c>
      <c r="N3" s="157" t="s">
        <v>3</v>
      </c>
      <c r="O3" s="157" t="s">
        <v>4</v>
      </c>
      <c r="P3" s="157" t="s">
        <v>8</v>
      </c>
      <c r="Q3" s="157" t="s">
        <v>9</v>
      </c>
      <c r="R3" s="157" t="s">
        <v>10</v>
      </c>
      <c r="S3" s="157" t="s">
        <v>12</v>
      </c>
    </row>
    <row r="4" spans="2:19" ht="21" thickBot="1" x14ac:dyDescent="0.3">
      <c r="B4" s="1"/>
      <c r="K4" s="159" t="s">
        <v>40</v>
      </c>
      <c r="L4" s="159" t="s">
        <v>31</v>
      </c>
      <c r="M4" s="159" t="s">
        <v>26</v>
      </c>
      <c r="N4" s="159" t="s">
        <v>27</v>
      </c>
      <c r="O4" s="159" t="s">
        <v>4</v>
      </c>
      <c r="P4" s="159" t="s">
        <v>43</v>
      </c>
      <c r="Q4" s="159" t="s">
        <v>44</v>
      </c>
      <c r="R4" s="159" t="s">
        <v>28</v>
      </c>
      <c r="S4" s="159" t="s">
        <v>29</v>
      </c>
    </row>
    <row r="5" spans="2:19" x14ac:dyDescent="0.25">
      <c r="K5" s="156" t="s">
        <v>93</v>
      </c>
      <c r="L5" s="160"/>
      <c r="M5" s="156" t="str">
        <f>C2</f>
        <v>NUC</v>
      </c>
      <c r="N5" s="156" t="str">
        <f>D2</f>
        <v>Nuclear Energy</v>
      </c>
      <c r="O5" s="156" t="str">
        <f>$E$2</f>
        <v>PJ</v>
      </c>
      <c r="P5" s="156"/>
      <c r="Q5" s="156"/>
      <c r="R5" s="156"/>
      <c r="S5" s="156"/>
    </row>
    <row r="7" spans="2:19" ht="13" x14ac:dyDescent="0.3">
      <c r="F7" s="6" t="s">
        <v>13</v>
      </c>
      <c r="H7" s="6"/>
      <c r="K7" s="155" t="s">
        <v>15</v>
      </c>
      <c r="L7" s="155"/>
      <c r="M7" s="160"/>
      <c r="N7" s="160"/>
      <c r="O7" s="160"/>
      <c r="P7" s="160"/>
      <c r="Q7" s="160"/>
      <c r="R7" s="160"/>
      <c r="S7" s="160"/>
    </row>
    <row r="8" spans="2:19" ht="13" x14ac:dyDescent="0.3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27" t="s">
        <v>37</v>
      </c>
      <c r="H8" s="127" t="s">
        <v>38</v>
      </c>
      <c r="I8" s="127" t="s">
        <v>100</v>
      </c>
      <c r="K8" s="157" t="s">
        <v>11</v>
      </c>
      <c r="L8" s="158" t="s">
        <v>30</v>
      </c>
      <c r="M8" s="157" t="s">
        <v>1</v>
      </c>
      <c r="N8" s="157" t="s">
        <v>2</v>
      </c>
      <c r="O8" s="157" t="s">
        <v>16</v>
      </c>
      <c r="P8" s="157" t="s">
        <v>17</v>
      </c>
      <c r="Q8" s="157" t="s">
        <v>18</v>
      </c>
      <c r="R8" s="157" t="s">
        <v>19</v>
      </c>
      <c r="S8" s="157" t="s">
        <v>20</v>
      </c>
    </row>
    <row r="9" spans="2:19" ht="21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7" t="s">
        <v>39</v>
      </c>
      <c r="H9" s="17" t="s">
        <v>117</v>
      </c>
      <c r="I9" s="17" t="s">
        <v>116</v>
      </c>
      <c r="K9" s="159" t="s">
        <v>41</v>
      </c>
      <c r="L9" s="159" t="s">
        <v>31</v>
      </c>
      <c r="M9" s="159" t="s">
        <v>21</v>
      </c>
      <c r="N9" s="159" t="s">
        <v>22</v>
      </c>
      <c r="O9" s="159" t="s">
        <v>23</v>
      </c>
      <c r="P9" s="159" t="s">
        <v>24</v>
      </c>
      <c r="Q9" s="159" t="s">
        <v>46</v>
      </c>
      <c r="R9" s="159" t="s">
        <v>45</v>
      </c>
      <c r="S9" s="159" t="s">
        <v>25</v>
      </c>
    </row>
    <row r="10" spans="2:19" ht="13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M€2020/PJ</v>
      </c>
      <c r="I10" s="17" t="str">
        <f>$E$2</f>
        <v>PJ</v>
      </c>
      <c r="K10" s="159" t="s">
        <v>103</v>
      </c>
      <c r="L10" s="161"/>
      <c r="M10" s="161"/>
      <c r="N10" s="161"/>
      <c r="O10" s="161"/>
      <c r="P10" s="161"/>
      <c r="Q10" s="161"/>
      <c r="R10" s="161"/>
      <c r="S10" s="161"/>
    </row>
    <row r="11" spans="2:19" x14ac:dyDescent="0.25">
      <c r="B11" s="1" t="str">
        <f>M11</f>
        <v>MINNUC1</v>
      </c>
      <c r="C11" s="1"/>
      <c r="D11" s="1" t="str">
        <f>$M$5</f>
        <v>NUC</v>
      </c>
      <c r="E11" s="1"/>
      <c r="F11" s="1"/>
      <c r="G11" s="135">
        <v>47300</v>
      </c>
      <c r="H11" s="136">
        <v>6.7</v>
      </c>
      <c r="I11" s="137">
        <v>473</v>
      </c>
      <c r="K11" s="156" t="str">
        <f>EnergyBalance!$B$5</f>
        <v>MIN</v>
      </c>
      <c r="L11" s="160"/>
      <c r="M11" s="160" t="str">
        <f>$K$11&amp;$C$2&amp;1</f>
        <v>MINNUC1</v>
      </c>
      <c r="N11" s="162" t="str">
        <f>"Domestic Supply of "&amp;$D$2&amp; " Step "&amp;RIGHT(M11,1)</f>
        <v>Domestic Supply of Nuclear Energy Step 1</v>
      </c>
      <c r="O11" s="160" t="str">
        <f>$E$2</f>
        <v>PJ</v>
      </c>
      <c r="P11" s="160"/>
      <c r="Q11" s="160"/>
      <c r="R11" s="160"/>
      <c r="S11" s="160"/>
    </row>
    <row r="12" spans="2:19" x14ac:dyDescent="0.25">
      <c r="B12" s="1"/>
      <c r="C12" s="1"/>
      <c r="D12" s="1"/>
      <c r="E12" s="1"/>
      <c r="F12" s="1"/>
      <c r="G12" s="15"/>
      <c r="H12" s="33"/>
      <c r="N12" s="23"/>
    </row>
    <row r="13" spans="2:19" x14ac:dyDescent="0.25">
      <c r="B13" s="1"/>
      <c r="C13" s="1"/>
      <c r="D13" s="1"/>
      <c r="E13" s="1"/>
      <c r="F13" s="1"/>
      <c r="G13" s="15"/>
      <c r="H13" s="33"/>
      <c r="N13" s="23"/>
    </row>
    <row r="14" spans="2:19" x14ac:dyDescent="0.25">
      <c r="B14" s="1"/>
      <c r="C14" s="1"/>
      <c r="D14" s="1"/>
      <c r="E14" s="1"/>
      <c r="F14" s="1"/>
      <c r="G14" s="1"/>
      <c r="H14" s="33"/>
      <c r="N14" s="23"/>
    </row>
    <row r="15" spans="2:19" x14ac:dyDescent="0.25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25">
      <c r="B16" s="1"/>
      <c r="C16" s="1"/>
      <c r="F16" s="1"/>
      <c r="G16" s="1"/>
      <c r="H16" s="1"/>
      <c r="I16" s="10"/>
    </row>
    <row r="20" spans="2:3" ht="19.5" customHeight="1" x14ac:dyDescent="0.25"/>
    <row r="23" spans="2:3" x14ac:dyDescent="0.25">
      <c r="B23" s="62"/>
      <c r="C23" s="1" t="s">
        <v>196</v>
      </c>
    </row>
    <row r="24" spans="2:3" x14ac:dyDescent="0.25">
      <c r="B24" s="103"/>
      <c r="C24" s="1" t="s">
        <v>197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7"/>
  <sheetViews>
    <sheetView zoomScaleNormal="100" workbookViewId="0">
      <selection activeCell="B26" sqref="B26:C28"/>
    </sheetView>
  </sheetViews>
  <sheetFormatPr defaultRowHeight="12.5" x14ac:dyDescent="0.25"/>
  <cols>
    <col min="1" max="1" width="3" customWidth="1"/>
    <col min="2" max="2" width="13.54296875" bestFit="1" customWidth="1"/>
    <col min="3" max="3" width="12.26953125" customWidth="1"/>
    <col min="4" max="4" width="11.81640625" bestFit="1" customWidth="1"/>
    <col min="5" max="5" width="14.7265625" customWidth="1"/>
    <col min="6" max="6" width="8.453125" bestFit="1" customWidth="1"/>
    <col min="7" max="7" width="7.7265625" customWidth="1"/>
    <col min="8" max="8" width="2.1796875" bestFit="1" customWidth="1"/>
    <col min="9" max="9" width="12.453125" customWidth="1"/>
    <col min="10" max="10" width="7.1796875" customWidth="1"/>
    <col min="11" max="11" width="14.54296875" bestFit="1" customWidth="1"/>
    <col min="12" max="12" width="64.453125" customWidth="1"/>
    <col min="13" max="13" width="6.1796875" customWidth="1"/>
    <col min="14" max="14" width="10.453125" bestFit="1" customWidth="1"/>
    <col min="15" max="15" width="12.81640625" bestFit="1" customWidth="1"/>
    <col min="16" max="16" width="14.1796875" bestFit="1" customWidth="1"/>
    <col min="17" max="17" width="8.1796875" customWidth="1"/>
  </cols>
  <sheetData>
    <row r="1" spans="2:17" ht="14.5" x14ac:dyDescent="0.35">
      <c r="B1" s="11" t="s">
        <v>94</v>
      </c>
      <c r="C1" s="11" t="s">
        <v>95</v>
      </c>
      <c r="D1" s="11" t="s">
        <v>96</v>
      </c>
      <c r="E1" s="11" t="s">
        <v>151</v>
      </c>
      <c r="F1" s="11" t="s">
        <v>119</v>
      </c>
      <c r="G1" s="11" t="s">
        <v>126</v>
      </c>
    </row>
    <row r="2" spans="2:17" ht="15.5" x14ac:dyDescent="0.35">
      <c r="B2" s="14"/>
      <c r="C2" s="14"/>
      <c r="D2" s="14" t="s">
        <v>149</v>
      </c>
      <c r="E2" s="14" t="str">
        <f>EnergyBalance!R2</f>
        <v>PJ</v>
      </c>
      <c r="F2" s="14" t="str">
        <f>EnergyBalance!Q2</f>
        <v>M€2020</v>
      </c>
      <c r="G2" s="14" t="s">
        <v>127</v>
      </c>
      <c r="I2" s="155" t="s">
        <v>14</v>
      </c>
      <c r="J2" s="155"/>
      <c r="K2" s="156"/>
      <c r="L2" s="156"/>
      <c r="M2" s="156"/>
      <c r="N2" s="156"/>
      <c r="O2" s="156"/>
      <c r="P2" s="156"/>
      <c r="Q2" s="156"/>
    </row>
    <row r="3" spans="2:17" ht="13" x14ac:dyDescent="0.3">
      <c r="I3" s="157" t="s">
        <v>7</v>
      </c>
      <c r="J3" s="158" t="s">
        <v>30</v>
      </c>
      <c r="K3" s="157" t="s">
        <v>0</v>
      </c>
      <c r="L3" s="157" t="s">
        <v>3</v>
      </c>
      <c r="M3" s="157" t="s">
        <v>4</v>
      </c>
      <c r="N3" s="157" t="s">
        <v>8</v>
      </c>
      <c r="O3" s="157" t="s">
        <v>9</v>
      </c>
      <c r="P3" s="157" t="s">
        <v>10</v>
      </c>
      <c r="Q3" s="157" t="s">
        <v>12</v>
      </c>
    </row>
    <row r="4" spans="2:17" ht="22" thickBot="1" x14ac:dyDescent="0.4">
      <c r="B4" s="12"/>
      <c r="C4" s="12"/>
      <c r="D4" s="12"/>
      <c r="E4" s="12"/>
      <c r="I4" s="159" t="s">
        <v>40</v>
      </c>
      <c r="J4" s="159" t="s">
        <v>31</v>
      </c>
      <c r="K4" s="159" t="s">
        <v>26</v>
      </c>
      <c r="L4" s="159" t="s">
        <v>27</v>
      </c>
      <c r="M4" s="159" t="s">
        <v>4</v>
      </c>
      <c r="N4" s="159" t="s">
        <v>43</v>
      </c>
      <c r="O4" s="159" t="s">
        <v>44</v>
      </c>
      <c r="P4" s="159" t="s">
        <v>28</v>
      </c>
      <c r="Q4" s="159" t="s">
        <v>29</v>
      </c>
    </row>
    <row r="5" spans="2:17" x14ac:dyDescent="0.25">
      <c r="E5" s="16"/>
      <c r="F5" s="16"/>
      <c r="I5" s="160" t="s">
        <v>93</v>
      </c>
      <c r="J5" s="160"/>
      <c r="K5" s="160" t="str">
        <f>EnergyBalance!$B$16&amp;EnergyBalance!$E$2</f>
        <v>RSDGAS</v>
      </c>
      <c r="L5" s="162" t="str">
        <f>EnergyBalance!$C$16&amp;" "&amp;EnergyBalance!$E$3</f>
        <v>Residential Natural Gas</v>
      </c>
      <c r="M5" s="160" t="str">
        <f t="shared" ref="M5:M11" si="0">$E$2</f>
        <v>PJ</v>
      </c>
      <c r="N5" s="160"/>
      <c r="O5" s="160"/>
      <c r="P5" s="160"/>
      <c r="Q5" s="160"/>
    </row>
    <row r="6" spans="2:17" x14ac:dyDescent="0.25">
      <c r="E6" s="16"/>
      <c r="F6" s="16"/>
      <c r="I6" s="160"/>
      <c r="J6" s="160"/>
      <c r="K6" s="160" t="str">
        <f>EnergyBalance!$B$20&amp;EnergyBalance!$F$2</f>
        <v>TRAOIL</v>
      </c>
      <c r="L6" s="160" t="str">
        <f>EnergyBalance!$C$20&amp;" "&amp;EnergyBalance!$F$3</f>
        <v>Transport Crude Oil</v>
      </c>
      <c r="M6" s="160" t="str">
        <f t="shared" si="0"/>
        <v>PJ</v>
      </c>
      <c r="N6" s="160"/>
      <c r="O6" s="160"/>
      <c r="P6" s="160"/>
      <c r="Q6" s="160"/>
    </row>
    <row r="7" spans="2:17" x14ac:dyDescent="0.25">
      <c r="E7" s="16"/>
      <c r="F7" s="16"/>
      <c r="I7" s="160"/>
      <c r="J7" s="160"/>
      <c r="K7" s="160" t="str">
        <f>Con_ELC!$B$2&amp;EnergyBalance!$D$2</f>
        <v>ELCCOA</v>
      </c>
      <c r="L7" s="162" t="str">
        <f>Con_ELC!$C$2&amp;" "&amp;EnergyBalance!$D$3</f>
        <v>Electricity Plants Solid Fuels</v>
      </c>
      <c r="M7" s="160" t="str">
        <f t="shared" si="0"/>
        <v>PJ</v>
      </c>
      <c r="N7" s="160"/>
      <c r="O7" s="160"/>
      <c r="P7" s="160"/>
      <c r="Q7" s="160"/>
    </row>
    <row r="8" spans="2:17" x14ac:dyDescent="0.25">
      <c r="E8" s="16"/>
      <c r="F8" s="16"/>
      <c r="I8" s="160"/>
      <c r="J8" s="160"/>
      <c r="K8" s="160" t="str">
        <f>Con_ELC!$B$2&amp;EnergyBalance!$E$2</f>
        <v>ELCGAS</v>
      </c>
      <c r="L8" s="162" t="str">
        <f>Con_ELC!$C$2&amp;" "&amp;EnergyBalance!$E$3</f>
        <v>Electricity Plants Natural Gas</v>
      </c>
      <c r="M8" s="160" t="str">
        <f t="shared" si="0"/>
        <v>PJ</v>
      </c>
      <c r="N8" s="160"/>
      <c r="O8" s="160"/>
      <c r="P8" s="160"/>
      <c r="Q8" s="160"/>
    </row>
    <row r="9" spans="2:17" x14ac:dyDescent="0.25">
      <c r="E9" s="16"/>
      <c r="F9" s="16"/>
      <c r="I9" s="160"/>
      <c r="J9" s="160"/>
      <c r="K9" s="160" t="str">
        <f>Con_ELC!$B$2&amp;EnergyBalance!$F$2</f>
        <v>ELCOIL</v>
      </c>
      <c r="L9" s="162" t="str">
        <f>Con_ELC!$C$2&amp;" "&amp;EnergyBalance!$F$3</f>
        <v>Electricity Plants Crude Oil</v>
      </c>
      <c r="M9" s="160" t="str">
        <f t="shared" si="0"/>
        <v>PJ</v>
      </c>
      <c r="N9" s="160"/>
      <c r="O9" s="160"/>
      <c r="P9" s="160"/>
      <c r="Q9" s="160"/>
    </row>
    <row r="10" spans="2:17" x14ac:dyDescent="0.25">
      <c r="E10" s="16"/>
      <c r="F10" s="16"/>
      <c r="I10" s="160"/>
      <c r="J10" s="160"/>
      <c r="K10" s="160" t="str">
        <f>Con_ELC!$B$2&amp;EnergyBalance!$H$2</f>
        <v>ELCRNW</v>
      </c>
      <c r="L10" s="162" t="str">
        <f>Con_ELC!$C$2&amp;" "&amp;EnergyBalance!$H$3</f>
        <v>Electricity Plants Renewable Energies</v>
      </c>
      <c r="M10" s="160" t="str">
        <f t="shared" si="0"/>
        <v>PJ</v>
      </c>
      <c r="N10" s="160"/>
      <c r="O10" s="160"/>
      <c r="P10" s="160"/>
      <c r="Q10" s="160"/>
    </row>
    <row r="11" spans="2:17" x14ac:dyDescent="0.25">
      <c r="E11" s="16"/>
      <c r="F11" s="16"/>
      <c r="I11" s="160"/>
      <c r="J11" s="160"/>
      <c r="K11" s="160" t="str">
        <f>Con_ELC!$B$2&amp;EnergyBalance!$G$2</f>
        <v>ELCNUC</v>
      </c>
      <c r="L11" s="162" t="str">
        <f>Con_ELC!$C$2&amp;" "&amp;EnergyBalance!$G$3</f>
        <v>Electricity Plants Nuclear Energy</v>
      </c>
      <c r="M11" s="160" t="str">
        <f t="shared" si="0"/>
        <v>PJ</v>
      </c>
      <c r="N11" s="160"/>
      <c r="O11" s="160"/>
      <c r="P11" s="160"/>
      <c r="Q11" s="160"/>
    </row>
    <row r="12" spans="2:17" x14ac:dyDescent="0.25">
      <c r="K12" s="36"/>
      <c r="L12" s="37"/>
    </row>
    <row r="13" spans="2:17" ht="13" x14ac:dyDescent="0.3">
      <c r="D13" s="6" t="s">
        <v>13</v>
      </c>
      <c r="E13" s="6"/>
      <c r="F13" s="6"/>
      <c r="I13" s="155" t="s">
        <v>15</v>
      </c>
      <c r="J13" s="155"/>
      <c r="K13" s="160"/>
      <c r="L13" s="160"/>
      <c r="M13" s="160"/>
      <c r="N13" s="160"/>
      <c r="O13" s="160"/>
      <c r="P13" s="160"/>
      <c r="Q13" s="160"/>
    </row>
    <row r="14" spans="2:17" ht="13" x14ac:dyDescent="0.3">
      <c r="B14" s="21" t="s">
        <v>1</v>
      </c>
      <c r="C14" s="21" t="s">
        <v>5</v>
      </c>
      <c r="D14" s="21" t="s">
        <v>6</v>
      </c>
      <c r="E14" s="128" t="s">
        <v>207</v>
      </c>
      <c r="F14" s="128" t="s">
        <v>108</v>
      </c>
      <c r="G14" s="128" t="s">
        <v>101</v>
      </c>
      <c r="I14" s="157" t="s">
        <v>11</v>
      </c>
      <c r="J14" s="158" t="s">
        <v>30</v>
      </c>
      <c r="K14" s="157" t="s">
        <v>1</v>
      </c>
      <c r="L14" s="157" t="s">
        <v>2</v>
      </c>
      <c r="M14" s="157" t="s">
        <v>16</v>
      </c>
      <c r="N14" s="157" t="s">
        <v>17</v>
      </c>
      <c r="O14" s="157" t="s">
        <v>18</v>
      </c>
      <c r="P14" s="157" t="s">
        <v>19</v>
      </c>
      <c r="Q14" s="157" t="s">
        <v>20</v>
      </c>
    </row>
    <row r="15" spans="2:17" ht="21" thickBot="1" x14ac:dyDescent="0.3">
      <c r="B15" s="19" t="s">
        <v>42</v>
      </c>
      <c r="C15" s="19" t="s">
        <v>32</v>
      </c>
      <c r="D15" s="19" t="s">
        <v>33</v>
      </c>
      <c r="E15" s="19" t="s">
        <v>34</v>
      </c>
      <c r="F15" s="124" t="s">
        <v>113</v>
      </c>
      <c r="G15" s="19" t="s">
        <v>214</v>
      </c>
      <c r="I15" s="159" t="s">
        <v>41</v>
      </c>
      <c r="J15" s="159" t="s">
        <v>31</v>
      </c>
      <c r="K15" s="159" t="s">
        <v>21</v>
      </c>
      <c r="L15" s="159" t="s">
        <v>22</v>
      </c>
      <c r="M15" s="159" t="s">
        <v>23</v>
      </c>
      <c r="N15" s="159" t="s">
        <v>24</v>
      </c>
      <c r="O15" s="159" t="s">
        <v>46</v>
      </c>
      <c r="P15" s="159" t="s">
        <v>45</v>
      </c>
      <c r="Q15" s="159" t="s">
        <v>25</v>
      </c>
    </row>
    <row r="16" spans="2:17" ht="13" thickBot="1" x14ac:dyDescent="0.3">
      <c r="B16" s="18" t="s">
        <v>114</v>
      </c>
      <c r="C16" s="18"/>
      <c r="D16" s="18"/>
      <c r="E16" s="17" t="str">
        <f>E2&amp;"a"</f>
        <v>PJa</v>
      </c>
      <c r="F16" s="17"/>
      <c r="G16" s="17" t="s">
        <v>115</v>
      </c>
      <c r="I16" s="159" t="s">
        <v>103</v>
      </c>
      <c r="J16" s="161"/>
      <c r="K16" s="161"/>
      <c r="L16" s="161"/>
      <c r="M16" s="161"/>
      <c r="N16" s="161"/>
      <c r="O16" s="161"/>
      <c r="P16" s="161"/>
      <c r="Q16" s="161"/>
    </row>
    <row r="17" spans="2:17" x14ac:dyDescent="0.25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10"/>
      <c r="F17" s="105">
        <v>1</v>
      </c>
      <c r="G17" s="106">
        <v>30</v>
      </c>
      <c r="I17" s="156" t="s">
        <v>150</v>
      </c>
      <c r="J17" s="160"/>
      <c r="K17" s="160" t="str">
        <f t="shared" ref="K17:K23" si="3">"FT"&amp;$G$2&amp;"-"&amp;K5</f>
        <v>FTE-RSDGAS</v>
      </c>
      <c r="L17" s="162" t="str">
        <f>$D$2&amp;" "&amp;$G$1&amp;" "&amp;EnergyBalance!$C$16&amp; " Sector- "&amp;EnergyBalance!$E$3</f>
        <v>Sector Fuel Existing Residential Sector- Natural Gas</v>
      </c>
      <c r="M17" s="160" t="str">
        <f t="shared" ref="M17:M23" si="4">$E$2</f>
        <v>PJ</v>
      </c>
      <c r="N17" s="160" t="str">
        <f t="shared" ref="N17:N23" si="5">$E$2&amp;"a"</f>
        <v>PJa</v>
      </c>
      <c r="O17" s="160"/>
      <c r="P17" s="160"/>
      <c r="Q17" s="160"/>
    </row>
    <row r="18" spans="2:17" x14ac:dyDescent="0.25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0"/>
      <c r="F18" s="105">
        <v>1</v>
      </c>
      <c r="G18" s="106">
        <v>30</v>
      </c>
      <c r="I18" s="160"/>
      <c r="J18" s="160"/>
      <c r="K18" s="160" t="str">
        <f t="shared" si="3"/>
        <v>FTE-TRAOIL</v>
      </c>
      <c r="L18" s="162" t="str">
        <f>$D$2&amp;" "&amp;$G$1&amp;" "&amp;EnergyBalance!$C$20&amp; " Sector- "&amp;EnergyBalance!$F$3</f>
        <v>Sector Fuel Existing Transport Sector- Crude Oil</v>
      </c>
      <c r="M18" s="160" t="str">
        <f t="shared" si="4"/>
        <v>PJ</v>
      </c>
      <c r="N18" s="160" t="str">
        <f t="shared" si="5"/>
        <v>PJa</v>
      </c>
      <c r="O18" s="160"/>
      <c r="P18" s="160"/>
      <c r="Q18" s="160"/>
    </row>
    <row r="19" spans="2:17" x14ac:dyDescent="0.25">
      <c r="B19" t="str">
        <f t="shared" si="1"/>
        <v>FTE-ELCCOA</v>
      </c>
      <c r="C19" t="str">
        <f t="shared" si="2"/>
        <v>COA</v>
      </c>
      <c r="D19" s="36" t="str">
        <f>K7</f>
        <v>ELCCOA</v>
      </c>
      <c r="E19" s="16"/>
      <c r="F19" s="105">
        <v>1</v>
      </c>
      <c r="G19" s="106">
        <v>30</v>
      </c>
      <c r="I19" s="160"/>
      <c r="J19" s="160"/>
      <c r="K19" s="160" t="str">
        <f t="shared" si="3"/>
        <v>FTE-ELCCOA</v>
      </c>
      <c r="L19" s="162" t="str">
        <f>$D$2&amp;" Technology"&amp;" "&amp;$G$1&amp;" "&amp;L7</f>
        <v>Sector Fuel Technology Existing Electricity Plants Solid Fuels</v>
      </c>
      <c r="M19" s="160" t="str">
        <f t="shared" si="4"/>
        <v>PJ</v>
      </c>
      <c r="N19" s="160" t="str">
        <f t="shared" si="5"/>
        <v>PJa</v>
      </c>
      <c r="O19" s="160"/>
      <c r="P19" s="160"/>
      <c r="Q19" s="160"/>
    </row>
    <row r="20" spans="2:17" x14ac:dyDescent="0.25">
      <c r="B20" t="str">
        <f t="shared" si="1"/>
        <v>FTE-ELCGAS</v>
      </c>
      <c r="C20" t="str">
        <f t="shared" si="2"/>
        <v>GAS</v>
      </c>
      <c r="D20" s="36" t="str">
        <f>K8</f>
        <v>ELCGAS</v>
      </c>
      <c r="E20" s="16"/>
      <c r="F20" s="105">
        <v>1</v>
      </c>
      <c r="G20" s="106">
        <v>30</v>
      </c>
      <c r="I20" s="160"/>
      <c r="J20" s="160"/>
      <c r="K20" s="160" t="str">
        <f t="shared" si="3"/>
        <v>FTE-ELCGAS</v>
      </c>
      <c r="L20" s="162" t="str">
        <f>$D$2&amp;" Technology"&amp;" "&amp;$G$1&amp;" "&amp;L8</f>
        <v>Sector Fuel Technology Existing Electricity Plants Natural Gas</v>
      </c>
      <c r="M20" s="160" t="str">
        <f t="shared" si="4"/>
        <v>PJ</v>
      </c>
      <c r="N20" s="160" t="str">
        <f t="shared" si="5"/>
        <v>PJa</v>
      </c>
      <c r="O20" s="160"/>
      <c r="P20" s="160"/>
      <c r="Q20" s="160"/>
    </row>
    <row r="21" spans="2:17" x14ac:dyDescent="0.25">
      <c r="B21" t="str">
        <f t="shared" si="1"/>
        <v>FTE-ELCOIL</v>
      </c>
      <c r="C21" t="str">
        <f t="shared" si="2"/>
        <v>OIL</v>
      </c>
      <c r="D21" s="36" t="str">
        <f>K9</f>
        <v>ELCOIL</v>
      </c>
      <c r="E21" s="16"/>
      <c r="F21" s="105">
        <v>1</v>
      </c>
      <c r="G21" s="106">
        <v>30</v>
      </c>
      <c r="I21" s="160"/>
      <c r="J21" s="160"/>
      <c r="K21" s="160" t="str">
        <f t="shared" si="3"/>
        <v>FTE-ELCOIL</v>
      </c>
      <c r="L21" s="160" t="str">
        <f>$D$2&amp;" Technology"&amp;" "&amp;$G$1&amp;" "&amp;L9</f>
        <v>Sector Fuel Technology Existing Electricity Plants Crude Oil</v>
      </c>
      <c r="M21" s="160" t="str">
        <f t="shared" si="4"/>
        <v>PJ</v>
      </c>
      <c r="N21" s="160" t="str">
        <f t="shared" si="5"/>
        <v>PJa</v>
      </c>
      <c r="O21" s="160"/>
      <c r="P21" s="160"/>
      <c r="Q21" s="160"/>
    </row>
    <row r="22" spans="2:17" x14ac:dyDescent="0.25">
      <c r="B22" t="str">
        <f t="shared" si="1"/>
        <v>FTE-ELCRNW</v>
      </c>
      <c r="C22" t="str">
        <f t="shared" si="2"/>
        <v>RNW</v>
      </c>
      <c r="D22" s="36" t="str">
        <f>K10</f>
        <v>ELCRNW</v>
      </c>
      <c r="E22" s="16"/>
      <c r="F22" s="105">
        <v>1</v>
      </c>
      <c r="G22" s="106">
        <v>30</v>
      </c>
      <c r="I22" s="160"/>
      <c r="J22" s="160"/>
      <c r="K22" s="160" t="str">
        <f t="shared" si="3"/>
        <v>FTE-ELCRNW</v>
      </c>
      <c r="L22" s="162" t="str">
        <f>$D$2&amp;" Technology"&amp;" "&amp;$G$1&amp;" "&amp;L10</f>
        <v>Sector Fuel Technology Existing Electricity Plants Renewable Energies</v>
      </c>
      <c r="M22" s="160" t="str">
        <f t="shared" si="4"/>
        <v>PJ</v>
      </c>
      <c r="N22" s="160" t="str">
        <f t="shared" si="5"/>
        <v>PJa</v>
      </c>
      <c r="O22" s="160"/>
      <c r="P22" s="160"/>
      <c r="Q22" s="160"/>
    </row>
    <row r="23" spans="2:17" x14ac:dyDescent="0.25">
      <c r="B23" t="str">
        <f t="shared" si="1"/>
        <v>FTE-ELCNUC</v>
      </c>
      <c r="C23" t="str">
        <f t="shared" si="2"/>
        <v>NUC</v>
      </c>
      <c r="D23" s="36" t="str">
        <f>K11</f>
        <v>ELCNUC</v>
      </c>
      <c r="E23" s="16"/>
      <c r="F23" s="105">
        <v>1</v>
      </c>
      <c r="G23" s="106">
        <v>30</v>
      </c>
      <c r="I23" s="163"/>
      <c r="J23" s="163"/>
      <c r="K23" s="160" t="str">
        <f t="shared" si="3"/>
        <v>FTE-ELCNUC</v>
      </c>
      <c r="L23" s="162" t="str">
        <f>$D$2&amp;" Technology"&amp;" "&amp;$G$1&amp;" "&amp;L11</f>
        <v>Sector Fuel Technology Existing Electricity Plants Nuclear Energy</v>
      </c>
      <c r="M23" s="160" t="str">
        <f t="shared" si="4"/>
        <v>PJ</v>
      </c>
      <c r="N23" s="160" t="str">
        <f t="shared" si="5"/>
        <v>PJa</v>
      </c>
      <c r="O23" s="160"/>
      <c r="P23" s="160"/>
      <c r="Q23" s="160"/>
    </row>
    <row r="24" spans="2:17" x14ac:dyDescent="0.25">
      <c r="I24" s="36"/>
      <c r="J24" s="36"/>
    </row>
    <row r="25" spans="2:17" x14ac:dyDescent="0.25">
      <c r="I25" s="36"/>
      <c r="J25" s="36"/>
    </row>
    <row r="26" spans="2:17" x14ac:dyDescent="0.25">
      <c r="B26" s="62"/>
      <c r="C26" s="1" t="s">
        <v>196</v>
      </c>
      <c r="I26" s="36"/>
      <c r="J26" s="36"/>
    </row>
    <row r="27" spans="2:17" x14ac:dyDescent="0.25">
      <c r="B27" s="103"/>
      <c r="C27" s="1" t="s">
        <v>197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5"/>
  <sheetViews>
    <sheetView topLeftCell="A6" zoomScale="90" zoomScaleNormal="90" workbookViewId="0">
      <selection activeCell="I24" sqref="I24"/>
    </sheetView>
  </sheetViews>
  <sheetFormatPr defaultColWidth="8.81640625" defaultRowHeight="12.5" x14ac:dyDescent="0.25"/>
  <cols>
    <col min="1" max="1" width="3" style="36" customWidth="1"/>
    <col min="2" max="2" width="16.453125" style="36" customWidth="1"/>
    <col min="3" max="3" width="12.1796875" style="36" bestFit="1" customWidth="1"/>
    <col min="4" max="4" width="11.26953125" style="36" bestFit="1" customWidth="1"/>
    <col min="5" max="5" width="12" style="36" bestFit="1" customWidth="1"/>
    <col min="6" max="6" width="13.1796875" style="36" customWidth="1"/>
    <col min="7" max="7" width="10" style="36" customWidth="1"/>
    <col min="8" max="8" width="8.1796875" style="36" customWidth="1"/>
    <col min="9" max="9" width="9.7265625" style="36" customWidth="1"/>
    <col min="10" max="10" width="7.1796875" style="36" bestFit="1" customWidth="1"/>
    <col min="11" max="11" width="9.26953125" style="36" customWidth="1"/>
    <col min="12" max="12" width="7.81640625" style="36" customWidth="1"/>
    <col min="13" max="13" width="7" style="36" bestFit="1" customWidth="1"/>
    <col min="14" max="14" width="9.54296875" style="36" customWidth="1"/>
    <col min="15" max="15" width="15.1796875" style="36" customWidth="1"/>
    <col min="16" max="16" width="11.7265625" style="36" customWidth="1"/>
    <col min="17" max="17" width="2.26953125" style="36" customWidth="1"/>
    <col min="18" max="18" width="13.453125" style="36" customWidth="1"/>
    <col min="19" max="19" width="2" style="36" customWidth="1"/>
    <col min="20" max="20" width="12.7265625" bestFit="1" customWidth="1"/>
    <col min="21" max="21" width="7.453125" bestFit="1" customWidth="1"/>
    <col min="22" max="22" width="14.1796875" customWidth="1"/>
    <col min="23" max="23" width="55" bestFit="1" customWidth="1"/>
    <col min="24" max="24" width="6.26953125" customWidth="1"/>
    <col min="25" max="25" width="11.453125" bestFit="1" customWidth="1"/>
    <col min="26" max="26" width="13.54296875" bestFit="1" customWidth="1"/>
    <col min="27" max="27" width="15" bestFit="1" customWidth="1"/>
    <col min="28" max="28" width="8.1796875" bestFit="1" customWidth="1"/>
    <col min="29" max="16384" width="8.81640625" style="36"/>
  </cols>
  <sheetData>
    <row r="1" spans="2:28" ht="29" x14ac:dyDescent="0.35">
      <c r="B1" s="32" t="s">
        <v>94</v>
      </c>
      <c r="C1" s="11" t="s">
        <v>96</v>
      </c>
      <c r="D1" s="11" t="s">
        <v>152</v>
      </c>
      <c r="E1" s="32" t="s">
        <v>23</v>
      </c>
      <c r="F1" s="32" t="s">
        <v>159</v>
      </c>
      <c r="G1" s="32" t="s">
        <v>99</v>
      </c>
      <c r="I1" s="32" t="s">
        <v>126</v>
      </c>
      <c r="J1" s="32" t="s">
        <v>206</v>
      </c>
    </row>
    <row r="2" spans="2:28" ht="31" x14ac:dyDescent="0.35">
      <c r="B2" s="14" t="str">
        <f>EnergyBalance!B11</f>
        <v>ELC</v>
      </c>
      <c r="C2" s="24" t="str">
        <f>EnergyBalance!C11</f>
        <v>Electricity Plants</v>
      </c>
      <c r="D2" s="24" t="s">
        <v>160</v>
      </c>
      <c r="E2" s="14" t="str">
        <f>EnergyBalance!R2</f>
        <v>PJ</v>
      </c>
      <c r="F2" s="14" t="s">
        <v>161</v>
      </c>
      <c r="G2" s="14" t="str">
        <f>EnergyBalance!Q2</f>
        <v>M€2020</v>
      </c>
      <c r="I2" s="14" t="s">
        <v>127</v>
      </c>
      <c r="J2" s="14" t="s">
        <v>128</v>
      </c>
      <c r="T2" s="155" t="s">
        <v>14</v>
      </c>
      <c r="U2" s="155"/>
      <c r="V2" s="156"/>
      <c r="W2" s="156"/>
      <c r="X2" s="156"/>
      <c r="Y2" s="156"/>
      <c r="Z2" s="156"/>
      <c r="AA2" s="156"/>
      <c r="AB2" s="156"/>
    </row>
    <row r="3" spans="2:28" ht="13" x14ac:dyDescent="0.3">
      <c r="T3" s="157" t="s">
        <v>7</v>
      </c>
      <c r="U3" s="158" t="s">
        <v>30</v>
      </c>
      <c r="V3" s="157" t="s">
        <v>0</v>
      </c>
      <c r="W3" s="157" t="s">
        <v>3</v>
      </c>
      <c r="X3" s="157" t="s">
        <v>4</v>
      </c>
      <c r="Y3" s="157" t="s">
        <v>8</v>
      </c>
      <c r="Z3" s="157" t="s">
        <v>9</v>
      </c>
      <c r="AA3" s="157" t="s">
        <v>10</v>
      </c>
      <c r="AB3" s="157" t="s">
        <v>12</v>
      </c>
    </row>
    <row r="4" spans="2:28" ht="22" thickBot="1" x14ac:dyDescent="0.4">
      <c r="B4" s="41" t="s">
        <v>167</v>
      </c>
      <c r="C4" s="11" t="s">
        <v>174</v>
      </c>
      <c r="D4" s="11" t="s">
        <v>168</v>
      </c>
      <c r="E4" s="11" t="s">
        <v>169</v>
      </c>
      <c r="F4" s="11" t="s">
        <v>189</v>
      </c>
      <c r="H4" s="12"/>
      <c r="T4" s="159" t="s">
        <v>40</v>
      </c>
      <c r="U4" s="159" t="s">
        <v>31</v>
      </c>
      <c r="V4" s="159" t="s">
        <v>26</v>
      </c>
      <c r="W4" s="159" t="s">
        <v>27</v>
      </c>
      <c r="X4" s="159" t="s">
        <v>4</v>
      </c>
      <c r="Y4" s="159" t="s">
        <v>43</v>
      </c>
      <c r="Z4" s="159" t="s">
        <v>44</v>
      </c>
      <c r="AA4" s="159" t="s">
        <v>28</v>
      </c>
      <c r="AB4" s="159" t="s">
        <v>29</v>
      </c>
    </row>
    <row r="5" spans="2:28" ht="15.5" x14ac:dyDescent="0.35">
      <c r="B5" s="40" t="s">
        <v>173</v>
      </c>
      <c r="C5" s="14" t="s">
        <v>172</v>
      </c>
      <c r="D5" s="14" t="s">
        <v>171</v>
      </c>
      <c r="E5" s="14" t="s">
        <v>170</v>
      </c>
      <c r="F5" s="14" t="s">
        <v>128</v>
      </c>
      <c r="H5" s="12"/>
      <c r="T5" s="156" t="s">
        <v>93</v>
      </c>
      <c r="U5" s="160"/>
      <c r="V5" s="156" t="str">
        <f>EnergyBalance!$K$2</f>
        <v>ELC</v>
      </c>
      <c r="W5" s="156" t="str">
        <f>EnergyBalance!$K$3</f>
        <v>Electricity</v>
      </c>
      <c r="X5" s="156" t="str">
        <f>$E$2</f>
        <v>PJ</v>
      </c>
      <c r="Y5" s="156"/>
      <c r="Z5" s="156" t="s">
        <v>183</v>
      </c>
      <c r="AA5" s="163"/>
      <c r="AB5" s="156" t="s">
        <v>54</v>
      </c>
    </row>
    <row r="6" spans="2:28" x14ac:dyDescent="0.25">
      <c r="T6" s="160" t="s">
        <v>143</v>
      </c>
      <c r="U6" s="160"/>
      <c r="V6" s="160" t="str">
        <f>$B$2&amp;EnergyBalance!$C$52</f>
        <v>ELCCO2</v>
      </c>
      <c r="W6" s="160" t="str">
        <f>$C$2&amp;" "&amp;EnergyBalance!$C$53</f>
        <v>Electricity Plants Carbon dioxide</v>
      </c>
      <c r="X6" s="160" t="str">
        <f>EnergyBalance!$S$2</f>
        <v>kt</v>
      </c>
      <c r="Y6" s="160"/>
      <c r="Z6" s="160"/>
      <c r="AA6" s="160"/>
      <c r="AB6" s="160"/>
    </row>
    <row r="7" spans="2:28" ht="13" x14ac:dyDescent="0.3">
      <c r="T7" s="2"/>
      <c r="U7" s="2"/>
    </row>
    <row r="8" spans="2:28" ht="13" x14ac:dyDescent="0.3">
      <c r="D8" s="6" t="s">
        <v>13</v>
      </c>
      <c r="E8" s="6"/>
      <c r="F8" s="6"/>
      <c r="G8" s="6"/>
      <c r="H8" s="6"/>
      <c r="I8" s="6"/>
      <c r="K8" s="6"/>
      <c r="L8" s="7"/>
      <c r="M8" s="7"/>
      <c r="N8" s="5"/>
      <c r="O8" s="117"/>
      <c r="T8" s="155" t="s">
        <v>15</v>
      </c>
      <c r="U8" s="155"/>
      <c r="V8" s="156"/>
      <c r="W8" s="156"/>
      <c r="X8" s="156"/>
      <c r="Y8" s="156"/>
      <c r="Z8" s="156"/>
      <c r="AA8" s="156"/>
      <c r="AB8" s="156"/>
    </row>
    <row r="9" spans="2:28" ht="25.5" customHeight="1" x14ac:dyDescent="0.3">
      <c r="B9" s="21" t="s">
        <v>1</v>
      </c>
      <c r="C9" s="21" t="s">
        <v>5</v>
      </c>
      <c r="D9" s="21" t="s">
        <v>6</v>
      </c>
      <c r="E9" s="123" t="s">
        <v>207</v>
      </c>
      <c r="F9" s="123" t="s">
        <v>208</v>
      </c>
      <c r="G9" s="122" t="s">
        <v>108</v>
      </c>
      <c r="H9" s="122" t="s">
        <v>124</v>
      </c>
      <c r="I9" s="122" t="s">
        <v>106</v>
      </c>
      <c r="J9" s="122" t="s">
        <v>107</v>
      </c>
      <c r="K9" s="122" t="s">
        <v>163</v>
      </c>
      <c r="L9" s="123" t="s">
        <v>101</v>
      </c>
      <c r="M9" s="123" t="s">
        <v>205</v>
      </c>
      <c r="N9" s="123" t="s">
        <v>129</v>
      </c>
      <c r="O9" s="123" t="s">
        <v>215</v>
      </c>
      <c r="P9" s="123" t="s">
        <v>185</v>
      </c>
      <c r="Q9" s="38"/>
      <c r="R9" s="143" t="s">
        <v>175</v>
      </c>
      <c r="S9" s="47"/>
      <c r="T9" s="157" t="s">
        <v>11</v>
      </c>
      <c r="U9" s="158" t="s">
        <v>30</v>
      </c>
      <c r="V9" s="157" t="s">
        <v>1</v>
      </c>
      <c r="W9" s="157" t="s">
        <v>2</v>
      </c>
      <c r="X9" s="157" t="s">
        <v>16</v>
      </c>
      <c r="Y9" s="157" t="s">
        <v>17</v>
      </c>
      <c r="Z9" s="157" t="s">
        <v>18</v>
      </c>
      <c r="AA9" s="157" t="s">
        <v>19</v>
      </c>
      <c r="AB9" s="157" t="s">
        <v>20</v>
      </c>
    </row>
    <row r="10" spans="2:28" ht="23.5" customHeight="1" thickBot="1" x14ac:dyDescent="0.3">
      <c r="B10" s="19" t="s">
        <v>42</v>
      </c>
      <c r="C10" s="19" t="s">
        <v>32</v>
      </c>
      <c r="D10" s="19" t="s">
        <v>33</v>
      </c>
      <c r="E10" s="124" t="s">
        <v>34</v>
      </c>
      <c r="F10" s="125" t="s">
        <v>187</v>
      </c>
      <c r="G10" s="124" t="s">
        <v>113</v>
      </c>
      <c r="H10" s="125" t="s">
        <v>125</v>
      </c>
      <c r="I10" s="124" t="s">
        <v>122</v>
      </c>
      <c r="J10" s="124" t="s">
        <v>121</v>
      </c>
      <c r="K10" s="124" t="s">
        <v>165</v>
      </c>
      <c r="L10" s="19" t="s">
        <v>214</v>
      </c>
      <c r="M10" s="124"/>
      <c r="N10" s="124" t="s">
        <v>142</v>
      </c>
      <c r="O10" s="124" t="s">
        <v>166</v>
      </c>
      <c r="P10" s="124" t="s">
        <v>186</v>
      </c>
      <c r="R10" s="121" t="s">
        <v>164</v>
      </c>
      <c r="S10" s="48"/>
      <c r="T10" s="159" t="s">
        <v>41</v>
      </c>
      <c r="U10" s="159" t="s">
        <v>31</v>
      </c>
      <c r="V10" s="159" t="s">
        <v>21</v>
      </c>
      <c r="W10" s="159" t="s">
        <v>22</v>
      </c>
      <c r="X10" s="159" t="s">
        <v>23</v>
      </c>
      <c r="Y10" s="159" t="s">
        <v>24</v>
      </c>
      <c r="Z10" s="159" t="s">
        <v>46</v>
      </c>
      <c r="AA10" s="159" t="s">
        <v>45</v>
      </c>
      <c r="AB10" s="159" t="s">
        <v>25</v>
      </c>
    </row>
    <row r="11" spans="2:28" ht="21" thickBot="1" x14ac:dyDescent="0.3">
      <c r="B11" s="18" t="s">
        <v>114</v>
      </c>
      <c r="C11" s="18"/>
      <c r="D11" s="18"/>
      <c r="E11" s="17" t="str">
        <f>$F$2</f>
        <v>GW</v>
      </c>
      <c r="F11" s="126" t="str">
        <f>$F$2</f>
        <v>GW</v>
      </c>
      <c r="G11" s="17"/>
      <c r="H11" s="126"/>
      <c r="I11" s="17" t="str">
        <f>$G$2&amp;"/"&amp;$F$2</f>
        <v>M€2020/GW</v>
      </c>
      <c r="J11" s="17" t="str">
        <f>$G$2&amp;"/"&amp;$F$2</f>
        <v>M€2020/GW</v>
      </c>
      <c r="K11" s="17" t="str">
        <f>$G$2&amp;"/"&amp;$E$2</f>
        <v>M€2020/PJ</v>
      </c>
      <c r="L11" s="17" t="s">
        <v>115</v>
      </c>
      <c r="M11" s="17"/>
      <c r="N11" s="17" t="str">
        <f>EnergyBalance!$S$2</f>
        <v>kt</v>
      </c>
      <c r="O11" s="17" t="str">
        <f>$E$2&amp;"/"&amp;$F$2</f>
        <v>PJ/GW</v>
      </c>
      <c r="P11" s="17"/>
      <c r="R11" s="45" t="s">
        <v>188</v>
      </c>
      <c r="S11" s="48"/>
      <c r="T11" s="159" t="s">
        <v>103</v>
      </c>
      <c r="U11" s="159"/>
      <c r="V11" s="159"/>
      <c r="W11" s="159"/>
      <c r="X11" s="159"/>
      <c r="Y11" s="159"/>
      <c r="Z11" s="159"/>
      <c r="AA11" s="159"/>
      <c r="AB11" s="159"/>
    </row>
    <row r="12" spans="2:28" x14ac:dyDescent="0.25">
      <c r="B12" s="36" t="str">
        <f>V12</f>
        <v>ELCTECOA00</v>
      </c>
      <c r="C12" s="36" t="str">
        <f>$B$2&amp;RIGHT(Sector_Fuels!$K$7,3)</f>
        <v>ELCCOA</v>
      </c>
      <c r="D12" s="36" t="str">
        <f>$V$5</f>
        <v>ELC</v>
      </c>
      <c r="E12" s="119">
        <v>218</v>
      </c>
      <c r="F12" s="119"/>
      <c r="G12" s="111">
        <v>0.38400000000000001</v>
      </c>
      <c r="H12" s="111">
        <v>0.85</v>
      </c>
      <c r="I12" s="110"/>
      <c r="J12" s="111">
        <v>40</v>
      </c>
      <c r="K12" s="111">
        <v>0.5</v>
      </c>
      <c r="L12" s="110">
        <v>30</v>
      </c>
      <c r="O12" s="148">
        <v>31.536000000000001</v>
      </c>
      <c r="P12" s="111">
        <v>1</v>
      </c>
      <c r="R12" s="46">
        <f>E12*$H12*$O12</f>
        <v>5843.6207999999997</v>
      </c>
      <c r="S12" s="48"/>
      <c r="T12" s="160" t="s">
        <v>162</v>
      </c>
      <c r="U12" s="160"/>
      <c r="V12" s="160" t="str">
        <f>$B$2&amp;$C$5&amp;$I$2&amp;RIGHT(Sector_Fuels!$K$7,3)&amp;"00"</f>
        <v>ELCTECOA00</v>
      </c>
      <c r="W12" s="160" t="str">
        <f>$D$2&amp;" "&amp;$I$1&amp;RIGHT(V12,2)&amp;" - "&amp;EnergyBalance!D3</f>
        <v>Power Plants Existing00 - Solid Fuels</v>
      </c>
      <c r="X12" s="160" t="str">
        <f t="shared" ref="X12:X19" si="0">$E$2</f>
        <v>PJ</v>
      </c>
      <c r="Y12" s="160" t="str">
        <f t="shared" ref="Y12:Y19" si="1">$F$2</f>
        <v>GW</v>
      </c>
      <c r="Z12" s="156" t="s">
        <v>184</v>
      </c>
      <c r="AA12" s="160"/>
      <c r="AB12" s="160"/>
    </row>
    <row r="13" spans="2:28" x14ac:dyDescent="0.25">
      <c r="D13" s="36" t="str">
        <f>$V$6</f>
        <v>ELCCO2</v>
      </c>
      <c r="E13" s="119"/>
      <c r="F13" s="119"/>
      <c r="G13" s="111"/>
      <c r="H13" s="111"/>
      <c r="I13" s="110"/>
      <c r="J13" s="111"/>
      <c r="K13" s="111"/>
      <c r="L13" s="110"/>
      <c r="N13" s="120">
        <f>99.8/G12</f>
        <v>259.89583333333331</v>
      </c>
      <c r="P13" s="118"/>
      <c r="R13" s="46"/>
      <c r="S13" s="49"/>
      <c r="T13" s="160"/>
      <c r="U13" s="160"/>
      <c r="V13" s="160" t="str">
        <f>$B$2&amp;$C$5&amp;$I$2&amp;RIGHT(Sector_Fuels!$K$8,3)&amp;"00"</f>
        <v>ELCTEGAS00</v>
      </c>
      <c r="W13" s="160" t="str">
        <f>$D$2&amp;" "&amp;$I$1&amp;RIGHT(V13,2)&amp;" - "&amp;EnergyBalance!E3</f>
        <v>Power Plants Existing00 - Natural Gas</v>
      </c>
      <c r="X13" s="160" t="str">
        <f t="shared" si="0"/>
        <v>PJ</v>
      </c>
      <c r="Y13" s="160" t="str">
        <f t="shared" si="1"/>
        <v>GW</v>
      </c>
      <c r="Z13" s="160"/>
      <c r="AA13" s="160"/>
      <c r="AB13" s="160"/>
    </row>
    <row r="14" spans="2:28" x14ac:dyDescent="0.25">
      <c r="B14" s="36" t="str">
        <f>V13</f>
        <v>ELCTEGAS00</v>
      </c>
      <c r="C14" s="36" t="str">
        <f>$B$2&amp;RIGHT(Sector_Fuels!$K$8,3)</f>
        <v>ELCGAS</v>
      </c>
      <c r="D14" s="36" t="str">
        <f>$V$5</f>
        <v>ELC</v>
      </c>
      <c r="E14" s="119">
        <v>25</v>
      </c>
      <c r="F14" s="119"/>
      <c r="G14" s="111">
        <v>0.4929</v>
      </c>
      <c r="H14" s="111">
        <v>0.85</v>
      </c>
      <c r="I14" s="110"/>
      <c r="J14" s="111">
        <v>35</v>
      </c>
      <c r="K14" s="111">
        <v>0.4</v>
      </c>
      <c r="L14" s="110">
        <v>20</v>
      </c>
      <c r="N14" s="39"/>
      <c r="O14" s="148">
        <v>31.536000000000001</v>
      </c>
      <c r="P14" s="111">
        <v>1</v>
      </c>
      <c r="R14" s="46">
        <f>E14*H14*O14</f>
        <v>670.14</v>
      </c>
      <c r="S14" s="49"/>
      <c r="T14" s="160"/>
      <c r="U14" s="160"/>
      <c r="V14" s="160" t="str">
        <f>$B$2&amp;$C$5&amp;$I$2&amp;RIGHT(Sector_Fuels!$K$9,3)&amp;"00"</f>
        <v>ELCTEOIL00</v>
      </c>
      <c r="W14" s="160" t="str">
        <f>$D$2&amp;" "&amp;$I$1&amp;RIGHT(V14,2)&amp;" - "&amp;EnergyBalance!F3</f>
        <v>Power Plants Existing00 - Crude Oil</v>
      </c>
      <c r="X14" s="160" t="str">
        <f t="shared" si="0"/>
        <v>PJ</v>
      </c>
      <c r="Y14" s="160" t="str">
        <f t="shared" si="1"/>
        <v>GW</v>
      </c>
      <c r="Z14" s="160"/>
      <c r="AA14" s="160"/>
      <c r="AB14" s="160"/>
    </row>
    <row r="15" spans="2:28" x14ac:dyDescent="0.25">
      <c r="D15" s="36" t="str">
        <f>$V$6</f>
        <v>ELCCO2</v>
      </c>
      <c r="E15" s="119"/>
      <c r="F15" s="119"/>
      <c r="G15" s="111"/>
      <c r="H15" s="111"/>
      <c r="I15" s="110"/>
      <c r="J15" s="111"/>
      <c r="K15" s="111"/>
      <c r="L15" s="110"/>
      <c r="N15" s="120">
        <f>56.1/G14</f>
        <v>113.81618989653074</v>
      </c>
      <c r="P15" s="118"/>
      <c r="R15" s="46"/>
      <c r="S15" s="49"/>
      <c r="T15" s="160"/>
      <c r="U15" s="160"/>
      <c r="V15" s="160" t="str">
        <f>$B$2&amp;$E$5&amp;$I$2&amp;RIGHT(Sector_Fuels!$K$10,3)&amp;"00"</f>
        <v>ELCRERNW00</v>
      </c>
      <c r="W15" s="160" t="str">
        <f>$D$2&amp;" "&amp;$I$1&amp;RIGHT(V15,2)&amp;" - "&amp;EnergyBalance!H3</f>
        <v>Power Plants Existing00 - Renewable Energies</v>
      </c>
      <c r="X15" s="160" t="str">
        <f t="shared" si="0"/>
        <v>PJ</v>
      </c>
      <c r="Y15" s="160" t="str">
        <f t="shared" si="1"/>
        <v>GW</v>
      </c>
      <c r="Z15" s="160"/>
      <c r="AA15" s="160"/>
      <c r="AB15" s="160"/>
    </row>
    <row r="16" spans="2:28" x14ac:dyDescent="0.25">
      <c r="B16" s="36" t="str">
        <f>V14</f>
        <v>ELCTEOIL00</v>
      </c>
      <c r="C16" s="36" t="str">
        <f>$B$2&amp;RIGHT(Sector_Fuels!$K$9,3)</f>
        <v>ELCOIL</v>
      </c>
      <c r="D16" s="36" t="str">
        <f>$V$5</f>
        <v>ELC</v>
      </c>
      <c r="E16" s="119">
        <f>((-EnergyBalance!F11*G16)/(H16*O16))</f>
        <v>0</v>
      </c>
      <c r="F16" s="119"/>
      <c r="G16" s="111">
        <v>0.25</v>
      </c>
      <c r="H16" s="111">
        <v>0.85</v>
      </c>
      <c r="I16" s="110"/>
      <c r="J16" s="111">
        <v>20</v>
      </c>
      <c r="K16" s="111">
        <v>0.2</v>
      </c>
      <c r="L16" s="110">
        <v>30</v>
      </c>
      <c r="M16" s="39"/>
      <c r="N16" s="39"/>
      <c r="O16" s="148">
        <v>31.536000000000001</v>
      </c>
      <c r="P16" s="111">
        <v>1</v>
      </c>
      <c r="R16" s="46">
        <f>E16*H16*O16</f>
        <v>0</v>
      </c>
      <c r="S16" s="49"/>
      <c r="T16" s="160"/>
      <c r="U16" s="160"/>
      <c r="V16" s="160" t="str">
        <f>$B$2&amp;$C$5&amp;$I$2&amp;RIGHT(Sector_Fuels!$K$11,3)&amp;"00"</f>
        <v>ELCTENUC00</v>
      </c>
      <c r="W16" s="160" t="str">
        <f>$D$2&amp;" "&amp;$I$1&amp;RIGHT(V16,2)&amp;" - "&amp;EnergyBalance!G3</f>
        <v>Power Plants Existing00 - Nuclear Energy</v>
      </c>
      <c r="X16" s="160" t="str">
        <f t="shared" si="0"/>
        <v>PJ</v>
      </c>
      <c r="Y16" s="160" t="str">
        <f t="shared" si="1"/>
        <v>GW</v>
      </c>
      <c r="Z16" s="156" t="s">
        <v>184</v>
      </c>
      <c r="AA16" s="160"/>
      <c r="AB16" s="160"/>
    </row>
    <row r="17" spans="2:28" x14ac:dyDescent="0.25">
      <c r="D17" s="36" t="str">
        <f>$V$6</f>
        <v>ELCCO2</v>
      </c>
      <c r="E17" s="119"/>
      <c r="F17" s="119"/>
      <c r="G17" s="111"/>
      <c r="H17" s="111"/>
      <c r="I17" s="110"/>
      <c r="J17" s="111"/>
      <c r="K17" s="111"/>
      <c r="L17" s="110"/>
      <c r="M17" s="39"/>
      <c r="N17" s="120">
        <f>76.4/G16</f>
        <v>305.60000000000002</v>
      </c>
      <c r="P17" s="118"/>
      <c r="R17" s="46"/>
      <c r="S17" s="49"/>
      <c r="T17" s="160"/>
      <c r="U17" s="160"/>
      <c r="V17" s="160" t="str">
        <f>$B$2&amp;$C$5&amp;$J$2&amp;RIGHT(Sector_Fuels!$K$7,3)&amp;"00"</f>
        <v>ELCTNCOA00</v>
      </c>
      <c r="W17" s="160" t="str">
        <f>$D$2&amp;" "&amp;$J$1&amp;RIGHT(V17,2)&amp;" - "&amp;EnergyBalance!D3</f>
        <v>Power Plants New00 - Solid Fuels</v>
      </c>
      <c r="X17" s="160" t="str">
        <f t="shared" si="0"/>
        <v>PJ</v>
      </c>
      <c r="Y17" s="160" t="str">
        <f t="shared" si="1"/>
        <v>GW</v>
      </c>
      <c r="Z17" s="156" t="s">
        <v>184</v>
      </c>
      <c r="AA17" s="160"/>
      <c r="AB17" s="160"/>
    </row>
    <row r="18" spans="2:28" x14ac:dyDescent="0.25">
      <c r="B18" s="36" t="str">
        <f>V15</f>
        <v>ELCRERNW00</v>
      </c>
      <c r="C18" s="36" t="str">
        <f>$B$2&amp;RIGHT(Sector_Fuels!$K$10,3)</f>
        <v>ELCRNW</v>
      </c>
      <c r="D18" s="36" t="str">
        <f>$V$5</f>
        <v>ELC</v>
      </c>
      <c r="E18" s="119">
        <v>192</v>
      </c>
      <c r="F18" s="119">
        <v>500</v>
      </c>
      <c r="G18" s="111">
        <v>0.4</v>
      </c>
      <c r="H18" s="111">
        <v>0.45</v>
      </c>
      <c r="I18" s="110"/>
      <c r="J18" s="111">
        <v>6</v>
      </c>
      <c r="K18" s="111"/>
      <c r="L18" s="39"/>
      <c r="N18" s="39"/>
      <c r="O18" s="148">
        <v>31.536000000000001</v>
      </c>
      <c r="P18" s="111">
        <v>0.5</v>
      </c>
      <c r="R18" s="46">
        <f>E18*H18*O18</f>
        <v>2724.7104000000004</v>
      </c>
      <c r="S18" s="49"/>
      <c r="T18" s="160"/>
      <c r="U18" s="160"/>
      <c r="V18" s="160" t="str">
        <f>$B$2&amp;$C$5&amp;$J$2&amp;RIGHT(Sector_Fuels!$K$8,3)&amp;"00"</f>
        <v>ELCTNGAS00</v>
      </c>
      <c r="W18" s="160" t="str">
        <f>$D$2&amp;" "&amp;$J$1&amp;RIGHT(V18,2)&amp;" - "&amp;EnergyBalance!E3</f>
        <v>Power Plants New00 - Natural Gas</v>
      </c>
      <c r="X18" s="160" t="str">
        <f t="shared" si="0"/>
        <v>PJ</v>
      </c>
      <c r="Y18" s="160" t="str">
        <f t="shared" si="1"/>
        <v>GW</v>
      </c>
      <c r="Z18" s="160"/>
      <c r="AA18" s="160"/>
      <c r="AB18" s="160"/>
    </row>
    <row r="19" spans="2:28" x14ac:dyDescent="0.25">
      <c r="B19" s="44" t="str">
        <f>V16</f>
        <v>ELCTENUC00</v>
      </c>
      <c r="C19" s="44" t="str">
        <f>$B$2&amp;RIGHT(Sector_Fuels!$K$11,3)</f>
        <v>ELCNUC</v>
      </c>
      <c r="D19" s="44" t="str">
        <f>$V$5</f>
        <v>ELC</v>
      </c>
      <c r="E19" s="144">
        <v>8</v>
      </c>
      <c r="F19" s="144">
        <v>15</v>
      </c>
      <c r="G19" s="145">
        <v>0.33</v>
      </c>
      <c r="H19" s="146">
        <v>0.9</v>
      </c>
      <c r="I19" s="145"/>
      <c r="J19" s="146">
        <v>38</v>
      </c>
      <c r="K19" s="145">
        <v>0.27</v>
      </c>
      <c r="L19" s="44"/>
      <c r="M19" s="44"/>
      <c r="N19" s="149"/>
      <c r="O19" s="150">
        <v>31.536000000000001</v>
      </c>
      <c r="P19" s="146">
        <v>1</v>
      </c>
      <c r="Q19" s="44"/>
      <c r="R19" s="147">
        <f>E19*H19*O19</f>
        <v>227.0592</v>
      </c>
      <c r="S19" s="49"/>
      <c r="T19" s="160"/>
      <c r="U19" s="160"/>
      <c r="V19" s="160" t="str">
        <f>$B$2&amp;$C$5&amp;$J$2&amp;RIGHT(Sector_Fuels!$K$9,3)&amp;"00"</f>
        <v>ELCTNOIL00</v>
      </c>
      <c r="W19" s="160" t="str">
        <f>$D$2&amp;" "&amp;$J$1&amp;RIGHT(V19,2)&amp;" - "&amp;EnergyBalance!F3</f>
        <v>Power Plants New00 - Crude Oil</v>
      </c>
      <c r="X19" s="160" t="str">
        <f t="shared" si="0"/>
        <v>PJ</v>
      </c>
      <c r="Y19" s="160" t="str">
        <f t="shared" si="1"/>
        <v>GW</v>
      </c>
      <c r="Z19" s="160"/>
      <c r="AA19" s="160"/>
      <c r="AB19" s="160"/>
    </row>
    <row r="20" spans="2:28" x14ac:dyDescent="0.25">
      <c r="B20" s="36" t="str">
        <f>V17</f>
        <v>ELCTNCOA00</v>
      </c>
      <c r="C20" s="36" t="str">
        <f>$B$2&amp;RIGHT(Sector_Fuels!$K$7,3)</f>
        <v>ELCCOA</v>
      </c>
      <c r="D20" s="36" t="str">
        <f>$V$5</f>
        <v>ELC</v>
      </c>
      <c r="E20" s="39"/>
      <c r="F20" s="39"/>
      <c r="G20" s="111">
        <v>0.42</v>
      </c>
      <c r="H20" s="111">
        <v>0.85</v>
      </c>
      <c r="I20" s="110">
        <v>955</v>
      </c>
      <c r="J20" s="111">
        <v>35</v>
      </c>
      <c r="K20" s="111">
        <v>0.4</v>
      </c>
      <c r="L20" s="110">
        <v>40</v>
      </c>
      <c r="M20" s="120">
        <v>2025</v>
      </c>
      <c r="N20" s="39"/>
      <c r="O20" s="148">
        <v>31.536000000000001</v>
      </c>
      <c r="P20" s="111">
        <v>1</v>
      </c>
      <c r="S20" s="49"/>
    </row>
    <row r="21" spans="2:28" x14ac:dyDescent="0.25">
      <c r="D21" s="36" t="str">
        <f>$V$6</f>
        <v>ELCCO2</v>
      </c>
      <c r="E21" s="39"/>
      <c r="F21" s="39"/>
      <c r="G21" s="111"/>
      <c r="H21" s="111"/>
      <c r="I21" s="110"/>
      <c r="J21" s="111"/>
      <c r="K21" s="111"/>
      <c r="L21" s="110"/>
      <c r="M21" s="39"/>
      <c r="N21" s="120">
        <f>99.8/G20</f>
        <v>237.61904761904762</v>
      </c>
      <c r="P21" s="118"/>
    </row>
    <row r="22" spans="2:28" x14ac:dyDescent="0.25">
      <c r="B22" s="36" t="str">
        <f>V18</f>
        <v>ELCTNGAS00</v>
      </c>
      <c r="C22" s="36" t="str">
        <f>$B$2&amp;RIGHT(Sector_Fuels!$K$8,3)</f>
        <v>ELCGAS</v>
      </c>
      <c r="D22" s="36" t="str">
        <f>$V$5</f>
        <v>ELC</v>
      </c>
      <c r="G22" s="110">
        <v>0.52</v>
      </c>
      <c r="H22" s="111">
        <v>0.85</v>
      </c>
      <c r="I22" s="110">
        <v>391</v>
      </c>
      <c r="J22" s="111">
        <v>30</v>
      </c>
      <c r="K22" s="111">
        <v>0.35</v>
      </c>
      <c r="L22" s="110">
        <v>30</v>
      </c>
      <c r="M22" s="120">
        <v>2025</v>
      </c>
      <c r="N22" s="39"/>
      <c r="O22" s="148">
        <v>31.536000000000001</v>
      </c>
      <c r="P22" s="111">
        <v>1</v>
      </c>
    </row>
    <row r="23" spans="2:28" x14ac:dyDescent="0.25">
      <c r="D23" s="36" t="str">
        <f>$V$6</f>
        <v>ELCCO2</v>
      </c>
      <c r="G23" s="110"/>
      <c r="H23" s="110"/>
      <c r="I23" s="110"/>
      <c r="J23" s="111"/>
      <c r="K23" s="111"/>
      <c r="L23" s="110"/>
      <c r="M23" s="39"/>
      <c r="N23" s="120">
        <f>56.1/G22</f>
        <v>107.88461538461539</v>
      </c>
      <c r="P23" s="118"/>
    </row>
    <row r="24" spans="2:28" x14ac:dyDescent="0.25">
      <c r="B24" s="36" t="str">
        <f>V19</f>
        <v>ELCTNOIL00</v>
      </c>
      <c r="C24" s="36" t="str">
        <f>$B$2&amp;RIGHT(Sector_Fuels!$K$9,3)</f>
        <v>ELCOIL</v>
      </c>
      <c r="D24" s="36" t="str">
        <f>$V$5</f>
        <v>ELC</v>
      </c>
      <c r="G24" s="111">
        <v>0.3</v>
      </c>
      <c r="H24" s="111">
        <v>0.85</v>
      </c>
      <c r="I24" s="110">
        <v>250</v>
      </c>
      <c r="J24" s="111">
        <v>15</v>
      </c>
      <c r="K24" s="111">
        <v>0.2</v>
      </c>
      <c r="L24" s="110">
        <v>40</v>
      </c>
      <c r="M24" s="120">
        <v>2025</v>
      </c>
      <c r="N24" s="39"/>
      <c r="O24" s="148">
        <v>31.536000000000001</v>
      </c>
      <c r="P24" s="111">
        <v>1</v>
      </c>
    </row>
    <row r="25" spans="2:28" x14ac:dyDescent="0.25">
      <c r="D25" s="36" t="str">
        <f>$V$6</f>
        <v>ELCCO2</v>
      </c>
      <c r="G25" s="110"/>
      <c r="H25" s="110"/>
      <c r="I25" s="110"/>
      <c r="J25" s="110"/>
      <c r="K25" s="110"/>
      <c r="L25" s="110"/>
      <c r="N25" s="120">
        <f>76.4/G24</f>
        <v>254.66666666666669</v>
      </c>
    </row>
    <row r="27" spans="2:28" x14ac:dyDescent="0.25">
      <c r="R27" s="39"/>
    </row>
    <row r="28" spans="2:28" x14ac:dyDescent="0.25">
      <c r="R28" s="153"/>
    </row>
    <row r="29" spans="2:28" x14ac:dyDescent="0.25">
      <c r="R29" s="39"/>
    </row>
    <row r="30" spans="2:28" x14ac:dyDescent="0.25">
      <c r="R30" s="154"/>
      <c r="W30" s="23"/>
      <c r="Z30" s="1"/>
    </row>
    <row r="31" spans="2:28" x14ac:dyDescent="0.25">
      <c r="B31" s="62"/>
      <c r="C31" s="1" t="s">
        <v>196</v>
      </c>
      <c r="W31" s="23"/>
    </row>
    <row r="32" spans="2:28" x14ac:dyDescent="0.25">
      <c r="B32" s="103"/>
      <c r="C32" s="1" t="s">
        <v>197</v>
      </c>
      <c r="R32" s="39"/>
      <c r="W32" s="23"/>
    </row>
    <row r="33" spans="23:27" x14ac:dyDescent="0.25">
      <c r="W33" s="23"/>
    </row>
    <row r="34" spans="23:27" x14ac:dyDescent="0.25">
      <c r="W34" s="23"/>
      <c r="Z34" s="1"/>
      <c r="AA34" s="156"/>
    </row>
    <row r="35" spans="23:27" x14ac:dyDescent="0.25">
      <c r="Z35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2004-11-16T14:57:57Z</cp:lastPrinted>
  <dcterms:created xsi:type="dcterms:W3CDTF">2000-12-13T15:53:11Z</dcterms:created>
  <dcterms:modified xsi:type="dcterms:W3CDTF">2024-06-02T09:19:20Z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