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박시은\Desktop\"/>
    </mc:Choice>
  </mc:AlternateContent>
  <xr:revisionPtr revIDLastSave="0" documentId="8_{4BAF11C9-AF95-4176-A42E-EDC5DBBA3415}" xr6:coauthVersionLast="47" xr6:coauthVersionMax="47" xr10:uidLastSave="{00000000-0000-0000-0000-000000000000}"/>
  <bookViews>
    <workbookView xWindow="1440" yWindow="600" windowWidth="21600" windowHeight="12360" tabRatio="901" xr2:uid="{00000000-000D-0000-FFFF-FFFF00000000}"/>
  </bookViews>
  <sheets>
    <sheet name="EnergyBalance(VERSION2)" sheetId="137" r:id="rId1"/>
    <sheet name="EnergyBalance" sheetId="133" r:id="rId2"/>
    <sheet name="RES&amp;OBJ" sheetId="135" r:id="rId3"/>
    <sheet name="Pri_COA" sheetId="132" r:id="rId4"/>
    <sheet name="DemTechs_TPS" sheetId="136" r:id="rId5"/>
    <sheet name="Demands" sheetId="134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37" l="1"/>
  <c r="E17" i="137"/>
  <c r="F17" i="137"/>
  <c r="G17" i="137"/>
  <c r="H17" i="137"/>
  <c r="I17" i="137"/>
  <c r="J17" i="137"/>
  <c r="K17" i="137"/>
  <c r="L17" i="137"/>
  <c r="D18" i="137"/>
  <c r="E18" i="137"/>
  <c r="F18" i="137"/>
  <c r="G18" i="137"/>
  <c r="H18" i="137"/>
  <c r="I18" i="137"/>
  <c r="J18" i="137"/>
  <c r="K18" i="137"/>
  <c r="D19" i="137"/>
  <c r="E19" i="137"/>
  <c r="F19" i="137"/>
  <c r="G19" i="137"/>
  <c r="H19" i="137"/>
  <c r="I19" i="137"/>
  <c r="J19" i="137"/>
  <c r="K19" i="137"/>
  <c r="L19" i="137"/>
  <c r="D20" i="137"/>
  <c r="E20" i="137"/>
  <c r="F20" i="137"/>
  <c r="G20" i="137"/>
  <c r="H20" i="137"/>
  <c r="I20" i="137"/>
  <c r="J20" i="137"/>
  <c r="K20" i="137"/>
  <c r="D21" i="137"/>
  <c r="E21" i="137"/>
  <c r="F21" i="137"/>
  <c r="H21" i="137"/>
  <c r="I21" i="137"/>
  <c r="J21" i="137"/>
  <c r="K21" i="137"/>
  <c r="D22" i="137"/>
  <c r="E22" i="137"/>
  <c r="F22" i="137"/>
  <c r="G22" i="137"/>
  <c r="H22" i="137"/>
  <c r="I22" i="137"/>
  <c r="J22" i="137"/>
  <c r="K22" i="137"/>
  <c r="L22" i="137"/>
  <c r="D23" i="137"/>
  <c r="E23" i="137"/>
  <c r="F23" i="137"/>
  <c r="G23" i="137"/>
  <c r="H23" i="137"/>
  <c r="I23" i="137"/>
  <c r="J23" i="137"/>
  <c r="K23" i="137"/>
  <c r="I24" i="137"/>
  <c r="E16" i="137"/>
  <c r="F16" i="137"/>
  <c r="G16" i="137"/>
  <c r="H16" i="137"/>
  <c r="I16" i="137"/>
  <c r="J16" i="137"/>
  <c r="K16" i="137"/>
  <c r="D16" i="137"/>
  <c r="D11" i="137"/>
  <c r="E11" i="137"/>
  <c r="F11" i="137"/>
  <c r="G11" i="137"/>
  <c r="H11" i="137"/>
  <c r="I11" i="137"/>
  <c r="J11" i="137"/>
  <c r="K11" i="137"/>
  <c r="L11" i="137"/>
  <c r="D12" i="137"/>
  <c r="E12" i="137"/>
  <c r="F12" i="137"/>
  <c r="G12" i="137"/>
  <c r="H12" i="137"/>
  <c r="I12" i="137"/>
  <c r="J12" i="137"/>
  <c r="K12" i="137"/>
  <c r="L12" i="137"/>
  <c r="D13" i="137"/>
  <c r="E13" i="137"/>
  <c r="F13" i="137"/>
  <c r="G13" i="137"/>
  <c r="H13" i="137"/>
  <c r="I13" i="137"/>
  <c r="J13" i="137"/>
  <c r="K13" i="137"/>
  <c r="L13" i="137"/>
  <c r="D14" i="137"/>
  <c r="L14" i="137"/>
  <c r="E10" i="137"/>
  <c r="F10" i="137"/>
  <c r="G10" i="137"/>
  <c r="H10" i="137"/>
  <c r="I10" i="137"/>
  <c r="J10" i="137"/>
  <c r="K10" i="137"/>
  <c r="L10" i="137"/>
  <c r="D10" i="137"/>
  <c r="D6" i="137"/>
  <c r="E6" i="137"/>
  <c r="F6" i="137"/>
  <c r="G6" i="137"/>
  <c r="H6" i="137"/>
  <c r="I6" i="137"/>
  <c r="J6" i="137"/>
  <c r="K6" i="137"/>
  <c r="D7" i="137"/>
  <c r="E7" i="137"/>
  <c r="F7" i="137"/>
  <c r="G7" i="137"/>
  <c r="H7" i="137"/>
  <c r="I7" i="137"/>
  <c r="J7" i="137"/>
  <c r="K7" i="137"/>
  <c r="F8" i="137"/>
  <c r="H8" i="137"/>
  <c r="I8" i="137"/>
  <c r="K8" i="137"/>
  <c r="E5" i="137"/>
  <c r="F5" i="137"/>
  <c r="G5" i="137"/>
  <c r="H5" i="137"/>
  <c r="I5" i="137"/>
  <c r="J5" i="137"/>
  <c r="K5" i="137"/>
  <c r="D5" i="137"/>
  <c r="L14" i="133"/>
  <c r="K14" i="133"/>
  <c r="K14" i="137" s="1"/>
  <c r="F14" i="133"/>
  <c r="F14" i="137" s="1"/>
  <c r="D14" i="133"/>
  <c r="F2" i="136"/>
  <c r="E2" i="136"/>
  <c r="P12" i="136" s="1"/>
  <c r="D2" i="136"/>
  <c r="B2" i="136"/>
  <c r="N5" i="136" s="1"/>
  <c r="C2" i="136"/>
  <c r="I12" i="136"/>
  <c r="K24" i="133"/>
  <c r="K24" i="137" s="1"/>
  <c r="I13" i="132"/>
  <c r="I14" i="132" s="1"/>
  <c r="I11" i="132"/>
  <c r="I12" i="132" s="1"/>
  <c r="I17" i="132"/>
  <c r="I18" i="132" s="1"/>
  <c r="L11" i="133"/>
  <c r="F24" i="133"/>
  <c r="F24" i="137" s="1"/>
  <c r="L23" i="133"/>
  <c r="L23" i="137" s="1"/>
  <c r="L22" i="133"/>
  <c r="L20" i="133"/>
  <c r="L20" i="137" s="1"/>
  <c r="L19" i="133"/>
  <c r="L18" i="133"/>
  <c r="L18" i="137" s="1"/>
  <c r="L17" i="133"/>
  <c r="L16" i="133"/>
  <c r="L16" i="137" s="1"/>
  <c r="J14" i="133"/>
  <c r="J14" i="137" s="1"/>
  <c r="I14" i="133"/>
  <c r="I14" i="137" s="1"/>
  <c r="H14" i="133"/>
  <c r="H14" i="137" s="1"/>
  <c r="G14" i="133"/>
  <c r="G14" i="137" s="1"/>
  <c r="E14" i="133"/>
  <c r="E14" i="137" s="1"/>
  <c r="L13" i="133"/>
  <c r="L12" i="133"/>
  <c r="L10" i="133"/>
  <c r="L7" i="133"/>
  <c r="L7" i="137" s="1"/>
  <c r="L6" i="133"/>
  <c r="L6" i="137" s="1"/>
  <c r="L5" i="133"/>
  <c r="L5" i="137" s="1"/>
  <c r="K8" i="133"/>
  <c r="J8" i="133"/>
  <c r="J21" i="133" s="1"/>
  <c r="J24" i="133" s="1"/>
  <c r="J24" i="137" s="1"/>
  <c r="I8" i="133"/>
  <c r="I21" i="133" s="1"/>
  <c r="I24" i="133" s="1"/>
  <c r="H8" i="133"/>
  <c r="H21" i="133" s="1"/>
  <c r="H24" i="133" s="1"/>
  <c r="H24" i="137" s="1"/>
  <c r="G8" i="133"/>
  <c r="G21" i="133" s="1"/>
  <c r="G24" i="133" s="1"/>
  <c r="G24" i="137" s="1"/>
  <c r="E8" i="133"/>
  <c r="E24" i="133" s="1"/>
  <c r="E24" i="137" s="1"/>
  <c r="D8" i="133"/>
  <c r="D8" i="137" s="1"/>
  <c r="G2" i="134"/>
  <c r="E2" i="134"/>
  <c r="E8" i="134"/>
  <c r="E2" i="132"/>
  <c r="G10" i="132" s="1"/>
  <c r="G2" i="132"/>
  <c r="K11" i="132"/>
  <c r="K15" i="132"/>
  <c r="K14" i="132"/>
  <c r="D2" i="132"/>
  <c r="C2" i="132"/>
  <c r="M5" i="132" s="1"/>
  <c r="P5" i="136"/>
  <c r="G21" i="137" l="1"/>
  <c r="J8" i="137"/>
  <c r="G8" i="137"/>
  <c r="E8" i="137"/>
  <c r="Q12" i="136"/>
  <c r="E11" i="136"/>
  <c r="H11" i="136"/>
  <c r="O5" i="132"/>
  <c r="O12" i="132"/>
  <c r="O12" i="136"/>
  <c r="N12" i="136" s="1"/>
  <c r="B12" i="136" s="1"/>
  <c r="C12" i="136" s="1"/>
  <c r="O14" i="132"/>
  <c r="O15" i="132"/>
  <c r="D12" i="136"/>
  <c r="C9" i="134"/>
  <c r="D11" i="132"/>
  <c r="D15" i="132"/>
  <c r="D16" i="132"/>
  <c r="D13" i="132"/>
  <c r="C17" i="132"/>
  <c r="N5" i="132"/>
  <c r="O11" i="132"/>
  <c r="M15" i="132"/>
  <c r="B17" i="132" s="1"/>
  <c r="M13" i="132"/>
  <c r="B15" i="132" s="1"/>
  <c r="O5" i="136"/>
  <c r="I11" i="136"/>
  <c r="L8" i="133"/>
  <c r="L8" i="137" s="1"/>
  <c r="M12" i="132"/>
  <c r="B13" i="132" s="1"/>
  <c r="M14" i="132"/>
  <c r="B16" i="132" s="1"/>
  <c r="M11" i="132"/>
  <c r="L21" i="133"/>
  <c r="I10" i="132"/>
  <c r="H10" i="132"/>
  <c r="D24" i="133"/>
  <c r="O13" i="132"/>
  <c r="E9" i="134" l="1"/>
  <c r="D24" i="137"/>
  <c r="L24" i="133"/>
  <c r="L24" i="137" s="1"/>
  <c r="L21" i="137"/>
  <c r="N14" i="132"/>
  <c r="N15" i="132"/>
  <c r="N13" i="132"/>
  <c r="N12" i="132"/>
  <c r="B11" i="132"/>
  <c r="N11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9AE9B8DE-90AA-4C07-9618-4A867185C2D4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<sst xmlns="http://schemas.openxmlformats.org/spreadsheetml/2006/main" count="297" uniqueCount="153">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</sst>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General_)"/>
    <numFmt numFmtId="177" formatCode="\Te\x\t"/>
    <numFmt numFmtId="178" formatCode="0.000"/>
  </numFmts>
  <fonts count="26" x14ac:knownFonts="1">
    <font>
      <sz val="10"/>
      <name val="Arial"/>
    </font>
    <font>
      <sz val="11"/>
      <color theme="1"/>
      <name val="맑은 고딕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2" applyNumberFormat="0" applyAlignment="0" applyProtection="0"/>
    <xf numFmtId="43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2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</cellStyleXfs>
  <cellXfs count="99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/>
    <xf numFmtId="0" fontId="6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4" fillId="5" borderId="0" xfId="3"/>
    <xf numFmtId="0" fontId="19" fillId="10" borderId="0" xfId="6" applyFont="1" applyFill="1"/>
    <xf numFmtId="0" fontId="20" fillId="3" borderId="3" xfId="1" applyFont="1" applyBorder="1" applyAlignment="1">
      <alignment horizontal="center" wrapText="1"/>
    </xf>
    <xf numFmtId="0" fontId="20" fillId="3" borderId="3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1" fillId="0" borderId="0" xfId="0" applyFont="1"/>
    <xf numFmtId="0" fontId="5" fillId="0" borderId="5" xfId="0" applyFont="1" applyBorder="1"/>
    <xf numFmtId="0" fontId="5" fillId="0" borderId="6" xfId="0" applyFont="1" applyBorder="1"/>
    <xf numFmtId="9" fontId="22" fillId="0" borderId="6" xfId="16" applyFont="1" applyBorder="1" applyAlignment="1"/>
    <xf numFmtId="0" fontId="5" fillId="0" borderId="7" xfId="0" applyFont="1" applyBorder="1"/>
    <xf numFmtId="9" fontId="22" fillId="0" borderId="7" xfId="16" applyFont="1" applyBorder="1" applyAlignment="1"/>
    <xf numFmtId="9" fontId="22" fillId="0" borderId="0" xfId="16" applyFont="1" applyBorder="1" applyAlignment="1"/>
    <xf numFmtId="0" fontId="14" fillId="5" borderId="0" xfId="3" applyAlignment="1">
      <alignment wrapText="1"/>
    </xf>
    <xf numFmtId="0" fontId="4" fillId="0" borderId="0" xfId="0" applyFont="1"/>
    <xf numFmtId="1" fontId="5" fillId="0" borderId="0" xfId="9" applyNumberFormat="1"/>
    <xf numFmtId="0" fontId="5" fillId="0" borderId="8" xfId="0" applyFont="1" applyBorder="1"/>
    <xf numFmtId="0" fontId="4" fillId="0" borderId="2" xfId="0" applyFont="1" applyBorder="1" applyAlignment="1">
      <alignment horizontal="center" wrapText="1"/>
    </xf>
    <xf numFmtId="0" fontId="23" fillId="0" borderId="0" xfId="0" applyFont="1"/>
    <xf numFmtId="0" fontId="19" fillId="10" borderId="0" xfId="6" applyFont="1" applyFill="1" applyAlignment="1">
      <alignment horizontal="left"/>
    </xf>
    <xf numFmtId="1" fontId="0" fillId="11" borderId="0" xfId="0" applyNumberFormat="1" applyFill="1"/>
    <xf numFmtId="1" fontId="4" fillId="11" borderId="0" xfId="0" applyNumberFormat="1" applyFont="1" applyFill="1"/>
    <xf numFmtId="0" fontId="2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3" fillId="12" borderId="0" xfId="0" applyFont="1" applyFill="1"/>
    <xf numFmtId="1" fontId="0" fillId="13" borderId="0" xfId="0" applyNumberFormat="1" applyFill="1"/>
    <xf numFmtId="1" fontId="4" fillId="13" borderId="0" xfId="0" applyNumberFormat="1" applyFont="1" applyFill="1"/>
    <xf numFmtId="0" fontId="0" fillId="13" borderId="0" xfId="0" applyFill="1"/>
    <xf numFmtId="1" fontId="0" fillId="14" borderId="0" xfId="0" applyNumberFormat="1" applyFill="1"/>
    <xf numFmtId="1" fontId="0" fillId="14" borderId="2" xfId="0" applyNumberFormat="1" applyFill="1" applyBorder="1"/>
    <xf numFmtId="0" fontId="0" fillId="14" borderId="0" xfId="0" applyFill="1"/>
    <xf numFmtId="1" fontId="4" fillId="14" borderId="0" xfId="0" applyNumberFormat="1" applyFont="1" applyFill="1"/>
    <xf numFmtId="1" fontId="4" fillId="14" borderId="2" xfId="0" applyNumberFormat="1" applyFont="1" applyFill="1" applyBorder="1"/>
    <xf numFmtId="1" fontId="17" fillId="8" borderId="0" xfId="7" applyNumberFormat="1" applyBorder="1" applyAlignment="1"/>
    <xf numFmtId="1" fontId="15" fillId="6" borderId="4" xfId="4" applyNumberFormat="1" applyBorder="1" applyAlignment="1">
      <alignment horizontal="right"/>
    </xf>
    <xf numFmtId="1" fontId="17" fillId="8" borderId="4" xfId="7" applyNumberFormat="1" applyBorder="1" applyAlignment="1"/>
    <xf numFmtId="1" fontId="15" fillId="6" borderId="9" xfId="4" applyNumberFormat="1" applyBorder="1" applyAlignment="1">
      <alignment horizontal="right"/>
    </xf>
    <xf numFmtId="176" fontId="15" fillId="6" borderId="5" xfId="4" applyNumberFormat="1" applyBorder="1" applyAlignment="1">
      <alignment horizontal="right" vertical="center"/>
    </xf>
    <xf numFmtId="0" fontId="4" fillId="0" borderId="2" xfId="0" applyFont="1" applyBorder="1"/>
    <xf numFmtId="1" fontId="15" fillId="6" borderId="13" xfId="4" applyNumberFormat="1" applyBorder="1" applyAlignment="1">
      <alignment horizontal="right"/>
    </xf>
    <xf numFmtId="1" fontId="15" fillId="6" borderId="14" xfId="4" applyNumberFormat="1" applyBorder="1" applyAlignment="1">
      <alignment horizontal="right"/>
    </xf>
    <xf numFmtId="176" fontId="10" fillId="13" borderId="6" xfId="0" applyNumberFormat="1" applyFont="1" applyFill="1" applyBorder="1" applyAlignment="1">
      <alignment horizontal="left" vertical="center"/>
    </xf>
    <xf numFmtId="176" fontId="10" fillId="13" borderId="10" xfId="0" applyNumberFormat="1" applyFont="1" applyFill="1" applyBorder="1" applyAlignment="1">
      <alignment horizontal="left" vertical="center"/>
    </xf>
    <xf numFmtId="176" fontId="10" fillId="14" borderId="6" xfId="0" applyNumberFormat="1" applyFont="1" applyFill="1" applyBorder="1" applyAlignment="1">
      <alignment horizontal="left" vertical="center"/>
    </xf>
    <xf numFmtId="176" fontId="10" fillId="14" borderId="10" xfId="0" applyNumberFormat="1" applyFont="1" applyFill="1" applyBorder="1" applyAlignment="1">
      <alignment horizontal="left" vertical="center"/>
    </xf>
    <xf numFmtId="176" fontId="10" fillId="14" borderId="7" xfId="0" applyNumberFormat="1" applyFont="1" applyFill="1" applyBorder="1" applyAlignment="1">
      <alignment horizontal="left" vertical="center"/>
    </xf>
    <xf numFmtId="1" fontId="5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5" fillId="13" borderId="0" xfId="8" applyFont="1" applyFill="1"/>
    <xf numFmtId="2" fontId="5" fillId="13" borderId="0" xfId="0" applyNumberFormat="1" applyFont="1" applyFill="1"/>
    <xf numFmtId="0" fontId="24" fillId="0" borderId="0" xfId="0" applyFont="1"/>
    <xf numFmtId="0" fontId="4" fillId="16" borderId="0" xfId="0" applyFont="1" applyFill="1"/>
    <xf numFmtId="1" fontId="5" fillId="15" borderId="0" xfId="8" applyNumberFormat="1" applyFont="1" applyFill="1"/>
    <xf numFmtId="0" fontId="19" fillId="10" borderId="0" xfId="6" applyFont="1" applyFill="1" applyAlignment="1">
      <alignment wrapText="1"/>
    </xf>
    <xf numFmtId="0" fontId="19" fillId="0" borderId="0" xfId="6" applyFont="1" applyFill="1"/>
    <xf numFmtId="0" fontId="5" fillId="0" borderId="0" xfId="11" applyAlignment="1">
      <alignment horizontal="left"/>
    </xf>
    <xf numFmtId="0" fontId="5" fillId="0" borderId="0" xfId="11" applyAlignment="1">
      <alignment horizontal="right"/>
    </xf>
    <xf numFmtId="0" fontId="22" fillId="0" borderId="0" xfId="0" applyFont="1"/>
    <xf numFmtId="0" fontId="4" fillId="2" borderId="1" xfId="11" applyFont="1" applyFill="1" applyBorder="1" applyAlignment="1">
      <alignment horizontal="left" vertical="center"/>
    </xf>
    <xf numFmtId="0" fontId="20" fillId="3" borderId="11" xfId="1" applyFont="1" applyBorder="1" applyAlignment="1">
      <alignment horizontal="center" wrapText="1"/>
    </xf>
    <xf numFmtId="2" fontId="0" fillId="13" borderId="0" xfId="0" applyNumberFormat="1" applyFill="1"/>
    <xf numFmtId="2" fontId="0" fillId="0" borderId="0" xfId="0" applyNumberFormat="1"/>
    <xf numFmtId="0" fontId="14" fillId="4" borderId="0" xfId="2"/>
    <xf numFmtId="0" fontId="0" fillId="0" borderId="4" xfId="0" applyBorder="1"/>
    <xf numFmtId="1" fontId="17" fillId="8" borderId="1" xfId="7" applyNumberFormat="1" applyBorder="1" applyAlignment="1"/>
    <xf numFmtId="1" fontId="15" fillId="6" borderId="15" xfId="4" applyNumberFormat="1" applyBorder="1" applyAlignment="1">
      <alignment horizontal="right"/>
    </xf>
    <xf numFmtId="176" fontId="9" fillId="0" borderId="5" xfId="0" applyNumberFormat="1" applyFont="1" applyBorder="1" applyAlignment="1">
      <alignment horizontal="left" vertical="center"/>
    </xf>
    <xf numFmtId="176" fontId="10" fillId="11" borderId="10" xfId="0" applyNumberFormat="1" applyFont="1" applyFill="1" applyBorder="1" applyAlignment="1">
      <alignment horizontal="left" vertical="center"/>
    </xf>
    <xf numFmtId="176" fontId="9" fillId="0" borderId="7" xfId="0" applyNumberFormat="1" applyFont="1" applyBorder="1" applyAlignment="1">
      <alignment horizontal="left" vertical="center"/>
    </xf>
    <xf numFmtId="0" fontId="20" fillId="3" borderId="4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20" fillId="0" borderId="0" xfId="1" applyFont="1" applyFill="1" applyBorder="1" applyAlignment="1">
      <alignment horizontal="left" wrapText="1"/>
    </xf>
    <xf numFmtId="0" fontId="5" fillId="0" borderId="0" xfId="8" applyFont="1" applyFill="1"/>
    <xf numFmtId="2" fontId="5" fillId="0" borderId="0" xfId="0" applyNumberFormat="1" applyFont="1"/>
    <xf numFmtId="1" fontId="5" fillId="13" borderId="0" xfId="8" applyNumberFormat="1" applyFont="1" applyFill="1"/>
    <xf numFmtId="0" fontId="4" fillId="2" borderId="1" xfId="0" applyFont="1" applyFill="1" applyBorder="1" applyAlignment="1">
      <alignment horizontal="center"/>
    </xf>
    <xf numFmtId="177" fontId="6" fillId="0" borderId="0" xfId="0" applyNumberFormat="1" applyFont="1"/>
    <xf numFmtId="177" fontId="5" fillId="0" borderId="0" xfId="0" applyNumberFormat="1" applyFont="1"/>
    <xf numFmtId="177" fontId="4" fillId="2" borderId="1" xfId="0" applyNumberFormat="1" applyFont="1" applyFill="1" applyBorder="1" applyAlignment="1">
      <alignment horizontal="left"/>
    </xf>
    <xf numFmtId="177" fontId="4" fillId="2" borderId="4" xfId="0" applyNumberFormat="1" applyFont="1" applyFill="1" applyBorder="1" applyAlignment="1">
      <alignment horizontal="left"/>
    </xf>
    <xf numFmtId="177" fontId="20" fillId="3" borderId="3" xfId="1" applyNumberFormat="1" applyFont="1" applyBorder="1" applyAlignment="1">
      <alignment horizontal="left" wrapText="1"/>
    </xf>
    <xf numFmtId="177" fontId="0" fillId="0" borderId="0" xfId="0" applyNumberFormat="1"/>
    <xf numFmtId="177" fontId="20" fillId="3" borderId="3" xfId="1" applyNumberFormat="1" applyFont="1" applyBorder="1" applyAlignment="1">
      <alignment horizontal="center" wrapText="1"/>
    </xf>
    <xf numFmtId="177" fontId="0" fillId="0" borderId="0" xfId="0" applyNumberFormat="1" applyAlignment="1">
      <alignment wrapText="1"/>
    </xf>
    <xf numFmtId="178" fontId="0" fillId="11" borderId="0" xfId="0" applyNumberFormat="1" applyFill="1"/>
    <xf numFmtId="41" fontId="17" fillId="0" borderId="1" xfId="23" applyFont="1" applyFill="1" applyBorder="1" applyAlignment="1"/>
    <xf numFmtId="41" fontId="0" fillId="0" borderId="2" xfId="23" applyFont="1" applyFill="1" applyBorder="1" applyAlignment="1"/>
    <xf numFmtId="41" fontId="4" fillId="0" borderId="2" xfId="23" applyFont="1" applyFill="1" applyBorder="1" applyAlignment="1"/>
  </cellXfs>
  <cellStyles count="24">
    <cellStyle name="20% - 강조색5" xfId="1" builtinId="46"/>
    <cellStyle name="60% - 강조색2" xfId="2" builtinId="36"/>
    <cellStyle name="Comma 2" xfId="5" xr:uid="{00000000-0005-0000-0000-000004000000}"/>
    <cellStyle name="Normal 10" xfId="9" xr:uid="{00000000-0005-0000-0000-000009000000}"/>
    <cellStyle name="Normal 2" xfId="10" xr:uid="{00000000-0005-0000-0000-00000A000000}"/>
    <cellStyle name="Normal 3" xfId="21" xr:uid="{3330EF86-992A-4240-BA17-72BAD4CF6C62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 2" xfId="17" xr:uid="{00000000-0005-0000-0000-000011000000}"/>
    <cellStyle name="Percent 3" xfId="18" xr:uid="{00000000-0005-0000-0000-000012000000}"/>
    <cellStyle name="Percent 4" xfId="19" xr:uid="{00000000-0005-0000-0000-000013000000}"/>
    <cellStyle name="Percent 5" xfId="22" xr:uid="{D8CB816B-D759-45CF-9B75-F3D313FBF578}"/>
    <cellStyle name="Standard_Sce_D_Extraction" xfId="20" xr:uid="{00000000-0005-0000-0000-000014000000}"/>
    <cellStyle name="강조색2" xfId="3" builtinId="33"/>
    <cellStyle name="계산" xfId="4" builtinId="22"/>
    <cellStyle name="백분율" xfId="16" builtinId="5"/>
    <cellStyle name="보통" xfId="8" builtinId="28"/>
    <cellStyle name="쉼표 [0]" xfId="23" builtinId="6"/>
    <cellStyle name="입력" xfId="7" builtinId="20"/>
    <cellStyle name="좋음" xfId="6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65E0A9-42EA-4DD5-B8D6-532622BB3BDC}"/>
            </a:ext>
          </a:extLst>
        </xdr:cNvPr>
        <xdr:cNvSpPr txBox="1"/>
      </xdr:nvSpPr>
      <xdr:spPr>
        <a:xfrm>
          <a:off x="5951007" y="4812030"/>
          <a:ext cx="5715022" cy="9879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E5CACE-D165-4828-8831-063CB6298C82}"/>
            </a:ext>
          </a:extLst>
        </xdr:cNvPr>
        <xdr:cNvSpPr txBox="1"/>
      </xdr:nvSpPr>
      <xdr:spPr>
        <a:xfrm>
          <a:off x="7282390" y="6128809"/>
          <a:ext cx="5215693" cy="670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1849-4F97-4D75-A6B8-C51EBF2CC307}">
  <dimension ref="B1:S39"/>
  <sheetViews>
    <sheetView tabSelected="1" zoomScale="70" zoomScaleNormal="70" workbookViewId="0">
      <selection activeCell="Q18" sqref="Q18"/>
    </sheetView>
  </sheetViews>
  <sheetFormatPr defaultRowHeight="13.2" x14ac:dyDescent="0.25"/>
  <cols>
    <col min="1" max="1" width="3" bestFit="1" customWidth="1"/>
    <col min="2" max="2" width="5.44140625" bestFit="1" customWidth="1"/>
    <col min="3" max="3" width="40.21875" bestFit="1" customWidth="1"/>
    <col min="4" max="5" width="13.21875" customWidth="1"/>
    <col min="6" max="6" width="15.44140625" customWidth="1"/>
    <col min="7" max="11" width="13.21875" customWidth="1"/>
    <col min="12" max="12" width="10.5546875" customWidth="1"/>
    <col min="13" max="13" width="10.77734375" customWidth="1"/>
    <col min="14" max="14" width="15.5546875" bestFit="1" customWidth="1"/>
    <col min="15" max="15" width="2" bestFit="1" customWidth="1"/>
    <col min="16" max="16" width="12.21875" bestFit="1" customWidth="1"/>
    <col min="18" max="18" width="6.77734375" bestFit="1" customWidth="1"/>
    <col min="19" max="19" width="9.21875" bestFit="1" customWidth="1"/>
    <col min="20" max="20" width="2" bestFit="1" customWidth="1"/>
  </cols>
  <sheetData>
    <row r="1" spans="2:19" x14ac:dyDescent="0.25">
      <c r="P1" s="15" t="s">
        <v>111</v>
      </c>
      <c r="Q1" s="1" t="s">
        <v>112</v>
      </c>
      <c r="R1" s="1" t="s">
        <v>113</v>
      </c>
      <c r="S1" s="1" t="s">
        <v>114</v>
      </c>
    </row>
    <row r="2" spans="2:19" ht="19.2" x14ac:dyDescent="0.45">
      <c r="D2" s="31" t="s">
        <v>46</v>
      </c>
      <c r="E2" s="31" t="s">
        <v>47</v>
      </c>
      <c r="F2" s="31" t="s">
        <v>48</v>
      </c>
      <c r="G2" s="31" t="s">
        <v>49</v>
      </c>
      <c r="H2" s="31" t="s">
        <v>50</v>
      </c>
      <c r="I2" s="31" t="s">
        <v>51</v>
      </c>
      <c r="J2" s="31" t="s">
        <v>52</v>
      </c>
      <c r="K2" s="31" t="s">
        <v>53</v>
      </c>
      <c r="L2" s="23"/>
      <c r="Q2" s="28" t="s">
        <v>121</v>
      </c>
      <c r="R2" s="9" t="s">
        <v>96</v>
      </c>
      <c r="S2" s="9" t="s">
        <v>115</v>
      </c>
    </row>
    <row r="3" spans="2:19" ht="26.4" x14ac:dyDescent="0.25">
      <c r="C3" s="6"/>
      <c r="D3" s="32" t="s">
        <v>54</v>
      </c>
      <c r="E3" s="32" t="s">
        <v>55</v>
      </c>
      <c r="F3" s="32" t="s">
        <v>152</v>
      </c>
      <c r="G3" s="32" t="s">
        <v>56</v>
      </c>
      <c r="H3" s="32" t="s">
        <v>57</v>
      </c>
      <c r="I3" s="32" t="s">
        <v>58</v>
      </c>
      <c r="J3" s="32" t="s">
        <v>59</v>
      </c>
      <c r="K3" s="32" t="s">
        <v>106</v>
      </c>
      <c r="L3" s="26" t="s">
        <v>60</v>
      </c>
    </row>
    <row r="4" spans="2:19" x14ac:dyDescent="0.25">
      <c r="C4" s="76" t="s">
        <v>61</v>
      </c>
      <c r="E4" s="73"/>
      <c r="F4" s="73"/>
      <c r="G4" s="6"/>
      <c r="H4" s="6"/>
      <c r="I4" s="6"/>
      <c r="J4" s="6"/>
      <c r="K4" s="6"/>
      <c r="L4" s="6"/>
    </row>
    <row r="5" spans="2:19" ht="17.399999999999999" x14ac:dyDescent="0.4">
      <c r="B5" s="33" t="s">
        <v>62</v>
      </c>
      <c r="C5" s="77" t="s">
        <v>63</v>
      </c>
      <c r="D5" s="96">
        <f>EnergyBalance!D5*EnergyBalance!$M$5</f>
        <v>13498.703748</v>
      </c>
      <c r="E5" s="96">
        <f>EnergyBalance!E5*EnergyBalance!$M$5</f>
        <v>1200.9835800000001</v>
      </c>
      <c r="F5" s="96">
        <f>EnergyBalance!F5*EnergyBalance!$M$5</f>
        <v>1376.494236</v>
      </c>
      <c r="G5" s="96">
        <f>EnergyBalance!G5*EnergyBalance!$M$5</f>
        <v>507.06334800000002</v>
      </c>
      <c r="H5" s="96">
        <f>EnergyBalance!H5*EnergyBalance!$M$5</f>
        <v>1082.957688</v>
      </c>
      <c r="I5" s="96">
        <f>EnergyBalance!I5*EnergyBalance!$M$5</f>
        <v>0</v>
      </c>
      <c r="J5" s="96">
        <f>EnergyBalance!J5*EnergyBalance!$M$5</f>
        <v>0</v>
      </c>
      <c r="K5" s="96">
        <f>EnergyBalance!K5*EnergyBalance!$M$5</f>
        <v>0</v>
      </c>
      <c r="L5" s="96">
        <f>EnergyBalance!L5*EnergyBalance!$M$5</f>
        <v>17666.202600000001</v>
      </c>
      <c r="M5" s="95">
        <v>4.1868000000000002E-2</v>
      </c>
      <c r="P5" s="7"/>
    </row>
    <row r="6" spans="2:19" ht="17.399999999999999" x14ac:dyDescent="0.4">
      <c r="B6" s="33" t="s">
        <v>64</v>
      </c>
      <c r="C6" s="77" t="s">
        <v>65</v>
      </c>
      <c r="D6" s="96">
        <f>EnergyBalance!D6*EnergyBalance!$M$5</f>
        <v>5484.5823960000007</v>
      </c>
      <c r="E6" s="96">
        <f>EnergyBalance!E6*EnergyBalance!$M$5</f>
        <v>1305.0674280000001</v>
      </c>
      <c r="F6" s="96">
        <f>EnergyBalance!F6*EnergyBalance!$M$5</f>
        <v>11513.448792000001</v>
      </c>
      <c r="G6" s="96">
        <f>EnergyBalance!G6*EnergyBalance!$M$5</f>
        <v>0</v>
      </c>
      <c r="H6" s="96">
        <f>EnergyBalance!H6*EnergyBalance!$M$5</f>
        <v>0</v>
      </c>
      <c r="I6" s="96">
        <f>EnergyBalance!I6*EnergyBalance!$M$5</f>
        <v>2.9307600000000002E-4</v>
      </c>
      <c r="J6" s="96">
        <f>EnergyBalance!J6*EnergyBalance!$M$5</f>
        <v>6.4058040000000002E-3</v>
      </c>
      <c r="K6" s="96">
        <f>EnergyBalance!K6*EnergyBalance!$M$5</f>
        <v>22.859928</v>
      </c>
      <c r="L6" s="96">
        <f>EnergyBalance!L6*EnergyBalance!$M$5</f>
        <v>18325.96524288</v>
      </c>
    </row>
    <row r="7" spans="2:19" ht="17.399999999999999" x14ac:dyDescent="0.4">
      <c r="B7" s="33" t="s">
        <v>66</v>
      </c>
      <c r="C7" s="77" t="s">
        <v>67</v>
      </c>
      <c r="D7" s="96">
        <f>EnergyBalance!D7*EnergyBalance!$M$5</f>
        <v>-29.93562</v>
      </c>
      <c r="E7" s="96">
        <f>EnergyBalance!E7*EnergyBalance!$M$5</f>
        <v>0</v>
      </c>
      <c r="F7" s="96">
        <f>EnergyBalance!F7*EnergyBalance!$M$5</f>
        <v>-2867.790528</v>
      </c>
      <c r="G7" s="96">
        <f>EnergyBalance!G7*EnergyBalance!$M$5</f>
        <v>0</v>
      </c>
      <c r="H7" s="96">
        <f>EnergyBalance!H7*EnergyBalance!$M$5</f>
        <v>0</v>
      </c>
      <c r="I7" s="96">
        <f>EnergyBalance!I7*EnergyBalance!$M$5</f>
        <v>0</v>
      </c>
      <c r="J7" s="96">
        <f>EnergyBalance!J7*EnergyBalance!$M$5</f>
        <v>-5.4009720000000004E-3</v>
      </c>
      <c r="K7" s="96">
        <f>EnergyBalance!K7*EnergyBalance!$M$5</f>
        <v>-34.164287999999999</v>
      </c>
      <c r="L7" s="96">
        <f>EnergyBalance!L7*EnergyBalance!$M$5</f>
        <v>-2931.8958369720003</v>
      </c>
      <c r="P7" s="7"/>
    </row>
    <row r="8" spans="2:19" ht="17.399999999999999" x14ac:dyDescent="0.4">
      <c r="B8" s="72" t="s">
        <v>144</v>
      </c>
      <c r="C8" s="46" t="s">
        <v>145</v>
      </c>
      <c r="D8" s="96">
        <f>EnergyBalance!D8*EnergyBalance!$M$5</f>
        <v>18953.350524000001</v>
      </c>
      <c r="E8" s="96">
        <f>EnergyBalance!E8*EnergyBalance!$M$5</f>
        <v>2506.0510080000004</v>
      </c>
      <c r="F8" s="96">
        <f>EnergyBalance!F8*EnergyBalance!$M$5</f>
        <v>10022.1525</v>
      </c>
      <c r="G8" s="96">
        <f>EnergyBalance!G8*EnergyBalance!$M$5</f>
        <v>507.06334800000002</v>
      </c>
      <c r="H8" s="96">
        <f>EnergyBalance!H8*EnergyBalance!$M$5</f>
        <v>1082.957688</v>
      </c>
      <c r="I8" s="96">
        <f>EnergyBalance!I8*EnergyBalance!$M$5</f>
        <v>2.9307600000000002E-4</v>
      </c>
      <c r="J8" s="96">
        <f>EnergyBalance!J8*EnergyBalance!$M$5</f>
        <v>1.0048319999999998E-3</v>
      </c>
      <c r="K8" s="96">
        <f>EnergyBalance!K8*EnergyBalance!$M$5</f>
        <v>-11.304360000000001</v>
      </c>
      <c r="L8" s="96">
        <f>EnergyBalance!L8*EnergyBalance!$M$5</f>
        <v>33060.272005908002</v>
      </c>
    </row>
    <row r="9" spans="2:19" x14ac:dyDescent="0.25">
      <c r="B9" s="27"/>
      <c r="C9" s="78" t="s">
        <v>68</v>
      </c>
      <c r="D9" s="97"/>
      <c r="E9" s="97"/>
      <c r="F9" s="97"/>
      <c r="G9" s="97"/>
      <c r="H9" s="97"/>
      <c r="I9" s="97"/>
      <c r="J9" s="97"/>
      <c r="K9" s="97"/>
      <c r="L9" s="98"/>
    </row>
    <row r="10" spans="2:19" ht="17.399999999999999" x14ac:dyDescent="0.4">
      <c r="B10" s="33" t="s">
        <v>69</v>
      </c>
      <c r="C10" s="50" t="s">
        <v>70</v>
      </c>
      <c r="D10" s="96">
        <f>EnergyBalance!D10*EnergyBalance!$M$5</f>
        <v>0</v>
      </c>
      <c r="E10" s="96">
        <f>EnergyBalance!E10*EnergyBalance!$M$5</f>
        <v>-789.71421600000008</v>
      </c>
      <c r="F10" s="96">
        <f>EnergyBalance!F10*EnergyBalance!$M$5</f>
        <v>0</v>
      </c>
      <c r="G10" s="96">
        <f>EnergyBalance!G10*EnergyBalance!$M$5</f>
        <v>0</v>
      </c>
      <c r="H10" s="96">
        <f>EnergyBalance!H10*EnergyBalance!$M$5</f>
        <v>0</v>
      </c>
      <c r="I10" s="96">
        <f>EnergyBalance!I10*EnergyBalance!$M$5</f>
        <v>0</v>
      </c>
      <c r="J10" s="96">
        <f>EnergyBalance!J10*EnergyBalance!$M$5</f>
        <v>0</v>
      </c>
      <c r="K10" s="96">
        <f>EnergyBalance!K10*EnergyBalance!$M$5</f>
        <v>-299.94235200000003</v>
      </c>
      <c r="L10" s="96">
        <f>EnergyBalance!L10*EnergyBalance!$M$5</f>
        <v>-1089.6565680000001</v>
      </c>
    </row>
    <row r="11" spans="2:19" ht="17.399999999999999" x14ac:dyDescent="0.4">
      <c r="B11" s="33" t="s">
        <v>53</v>
      </c>
      <c r="C11" s="51" t="s">
        <v>71</v>
      </c>
      <c r="D11" s="96">
        <f>EnergyBalance!D11*EnergyBalance!$M$5</f>
        <v>-11471.20398</v>
      </c>
      <c r="E11" s="96">
        <f>EnergyBalance!E11*EnergyBalance!$M$5</f>
        <v>-429.31447200000002</v>
      </c>
      <c r="F11" s="96">
        <f>EnergyBalance!F11*EnergyBalance!$M$5</f>
        <v>0</v>
      </c>
      <c r="G11" s="96">
        <f>EnergyBalance!G11*EnergyBalance!$M$5</f>
        <v>-507.06334800000002</v>
      </c>
      <c r="H11" s="96">
        <f>EnergyBalance!H11*EnergyBalance!$M$5</f>
        <v>-1082.957688</v>
      </c>
      <c r="I11" s="96">
        <f>EnergyBalance!I11*EnergyBalance!$M$5</f>
        <v>0</v>
      </c>
      <c r="J11" s="96">
        <f>EnergyBalance!J11*EnergyBalance!$M$5</f>
        <v>0</v>
      </c>
      <c r="K11" s="96">
        <f>EnergyBalance!K11*EnergyBalance!$M$5</f>
        <v>4805.1903600000005</v>
      </c>
      <c r="L11" s="96">
        <f>EnergyBalance!L11*EnergyBalance!$M$5</f>
        <v>-8685.3491279999998</v>
      </c>
    </row>
    <row r="12" spans="2:19" ht="17.399999999999999" x14ac:dyDescent="0.4">
      <c r="B12" s="33" t="s">
        <v>72</v>
      </c>
      <c r="C12" s="51" t="s">
        <v>73</v>
      </c>
      <c r="D12" s="96">
        <f>EnergyBalance!D12*EnergyBalance!$M$5</f>
        <v>0</v>
      </c>
      <c r="E12" s="96">
        <f>EnergyBalance!E12*EnergyBalance!$M$5</f>
        <v>0</v>
      </c>
      <c r="F12" s="96">
        <f>EnergyBalance!F12*EnergyBalance!$M$5</f>
        <v>0</v>
      </c>
      <c r="G12" s="96">
        <f>EnergyBalance!G12*EnergyBalance!$M$5</f>
        <v>0</v>
      </c>
      <c r="H12" s="96">
        <f>EnergyBalance!H12*EnergyBalance!$M$5</f>
        <v>0</v>
      </c>
      <c r="I12" s="96">
        <f>EnergyBalance!I12*EnergyBalance!$M$5</f>
        <v>0</v>
      </c>
      <c r="J12" s="96">
        <f>EnergyBalance!J12*EnergyBalance!$M$5</f>
        <v>0</v>
      </c>
      <c r="K12" s="96">
        <f>EnergyBalance!K12*EnergyBalance!$M$5</f>
        <v>0</v>
      </c>
      <c r="L12" s="96">
        <f>EnergyBalance!L12*EnergyBalance!$M$5</f>
        <v>0</v>
      </c>
    </row>
    <row r="13" spans="2:19" ht="17.399999999999999" x14ac:dyDescent="0.4">
      <c r="B13" s="33" t="s">
        <v>74</v>
      </c>
      <c r="C13" s="51" t="s">
        <v>75</v>
      </c>
      <c r="D13" s="96">
        <f>EnergyBalance!D13*EnergyBalance!$M$5</f>
        <v>0</v>
      </c>
      <c r="E13" s="96">
        <f>EnergyBalance!E13*EnergyBalance!$M$5</f>
        <v>0</v>
      </c>
      <c r="F13" s="96">
        <f>EnergyBalance!F13*EnergyBalance!$M$5</f>
        <v>-949.10569200000009</v>
      </c>
      <c r="G13" s="96">
        <f>EnergyBalance!G13*EnergyBalance!$M$5</f>
        <v>0</v>
      </c>
      <c r="H13" s="96">
        <f>EnergyBalance!H13*EnergyBalance!$M$5</f>
        <v>0</v>
      </c>
      <c r="I13" s="96">
        <f>EnergyBalance!I13*EnergyBalance!$M$5</f>
        <v>0</v>
      </c>
      <c r="J13" s="96">
        <f>EnergyBalance!J13*EnergyBalance!$M$5</f>
        <v>0</v>
      </c>
      <c r="K13" s="96">
        <f>EnergyBalance!K13*EnergyBalance!$M$5</f>
        <v>0</v>
      </c>
      <c r="L13" s="96">
        <f>EnergyBalance!L13*EnergyBalance!$M$5</f>
        <v>-949.10569200000009</v>
      </c>
    </row>
    <row r="14" spans="2:19" ht="17.399999999999999" x14ac:dyDescent="0.4">
      <c r="B14" s="27"/>
      <c r="C14" s="46" t="s">
        <v>76</v>
      </c>
      <c r="D14" s="96">
        <f>EnergyBalance!D14*EnergyBalance!$M$5</f>
        <v>-11471.20398</v>
      </c>
      <c r="E14" s="96">
        <f>EnergyBalance!E14*EnergyBalance!$M$5</f>
        <v>-1219.0286880000001</v>
      </c>
      <c r="F14" s="96">
        <f>EnergyBalance!F14*EnergyBalance!$M$5</f>
        <v>-949.10569200000009</v>
      </c>
      <c r="G14" s="96">
        <f>EnergyBalance!G14*EnergyBalance!$M$5</f>
        <v>-507.06334800000002</v>
      </c>
      <c r="H14" s="96">
        <f>EnergyBalance!H14*EnergyBalance!$M$5</f>
        <v>-1082.957688</v>
      </c>
      <c r="I14" s="96">
        <f>EnergyBalance!I14*EnergyBalance!$M$5</f>
        <v>0</v>
      </c>
      <c r="J14" s="96">
        <f>EnergyBalance!J14*EnergyBalance!$M$5</f>
        <v>0</v>
      </c>
      <c r="K14" s="96">
        <f>EnergyBalance!K14*EnergyBalance!$M$5</f>
        <v>4505.2480080000005</v>
      </c>
      <c r="L14" s="96">
        <f>EnergyBalance!L14*EnergyBalance!$M$5</f>
        <v>-10724.111388000001</v>
      </c>
    </row>
    <row r="15" spans="2:19" x14ac:dyDescent="0.25">
      <c r="B15" s="27"/>
      <c r="C15" s="78" t="s">
        <v>77</v>
      </c>
      <c r="D15" s="97"/>
      <c r="E15" s="97"/>
      <c r="F15" s="97"/>
      <c r="G15" s="97"/>
      <c r="H15" s="97"/>
      <c r="I15" s="97"/>
      <c r="J15" s="97"/>
      <c r="K15" s="97"/>
      <c r="L15" s="98"/>
    </row>
    <row r="16" spans="2:19" ht="17.399999999999999" x14ac:dyDescent="0.4">
      <c r="B16" s="33" t="s">
        <v>78</v>
      </c>
      <c r="C16" s="52" t="s">
        <v>79</v>
      </c>
      <c r="D16" s="96">
        <f>EnergyBalance!D16*EnergyBalance!$M$5</f>
        <v>0</v>
      </c>
      <c r="E16" s="96">
        <f>EnergyBalance!E16*EnergyBalance!$M$5</f>
        <v>0</v>
      </c>
      <c r="F16" s="96">
        <f>EnergyBalance!F16*EnergyBalance!$M$5</f>
        <v>1181.8499040000002</v>
      </c>
      <c r="G16" s="96">
        <f>EnergyBalance!G16*EnergyBalance!$M$5</f>
        <v>0</v>
      </c>
      <c r="H16" s="96">
        <f>EnergyBalance!H16*EnergyBalance!$M$5</f>
        <v>0</v>
      </c>
      <c r="I16" s="96">
        <f>EnergyBalance!I16*EnergyBalance!$M$5</f>
        <v>0</v>
      </c>
      <c r="J16" s="96">
        <f>EnergyBalance!J16*EnergyBalance!$M$5</f>
        <v>0</v>
      </c>
      <c r="K16" s="96">
        <f>EnergyBalance!K16*EnergyBalance!$M$5</f>
        <v>1111.679136</v>
      </c>
      <c r="L16" s="96">
        <f>EnergyBalance!L16*EnergyBalance!$M$5</f>
        <v>2293.5290400000004</v>
      </c>
    </row>
    <row r="17" spans="2:13" ht="17.399999999999999" x14ac:dyDescent="0.4">
      <c r="B17" s="33" t="s">
        <v>80</v>
      </c>
      <c r="C17" s="53" t="s">
        <v>81</v>
      </c>
      <c r="D17" s="96">
        <f>EnergyBalance!D17*EnergyBalance!$M$5</f>
        <v>0</v>
      </c>
      <c r="E17" s="96">
        <f>EnergyBalance!E17*EnergyBalance!$M$5</f>
        <v>0</v>
      </c>
      <c r="F17" s="96">
        <f>EnergyBalance!F17*EnergyBalance!$M$5</f>
        <v>3.6006480000000001</v>
      </c>
      <c r="G17" s="96">
        <f>EnergyBalance!G17*EnergyBalance!$M$5</f>
        <v>0</v>
      </c>
      <c r="H17" s="96">
        <f>EnergyBalance!H17*EnergyBalance!$M$5</f>
        <v>0</v>
      </c>
      <c r="I17" s="96">
        <f>EnergyBalance!I17*EnergyBalance!$M$5</f>
        <v>0</v>
      </c>
      <c r="J17" s="96">
        <f>EnergyBalance!J17*EnergyBalance!$M$5</f>
        <v>0</v>
      </c>
      <c r="K17" s="96">
        <f>EnergyBalance!K17*EnergyBalance!$M$5</f>
        <v>381.83616000000001</v>
      </c>
      <c r="L17" s="96">
        <f>EnergyBalance!L17*EnergyBalance!$M$5</f>
        <v>385.43680800000004</v>
      </c>
    </row>
    <row r="18" spans="2:13" ht="17.399999999999999" x14ac:dyDescent="0.4">
      <c r="B18" s="33" t="s">
        <v>82</v>
      </c>
      <c r="C18" s="53" t="s">
        <v>83</v>
      </c>
      <c r="D18" s="96">
        <f>EnergyBalance!D18*EnergyBalance!$M$5</f>
        <v>7479.9694080000008</v>
      </c>
      <c r="E18" s="96">
        <f>EnergyBalance!E18*EnergyBalance!$M$5</f>
        <v>26.962992</v>
      </c>
      <c r="F18" s="96">
        <f>EnergyBalance!F18*EnergyBalance!$M$5</f>
        <v>2149.1681760000001</v>
      </c>
      <c r="G18" s="96">
        <f>EnergyBalance!G18*EnergyBalance!$M$5</f>
        <v>0</v>
      </c>
      <c r="H18" s="96">
        <f>EnergyBalance!H18*EnergyBalance!$M$5</f>
        <v>0</v>
      </c>
      <c r="I18" s="96">
        <f>EnergyBalance!I18*EnergyBalance!$M$5</f>
        <v>0</v>
      </c>
      <c r="J18" s="96">
        <f>EnergyBalance!J18*EnergyBalance!$M$5</f>
        <v>0</v>
      </c>
      <c r="K18" s="96">
        <f>EnergyBalance!K18*EnergyBalance!$M$5</f>
        <v>1918.475496</v>
      </c>
      <c r="L18" s="96">
        <f>EnergyBalance!L18*EnergyBalance!$M$5</f>
        <v>11574.576072</v>
      </c>
    </row>
    <row r="19" spans="2:13" ht="17.399999999999999" x14ac:dyDescent="0.4">
      <c r="B19" s="33" t="s">
        <v>84</v>
      </c>
      <c r="C19" s="53" t="s">
        <v>85</v>
      </c>
      <c r="D19" s="96">
        <f>EnergyBalance!D19*EnergyBalance!$M$5</f>
        <v>0</v>
      </c>
      <c r="E19" s="96">
        <f>EnergyBalance!E19*EnergyBalance!$M$5</f>
        <v>7.7037120000000003</v>
      </c>
      <c r="F19" s="96">
        <f>EnergyBalance!F19*EnergyBalance!$M$5</f>
        <v>31.442868000000001</v>
      </c>
      <c r="G19" s="96">
        <f>EnergyBalance!G19*EnergyBalance!$M$5</f>
        <v>0</v>
      </c>
      <c r="H19" s="96">
        <f>EnergyBalance!H19*EnergyBalance!$M$5</f>
        <v>0</v>
      </c>
      <c r="I19" s="96">
        <f>EnergyBalance!I19*EnergyBalance!$M$5</f>
        <v>4.1868000000000006E-5</v>
      </c>
      <c r="J19" s="96">
        <f>EnergyBalance!J19*EnergyBalance!$M$5</f>
        <v>0</v>
      </c>
      <c r="K19" s="96">
        <f>EnergyBalance!K19*EnergyBalance!$M$5</f>
        <v>760.78342800000007</v>
      </c>
      <c r="L19" s="96">
        <f>EnergyBalance!L19*EnergyBalance!$M$5</f>
        <v>799.93004986800008</v>
      </c>
    </row>
    <row r="20" spans="2:13" ht="17.399999999999999" x14ac:dyDescent="0.4">
      <c r="B20" s="33" t="s">
        <v>86</v>
      </c>
      <c r="C20" s="53" t="s">
        <v>87</v>
      </c>
      <c r="D20" s="96">
        <f>EnergyBalance!D20*EnergyBalance!$M$5</f>
        <v>0</v>
      </c>
      <c r="E20" s="96">
        <f>EnergyBalance!E20*EnergyBalance!$M$5</f>
        <v>439.36279200000001</v>
      </c>
      <c r="F20" s="96">
        <f>EnergyBalance!F20*EnergyBalance!$M$5</f>
        <v>2001.5416080000002</v>
      </c>
      <c r="G20" s="96">
        <f>EnergyBalance!G20*EnergyBalance!$M$5</f>
        <v>0</v>
      </c>
      <c r="H20" s="96">
        <f>EnergyBalance!H20*EnergyBalance!$M$5</f>
        <v>0</v>
      </c>
      <c r="I20" s="96">
        <f>EnergyBalance!I20*EnergyBalance!$M$5</f>
        <v>0</v>
      </c>
      <c r="J20" s="96">
        <f>EnergyBalance!J20*EnergyBalance!$M$5</f>
        <v>0</v>
      </c>
      <c r="K20" s="96">
        <f>EnergyBalance!K20*EnergyBalance!$M$5</f>
        <v>68.956596000000005</v>
      </c>
      <c r="L20" s="96">
        <f>EnergyBalance!L20*EnergyBalance!$M$5</f>
        <v>2509.8609960000003</v>
      </c>
    </row>
    <row r="21" spans="2:13" ht="17.399999999999999" x14ac:dyDescent="0.4">
      <c r="B21" s="33" t="s">
        <v>88</v>
      </c>
      <c r="C21" s="54" t="s">
        <v>89</v>
      </c>
      <c r="D21" s="96">
        <f>EnergyBalance!D21*EnergyBalance!$M$5</f>
        <v>0</v>
      </c>
      <c r="E21" s="96">
        <f>EnergyBalance!E21*EnergyBalance!$M$5</f>
        <v>33.033852000000003</v>
      </c>
      <c r="F21" s="96">
        <f>EnergyBalance!F21*EnergyBalance!$M$5</f>
        <v>3705.4436040000001</v>
      </c>
      <c r="G21" s="96">
        <f>EnergyBalance!G21*EnergyBalance!$M$5</f>
        <v>0</v>
      </c>
      <c r="H21" s="96">
        <f>EnergyBalance!H21*EnergyBalance!$M$5</f>
        <v>0</v>
      </c>
      <c r="I21" s="96">
        <f>EnergyBalance!I21*EnergyBalance!$M$5</f>
        <v>2.51208E-4</v>
      </c>
      <c r="J21" s="96">
        <f>EnergyBalance!J21*EnergyBalance!$M$5</f>
        <v>1.0048319999999998E-3</v>
      </c>
      <c r="K21" s="96">
        <f>EnergyBalance!K21*EnergyBalance!$M$5</f>
        <v>252.17096400000003</v>
      </c>
      <c r="L21" s="96">
        <f>EnergyBalance!L21*EnergyBalance!$M$5</f>
        <v>3990.64967604</v>
      </c>
    </row>
    <row r="22" spans="2:13" ht="17.399999999999999" x14ac:dyDescent="0.4">
      <c r="B22" s="33" t="s">
        <v>104</v>
      </c>
      <c r="C22" s="53" t="s">
        <v>90</v>
      </c>
      <c r="D22" s="96">
        <f>EnergyBalance!D22*EnergyBalance!$M$5</f>
        <v>0</v>
      </c>
      <c r="E22" s="96">
        <f>EnergyBalance!E22*EnergyBalance!$M$5</f>
        <v>779.95897200000002</v>
      </c>
      <c r="F22" s="96">
        <f>EnergyBalance!F22*EnergyBalance!$M$5</f>
        <v>0</v>
      </c>
      <c r="G22" s="96">
        <f>EnergyBalance!G22*EnergyBalance!$M$5</f>
        <v>0</v>
      </c>
      <c r="H22" s="96">
        <f>EnergyBalance!H22*EnergyBalance!$M$5</f>
        <v>0</v>
      </c>
      <c r="I22" s="96">
        <f>EnergyBalance!I22*EnergyBalance!$M$5</f>
        <v>0</v>
      </c>
      <c r="J22" s="96">
        <f>EnergyBalance!J22*EnergyBalance!$M$5</f>
        <v>0</v>
      </c>
      <c r="K22" s="96">
        <f>EnergyBalance!K22*EnergyBalance!$M$5</f>
        <v>0</v>
      </c>
      <c r="L22" s="96">
        <f>EnergyBalance!L22*EnergyBalance!$M$5</f>
        <v>779.95897200000002</v>
      </c>
    </row>
    <row r="23" spans="2:13" ht="17.399999999999999" x14ac:dyDescent="0.4">
      <c r="B23" s="33" t="s">
        <v>105</v>
      </c>
      <c r="C23" s="53" t="s">
        <v>91</v>
      </c>
      <c r="D23" s="96">
        <f>EnergyBalance!D23*EnergyBalance!$M$5</f>
        <v>0</v>
      </c>
      <c r="E23" s="96">
        <f>EnergyBalance!E23*EnergyBalance!$M$5</f>
        <v>0</v>
      </c>
      <c r="F23" s="96">
        <f>EnergyBalance!F23*EnergyBalance!$M$5</f>
        <v>0</v>
      </c>
      <c r="G23" s="96">
        <f>EnergyBalance!G23*EnergyBalance!$M$5</f>
        <v>0</v>
      </c>
      <c r="H23" s="96">
        <f>EnergyBalance!H23*EnergyBalance!$M$5</f>
        <v>0</v>
      </c>
      <c r="I23" s="96">
        <f>EnergyBalance!I23*EnergyBalance!$M$5</f>
        <v>0</v>
      </c>
      <c r="J23" s="96">
        <f>EnergyBalance!J23*EnergyBalance!$M$5</f>
        <v>0</v>
      </c>
      <c r="K23" s="96">
        <f>EnergyBalance!K23*EnergyBalance!$M$5</f>
        <v>0</v>
      </c>
      <c r="L23" s="96">
        <f>EnergyBalance!L23*EnergyBalance!$M$5</f>
        <v>0</v>
      </c>
    </row>
    <row r="24" spans="2:13" ht="17.399999999999999" x14ac:dyDescent="0.4">
      <c r="B24" s="72" t="s">
        <v>107</v>
      </c>
      <c r="C24" s="46" t="s">
        <v>146</v>
      </c>
      <c r="D24" s="96">
        <f>EnergyBalance!D24*EnergyBalance!$M$5</f>
        <v>7479.9694080000008</v>
      </c>
      <c r="E24" s="96">
        <f>EnergyBalance!E24*EnergyBalance!$M$5</f>
        <v>1287.02232</v>
      </c>
      <c r="F24" s="96">
        <f>EnergyBalance!F24*EnergyBalance!$M$5</f>
        <v>9073.046808000001</v>
      </c>
      <c r="G24" s="96">
        <f>EnergyBalance!G24*EnergyBalance!$M$5</f>
        <v>0</v>
      </c>
      <c r="H24" s="96">
        <f>EnergyBalance!H24*EnergyBalance!$M$5</f>
        <v>0</v>
      </c>
      <c r="I24" s="96">
        <f>EnergyBalance!I24*EnergyBalance!$M$5</f>
        <v>2.9307600000000002E-4</v>
      </c>
      <c r="J24" s="96">
        <f>EnergyBalance!J24*EnergyBalance!$M$5</f>
        <v>1.0048319999999998E-3</v>
      </c>
      <c r="K24" s="96">
        <f>EnergyBalance!K24*EnergyBalance!$M$5</f>
        <v>4493.9017800000001</v>
      </c>
      <c r="L24" s="96">
        <f>EnergyBalance!L24*EnergyBalance!$M$5</f>
        <v>22333.941613907999</v>
      </c>
    </row>
    <row r="25" spans="2:13" x14ac:dyDescent="0.25">
      <c r="D25" s="7"/>
      <c r="F25" s="7"/>
      <c r="G25" s="7"/>
      <c r="H25" s="7"/>
      <c r="I25" s="7"/>
      <c r="J25" s="7"/>
      <c r="K25" s="7"/>
      <c r="L25" s="7"/>
    </row>
    <row r="26" spans="2:13" x14ac:dyDescent="0.25">
      <c r="D26" s="7"/>
      <c r="F26" s="7"/>
      <c r="G26" s="7"/>
      <c r="H26" s="7"/>
      <c r="I26" s="7"/>
      <c r="J26" s="7"/>
      <c r="K26" s="7"/>
      <c r="L26" s="7"/>
      <c r="M26" s="7"/>
    </row>
    <row r="27" spans="2:13" ht="17.399999999999999" x14ac:dyDescent="0.4">
      <c r="C27" s="42" t="s">
        <v>122</v>
      </c>
      <c r="D27" s="42"/>
      <c r="E27" s="42"/>
      <c r="F27" s="7"/>
      <c r="G27" s="7"/>
      <c r="H27" s="7"/>
      <c r="I27" s="7"/>
      <c r="J27" s="7"/>
      <c r="K27" s="7"/>
      <c r="L27" s="7"/>
      <c r="M27" s="7"/>
    </row>
    <row r="28" spans="2:13" x14ac:dyDescent="0.25">
      <c r="D28" s="7"/>
      <c r="F28" s="7"/>
      <c r="G28" s="7"/>
      <c r="H28" s="7"/>
      <c r="I28" s="7"/>
      <c r="J28" s="7"/>
      <c r="K28" s="7"/>
      <c r="L28" s="7"/>
      <c r="M28" s="7"/>
    </row>
    <row r="29" spans="2:13" x14ac:dyDescent="0.25">
      <c r="D29" s="7"/>
      <c r="F29" s="7"/>
      <c r="G29" s="7"/>
      <c r="H29" s="7"/>
      <c r="I29" s="7"/>
      <c r="J29" s="7"/>
      <c r="K29" s="7"/>
      <c r="L29" s="7"/>
      <c r="M29" s="7"/>
    </row>
    <row r="30" spans="2:13" x14ac:dyDescent="0.25">
      <c r="D30" s="7"/>
      <c r="F30" s="7"/>
      <c r="G30" s="7"/>
      <c r="H30" s="7"/>
      <c r="I30" s="7"/>
      <c r="J30" s="7"/>
      <c r="K30" s="7"/>
      <c r="L30" s="7"/>
      <c r="M30" s="7"/>
    </row>
    <row r="31" spans="2:13" x14ac:dyDescent="0.25">
      <c r="D31" s="7"/>
      <c r="F31" s="7"/>
      <c r="G31" s="7"/>
      <c r="H31" s="7"/>
      <c r="I31" s="7"/>
      <c r="J31" s="7"/>
      <c r="K31" s="7"/>
      <c r="L31" s="7"/>
      <c r="M31" s="7"/>
    </row>
    <row r="32" spans="2:13" x14ac:dyDescent="0.25">
      <c r="D32" s="7"/>
      <c r="F32" s="7"/>
      <c r="G32" s="7"/>
      <c r="H32" s="7"/>
      <c r="I32" s="7"/>
      <c r="J32" s="7"/>
      <c r="K32" s="7"/>
      <c r="L32" s="7"/>
      <c r="M32" s="7"/>
    </row>
    <row r="33" spans="3:13" x14ac:dyDescent="0.25">
      <c r="D33" s="7"/>
      <c r="F33" s="7"/>
      <c r="G33" s="7"/>
      <c r="H33" s="7"/>
      <c r="I33" s="7"/>
      <c r="J33" s="7"/>
      <c r="K33" s="7"/>
      <c r="L33" s="7"/>
      <c r="M33" s="7"/>
    </row>
    <row r="34" spans="3:13" x14ac:dyDescent="0.25">
      <c r="D34" s="7"/>
      <c r="F34" s="7"/>
      <c r="G34" s="7"/>
      <c r="H34" s="7"/>
      <c r="I34" s="7"/>
      <c r="J34" s="7"/>
      <c r="K34" s="7"/>
      <c r="L34" s="7"/>
      <c r="M34" s="7"/>
    </row>
    <row r="35" spans="3:13" x14ac:dyDescent="0.25">
      <c r="D35" s="7"/>
      <c r="F35" s="7"/>
      <c r="G35" s="7"/>
      <c r="H35" s="7"/>
      <c r="I35" s="7"/>
      <c r="J35" s="7"/>
      <c r="K35" s="7"/>
      <c r="L35" s="7"/>
      <c r="M35" s="7"/>
    </row>
    <row r="36" spans="3:13" x14ac:dyDescent="0.25">
      <c r="D36" s="16" t="s">
        <v>46</v>
      </c>
      <c r="F36" s="7"/>
      <c r="G36" s="1"/>
      <c r="H36" s="1"/>
      <c r="I36" s="1"/>
      <c r="J36" s="1"/>
      <c r="K36" s="1"/>
      <c r="L36" s="1"/>
      <c r="M36" s="1"/>
    </row>
    <row r="37" spans="3:13" x14ac:dyDescent="0.25">
      <c r="C37" s="17" t="s">
        <v>116</v>
      </c>
      <c r="D37" s="18">
        <v>0.75</v>
      </c>
      <c r="F37" s="7"/>
      <c r="G37" s="21"/>
      <c r="H37" s="21"/>
      <c r="I37" s="21"/>
      <c r="J37" s="21"/>
      <c r="K37" s="21"/>
      <c r="L37" s="21"/>
      <c r="M37" s="21"/>
    </row>
    <row r="38" spans="3:13" x14ac:dyDescent="0.25">
      <c r="C38" s="19" t="s">
        <v>117</v>
      </c>
      <c r="D38" s="20">
        <v>0.25</v>
      </c>
      <c r="F38" s="7"/>
      <c r="G38" s="21"/>
      <c r="H38" s="21"/>
      <c r="I38" s="21"/>
      <c r="J38" s="21"/>
      <c r="K38" s="21"/>
      <c r="L38" s="21"/>
      <c r="M38" s="21"/>
    </row>
    <row r="39" spans="3:13" x14ac:dyDescent="0.25">
      <c r="C39" s="1"/>
      <c r="D39" s="21"/>
      <c r="F39" s="7"/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opLeftCell="A3" zoomScale="85" zoomScaleNormal="85" workbookViewId="0">
      <selection activeCell="M6" sqref="M6"/>
    </sheetView>
  </sheetViews>
  <sheetFormatPr defaultRowHeight="13.2" x14ac:dyDescent="0.25"/>
  <cols>
    <col min="1" max="1" width="3" bestFit="1" customWidth="1"/>
    <col min="2" max="2" width="5.44140625" bestFit="1" customWidth="1"/>
    <col min="3" max="3" width="40.21875" bestFit="1" customWidth="1"/>
    <col min="4" max="5" width="13.21875" customWidth="1"/>
    <col min="6" max="6" width="15.44140625" customWidth="1"/>
    <col min="7" max="11" width="13.21875" customWidth="1"/>
    <col min="12" max="12" width="10.5546875" customWidth="1"/>
    <col min="13" max="13" width="10.77734375" customWidth="1"/>
    <col min="14" max="14" width="15.5546875" bestFit="1" customWidth="1"/>
    <col min="15" max="15" width="2" bestFit="1" customWidth="1"/>
    <col min="16" max="16" width="12.21875" bestFit="1" customWidth="1"/>
    <col min="18" max="18" width="6.77734375" bestFit="1" customWidth="1"/>
    <col min="19" max="19" width="9.21875" bestFit="1" customWidth="1"/>
    <col min="20" max="20" width="2" bestFit="1" customWidth="1"/>
  </cols>
  <sheetData>
    <row r="1" spans="2:19" x14ac:dyDescent="0.25">
      <c r="P1" s="15" t="s">
        <v>111</v>
      </c>
      <c r="Q1" s="1" t="s">
        <v>112</v>
      </c>
      <c r="R1" s="1" t="s">
        <v>113</v>
      </c>
      <c r="S1" s="1" t="s">
        <v>114</v>
      </c>
    </row>
    <row r="2" spans="2:19" ht="19.2" x14ac:dyDescent="0.45">
      <c r="D2" s="31" t="s">
        <v>46</v>
      </c>
      <c r="E2" s="31" t="s">
        <v>47</v>
      </c>
      <c r="F2" s="31" t="s">
        <v>48</v>
      </c>
      <c r="G2" s="31" t="s">
        <v>49</v>
      </c>
      <c r="H2" s="31" t="s">
        <v>50</v>
      </c>
      <c r="I2" s="31" t="s">
        <v>51</v>
      </c>
      <c r="J2" s="31" t="s">
        <v>52</v>
      </c>
      <c r="K2" s="31" t="s">
        <v>53</v>
      </c>
      <c r="L2" s="23"/>
      <c r="Q2" s="28" t="s">
        <v>121</v>
      </c>
      <c r="R2" s="9" t="s">
        <v>96</v>
      </c>
      <c r="S2" s="9" t="s">
        <v>115</v>
      </c>
    </row>
    <row r="3" spans="2:19" ht="26.4" x14ac:dyDescent="0.25">
      <c r="C3" s="6"/>
      <c r="D3" s="32" t="s">
        <v>54</v>
      </c>
      <c r="E3" s="32" t="s">
        <v>55</v>
      </c>
      <c r="F3" s="32" t="s">
        <v>152</v>
      </c>
      <c r="G3" s="32" t="s">
        <v>56</v>
      </c>
      <c r="H3" s="32" t="s">
        <v>57</v>
      </c>
      <c r="I3" s="32" t="s">
        <v>58</v>
      </c>
      <c r="J3" s="32" t="s">
        <v>59</v>
      </c>
      <c r="K3" s="32" t="s">
        <v>106</v>
      </c>
      <c r="L3" s="26" t="s">
        <v>60</v>
      </c>
    </row>
    <row r="4" spans="2:19" x14ac:dyDescent="0.25">
      <c r="C4" s="76" t="s">
        <v>61</v>
      </c>
      <c r="E4" s="73"/>
      <c r="F4" s="73"/>
      <c r="G4" s="6"/>
      <c r="H4" s="6"/>
      <c r="I4" s="6"/>
      <c r="J4" s="6"/>
      <c r="K4" s="6"/>
      <c r="L4" s="6"/>
    </row>
    <row r="5" spans="2:19" ht="17.399999999999999" x14ac:dyDescent="0.4">
      <c r="B5" s="33" t="s">
        <v>62</v>
      </c>
      <c r="C5" s="77" t="s">
        <v>63</v>
      </c>
      <c r="D5" s="74">
        <v>322411</v>
      </c>
      <c r="E5" s="29">
        <v>28685</v>
      </c>
      <c r="F5" s="29">
        <v>32877</v>
      </c>
      <c r="G5" s="29">
        <v>12111</v>
      </c>
      <c r="H5" s="29">
        <v>25866</v>
      </c>
      <c r="I5" s="29">
        <v>0</v>
      </c>
      <c r="J5" s="29">
        <v>0</v>
      </c>
      <c r="K5" s="29">
        <v>0</v>
      </c>
      <c r="L5" s="30">
        <f>SUM(D5:K5)</f>
        <v>421950</v>
      </c>
      <c r="M5" s="95">
        <v>4.1868000000000002E-2</v>
      </c>
      <c r="P5" s="7"/>
    </row>
    <row r="6" spans="2:19" ht="17.399999999999999" x14ac:dyDescent="0.4">
      <c r="B6" s="33" t="s">
        <v>64</v>
      </c>
      <c r="C6" s="77" t="s">
        <v>65</v>
      </c>
      <c r="D6" s="42">
        <v>130997</v>
      </c>
      <c r="E6" s="29">
        <v>31171</v>
      </c>
      <c r="F6" s="29">
        <v>274994</v>
      </c>
      <c r="G6" s="29">
        <v>0</v>
      </c>
      <c r="H6" s="29">
        <v>0</v>
      </c>
      <c r="I6" s="29">
        <v>7.0000000000000001E-3</v>
      </c>
      <c r="J6" s="29">
        <v>0.153</v>
      </c>
      <c r="K6" s="29">
        <v>546</v>
      </c>
      <c r="L6" s="30">
        <f>SUM(D6:K6)</f>
        <v>437708.16</v>
      </c>
    </row>
    <row r="7" spans="2:19" ht="17.399999999999999" x14ac:dyDescent="0.4">
      <c r="B7" s="33" t="s">
        <v>66</v>
      </c>
      <c r="C7" s="77" t="s">
        <v>67</v>
      </c>
      <c r="D7" s="42">
        <v>-715</v>
      </c>
      <c r="E7" s="29">
        <v>0</v>
      </c>
      <c r="F7" s="29">
        <v>-68496</v>
      </c>
      <c r="G7" s="29">
        <v>0</v>
      </c>
      <c r="H7" s="29">
        <v>0</v>
      </c>
      <c r="I7" s="29">
        <v>0</v>
      </c>
      <c r="J7" s="29">
        <v>-0.129</v>
      </c>
      <c r="K7" s="29">
        <v>-816</v>
      </c>
      <c r="L7" s="30">
        <f>SUM(D7:K7)</f>
        <v>-70027.129000000001</v>
      </c>
      <c r="P7" s="7"/>
    </row>
    <row r="8" spans="2:19" ht="17.399999999999999" x14ac:dyDescent="0.4">
      <c r="B8" s="72" t="s">
        <v>144</v>
      </c>
      <c r="C8" s="46" t="s">
        <v>145</v>
      </c>
      <c r="D8" s="44">
        <f>SUM(D5:D7)</f>
        <v>452693</v>
      </c>
      <c r="E8" s="48">
        <f>SUM(E5:E7)</f>
        <v>59856</v>
      </c>
      <c r="F8" s="48">
        <v>239375</v>
      </c>
      <c r="G8" s="48">
        <f t="shared" ref="G8:L8" si="0">SUM(G5:G7)</f>
        <v>12111</v>
      </c>
      <c r="H8" s="48">
        <f t="shared" si="0"/>
        <v>25866</v>
      </c>
      <c r="I8" s="48">
        <f t="shared" si="0"/>
        <v>7.0000000000000001E-3</v>
      </c>
      <c r="J8" s="48">
        <f t="shared" si="0"/>
        <v>2.3999999999999994E-2</v>
      </c>
      <c r="K8" s="48">
        <f t="shared" si="0"/>
        <v>-270</v>
      </c>
      <c r="L8" s="49">
        <f t="shared" si="0"/>
        <v>789631.03099999996</v>
      </c>
    </row>
    <row r="9" spans="2:19" x14ac:dyDescent="0.25">
      <c r="B9" s="27"/>
      <c r="C9" s="78" t="s">
        <v>68</v>
      </c>
      <c r="D9" s="6"/>
      <c r="E9" s="6"/>
      <c r="F9" s="6"/>
      <c r="G9" s="6"/>
      <c r="H9" s="6"/>
      <c r="I9" s="6"/>
      <c r="J9" s="6"/>
      <c r="K9" s="6"/>
      <c r="L9" s="47"/>
    </row>
    <row r="10" spans="2:19" x14ac:dyDescent="0.25">
      <c r="B10" s="33" t="s">
        <v>69</v>
      </c>
      <c r="C10" s="50" t="s">
        <v>70</v>
      </c>
      <c r="D10" s="34">
        <v>0</v>
      </c>
      <c r="E10" s="34">
        <v>-18862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-7164</v>
      </c>
      <c r="L10" s="35">
        <f>SUM(D10:K10)</f>
        <v>-26026</v>
      </c>
    </row>
    <row r="11" spans="2:19" x14ac:dyDescent="0.25">
      <c r="B11" s="33" t="s">
        <v>53</v>
      </c>
      <c r="C11" s="51" t="s">
        <v>71</v>
      </c>
      <c r="D11" s="34">
        <v>-273985</v>
      </c>
      <c r="E11" s="34">
        <v>-10254</v>
      </c>
      <c r="F11" s="34">
        <v>0</v>
      </c>
      <c r="G11" s="34">
        <v>-12111</v>
      </c>
      <c r="H11" s="34">
        <v>-25866</v>
      </c>
      <c r="I11" s="34">
        <v>0</v>
      </c>
      <c r="J11" s="34">
        <v>0</v>
      </c>
      <c r="K11" s="34">
        <v>114770</v>
      </c>
      <c r="L11" s="35">
        <f>SUM(D11:K11)</f>
        <v>-207446</v>
      </c>
    </row>
    <row r="12" spans="2:19" x14ac:dyDescent="0.25">
      <c r="B12" s="33" t="s">
        <v>72</v>
      </c>
      <c r="C12" s="51" t="s">
        <v>73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5">
        <f>SUM(D12:K12)</f>
        <v>0</v>
      </c>
    </row>
    <row r="13" spans="2:19" x14ac:dyDescent="0.25">
      <c r="B13" s="33" t="s">
        <v>74</v>
      </c>
      <c r="C13" s="51" t="s">
        <v>75</v>
      </c>
      <c r="D13" s="34"/>
      <c r="E13" s="34"/>
      <c r="F13" s="34">
        <v>-22669</v>
      </c>
      <c r="G13" s="34"/>
      <c r="H13" s="34"/>
      <c r="I13" s="34"/>
      <c r="J13" s="34"/>
      <c r="K13" s="34"/>
      <c r="L13" s="35">
        <f>SUM(D13:K13)</f>
        <v>-22669</v>
      </c>
    </row>
    <row r="14" spans="2:19" ht="17.399999999999999" x14ac:dyDescent="0.4">
      <c r="B14" s="27"/>
      <c r="C14" s="46" t="s">
        <v>76</v>
      </c>
      <c r="D14" s="75">
        <f>SUM(D10:D13)</f>
        <v>-273985</v>
      </c>
      <c r="E14" s="48">
        <f t="shared" ref="E14:J14" si="1">SUM(E10:E13)</f>
        <v>-29116</v>
      </c>
      <c r="F14" s="48">
        <f>SUM(F10:F13)</f>
        <v>-22669</v>
      </c>
      <c r="G14" s="48">
        <f t="shared" si="1"/>
        <v>-12111</v>
      </c>
      <c r="H14" s="48">
        <f t="shared" si="1"/>
        <v>-25866</v>
      </c>
      <c r="I14" s="48">
        <f t="shared" si="1"/>
        <v>0</v>
      </c>
      <c r="J14" s="48">
        <f t="shared" si="1"/>
        <v>0</v>
      </c>
      <c r="K14" s="48">
        <f>SUM(K10:K13)</f>
        <v>107606</v>
      </c>
      <c r="L14" s="49">
        <f>SUM(L10:L13)</f>
        <v>-256141</v>
      </c>
    </row>
    <row r="15" spans="2:19" x14ac:dyDescent="0.25">
      <c r="B15" s="27"/>
      <c r="C15" s="78" t="s">
        <v>77</v>
      </c>
      <c r="D15" s="6"/>
      <c r="E15" s="6"/>
      <c r="F15" s="6"/>
      <c r="G15" s="6"/>
      <c r="H15" s="6"/>
      <c r="I15" s="6"/>
      <c r="J15" s="6"/>
      <c r="K15" s="6"/>
      <c r="L15" s="47"/>
    </row>
    <row r="16" spans="2:19" x14ac:dyDescent="0.25">
      <c r="B16" s="33" t="s">
        <v>78</v>
      </c>
      <c r="C16" s="52" t="s">
        <v>79</v>
      </c>
      <c r="D16" s="37">
        <v>0</v>
      </c>
      <c r="E16" s="37">
        <v>0</v>
      </c>
      <c r="F16" s="37">
        <v>28228</v>
      </c>
      <c r="G16" s="37">
        <v>0</v>
      </c>
      <c r="H16" s="37">
        <v>0</v>
      </c>
      <c r="I16" s="37">
        <v>0</v>
      </c>
      <c r="J16" s="37">
        <v>0</v>
      </c>
      <c r="K16" s="37">
        <v>26552</v>
      </c>
      <c r="L16" s="40">
        <f t="shared" ref="L16:L23" si="2">SUM(D16:K16)</f>
        <v>54780</v>
      </c>
    </row>
    <row r="17" spans="2:13" x14ac:dyDescent="0.25">
      <c r="B17" s="33" t="s">
        <v>80</v>
      </c>
      <c r="C17" s="53" t="s">
        <v>81</v>
      </c>
      <c r="D17" s="37">
        <v>0</v>
      </c>
      <c r="E17" s="37">
        <v>0</v>
      </c>
      <c r="F17" s="37">
        <v>86</v>
      </c>
      <c r="G17" s="37">
        <v>0</v>
      </c>
      <c r="H17" s="37">
        <v>0</v>
      </c>
      <c r="I17" s="37">
        <v>0</v>
      </c>
      <c r="J17" s="37">
        <v>0</v>
      </c>
      <c r="K17" s="37">
        <v>9120</v>
      </c>
      <c r="L17" s="40">
        <f t="shared" si="2"/>
        <v>9206</v>
      </c>
    </row>
    <row r="18" spans="2:13" x14ac:dyDescent="0.25">
      <c r="B18" s="33" t="s">
        <v>82</v>
      </c>
      <c r="C18" s="53" t="s">
        <v>83</v>
      </c>
      <c r="D18" s="37">
        <v>178656</v>
      </c>
      <c r="E18" s="37">
        <v>644</v>
      </c>
      <c r="F18" s="37">
        <v>51332</v>
      </c>
      <c r="G18" s="37">
        <v>0</v>
      </c>
      <c r="H18" s="37">
        <v>0</v>
      </c>
      <c r="I18" s="37">
        <v>0</v>
      </c>
      <c r="J18" s="37">
        <v>0</v>
      </c>
      <c r="K18" s="37">
        <v>45822</v>
      </c>
      <c r="L18" s="40">
        <f t="shared" si="2"/>
        <v>276454</v>
      </c>
    </row>
    <row r="19" spans="2:13" x14ac:dyDescent="0.25">
      <c r="B19" s="33" t="s">
        <v>84</v>
      </c>
      <c r="C19" s="53" t="s">
        <v>85</v>
      </c>
      <c r="D19" s="37">
        <v>0</v>
      </c>
      <c r="E19" s="37">
        <v>184</v>
      </c>
      <c r="F19" s="37">
        <v>751</v>
      </c>
      <c r="G19" s="37">
        <v>0</v>
      </c>
      <c r="H19" s="37">
        <v>0</v>
      </c>
      <c r="I19" s="37">
        <v>1E-3</v>
      </c>
      <c r="J19" s="37">
        <v>0</v>
      </c>
      <c r="K19" s="37">
        <v>18171</v>
      </c>
      <c r="L19" s="40">
        <f t="shared" si="2"/>
        <v>19106.001</v>
      </c>
    </row>
    <row r="20" spans="2:13" x14ac:dyDescent="0.25">
      <c r="B20" s="33" t="s">
        <v>86</v>
      </c>
      <c r="C20" s="53" t="s">
        <v>87</v>
      </c>
      <c r="D20" s="37">
        <v>0</v>
      </c>
      <c r="E20" s="37">
        <v>10494</v>
      </c>
      <c r="F20" s="37">
        <v>47806</v>
      </c>
      <c r="G20" s="37">
        <v>0</v>
      </c>
      <c r="H20" s="37">
        <v>0</v>
      </c>
      <c r="I20" s="37">
        <v>0</v>
      </c>
      <c r="J20" s="37">
        <v>0</v>
      </c>
      <c r="K20" s="37">
        <v>1647</v>
      </c>
      <c r="L20" s="40">
        <f t="shared" si="2"/>
        <v>59947</v>
      </c>
    </row>
    <row r="21" spans="2:13" x14ac:dyDescent="0.25">
      <c r="B21" s="33" t="s">
        <v>88</v>
      </c>
      <c r="C21" s="54" t="s">
        <v>89</v>
      </c>
      <c r="D21" s="38">
        <v>0</v>
      </c>
      <c r="E21" s="38">
        <v>789</v>
      </c>
      <c r="F21" s="38">
        <v>88503</v>
      </c>
      <c r="G21" s="38">
        <f>IF((SUM(G16:G20,G22:G23)-SUM(G10:G12))&gt;G8,0,(G8-SUM(G16:G20,G22:G23)+SUM(G10:G12)))</f>
        <v>0</v>
      </c>
      <c r="H21" s="38">
        <f>IF((SUM(H16:H20,H22:H23)-SUM(H10:H12))&gt;H8,0,(H8-SUM(H16:H20,H22:H23)+SUM(H10:H12)))</f>
        <v>0</v>
      </c>
      <c r="I21" s="38">
        <f>IF((SUM(I16:I20,I22:I23)-SUM(I10:I12))&gt;I8,0,(I8-SUM(I16:I20,I22:I23)+SUM(I10:I12)))</f>
        <v>6.0000000000000001E-3</v>
      </c>
      <c r="J21" s="38">
        <f>IF((SUM(J16:J20,J22:J23)-SUM(J10:J12))&gt;J8,0,(J8-SUM(J16:J20,J22:J23)+SUM(J10:J12)))</f>
        <v>2.3999999999999994E-2</v>
      </c>
      <c r="K21" s="38">
        <v>6023</v>
      </c>
      <c r="L21" s="41">
        <f t="shared" si="2"/>
        <v>95315.03</v>
      </c>
    </row>
    <row r="22" spans="2:13" x14ac:dyDescent="0.25">
      <c r="B22" s="33" t="s">
        <v>104</v>
      </c>
      <c r="C22" s="53" t="s">
        <v>90</v>
      </c>
      <c r="D22" s="37">
        <v>0</v>
      </c>
      <c r="E22" s="37">
        <v>18629</v>
      </c>
      <c r="F22" s="37">
        <v>0</v>
      </c>
      <c r="G22" s="39"/>
      <c r="H22" s="37">
        <v>0</v>
      </c>
      <c r="I22" s="37">
        <v>0</v>
      </c>
      <c r="J22" s="37">
        <v>0</v>
      </c>
      <c r="K22" s="37">
        <v>0</v>
      </c>
      <c r="L22" s="40">
        <f t="shared" si="2"/>
        <v>18629</v>
      </c>
    </row>
    <row r="23" spans="2:13" x14ac:dyDescent="0.25">
      <c r="B23" s="33" t="s">
        <v>105</v>
      </c>
      <c r="C23" s="53" t="s">
        <v>91</v>
      </c>
      <c r="D23" s="37">
        <v>0</v>
      </c>
      <c r="E23" s="37">
        <v>0</v>
      </c>
      <c r="F23" s="37">
        <v>0</v>
      </c>
      <c r="G23" s="39"/>
      <c r="H23" s="37">
        <v>0</v>
      </c>
      <c r="I23" s="37">
        <v>0</v>
      </c>
      <c r="J23" s="37">
        <v>0</v>
      </c>
      <c r="K23" s="37">
        <v>0</v>
      </c>
      <c r="L23" s="40">
        <f t="shared" si="2"/>
        <v>0</v>
      </c>
    </row>
    <row r="24" spans="2:13" ht="17.399999999999999" x14ac:dyDescent="0.4">
      <c r="B24" s="72" t="s">
        <v>107</v>
      </c>
      <c r="C24" s="46" t="s">
        <v>146</v>
      </c>
      <c r="D24" s="43">
        <f t="shared" ref="D24:L24" si="3">SUM(D16:D23)</f>
        <v>178656</v>
      </c>
      <c r="E24" s="43">
        <f t="shared" si="3"/>
        <v>30740</v>
      </c>
      <c r="F24" s="43">
        <f t="shared" si="3"/>
        <v>216706</v>
      </c>
      <c r="G24" s="43">
        <f t="shared" si="3"/>
        <v>0</v>
      </c>
      <c r="H24" s="43">
        <f t="shared" si="3"/>
        <v>0</v>
      </c>
      <c r="I24" s="43">
        <f t="shared" si="3"/>
        <v>7.0000000000000001E-3</v>
      </c>
      <c r="J24" s="43">
        <f t="shared" si="3"/>
        <v>2.3999999999999994E-2</v>
      </c>
      <c r="K24" s="43">
        <f>SUM(K16:K23)</f>
        <v>107335</v>
      </c>
      <c r="L24" s="45">
        <f t="shared" si="3"/>
        <v>533437.03099999996</v>
      </c>
    </row>
    <row r="25" spans="2:13" x14ac:dyDescent="0.25">
      <c r="D25" s="7"/>
      <c r="F25" s="7"/>
      <c r="G25" s="7"/>
      <c r="H25" s="7"/>
      <c r="I25" s="7"/>
      <c r="J25" s="7"/>
      <c r="K25" s="7"/>
      <c r="L25" s="7"/>
    </row>
    <row r="26" spans="2:13" x14ac:dyDescent="0.25">
      <c r="D26" s="7"/>
      <c r="F26" s="7"/>
      <c r="G26" s="7"/>
      <c r="H26" s="7"/>
      <c r="I26" s="7"/>
      <c r="J26" s="7"/>
      <c r="K26" s="7"/>
      <c r="L26" s="7"/>
      <c r="M26" s="7"/>
    </row>
    <row r="27" spans="2:13" ht="17.399999999999999" x14ac:dyDescent="0.4">
      <c r="C27" s="42" t="s">
        <v>122</v>
      </c>
      <c r="D27" s="42"/>
      <c r="E27" s="42"/>
      <c r="F27" s="7"/>
      <c r="G27" s="7"/>
      <c r="H27" s="7"/>
      <c r="I27" s="7"/>
      <c r="J27" s="7"/>
      <c r="K27" s="7"/>
      <c r="L27" s="7"/>
      <c r="M27" s="7"/>
    </row>
    <row r="28" spans="2:13" x14ac:dyDescent="0.25">
      <c r="D28" s="7"/>
      <c r="F28" s="7"/>
      <c r="G28" s="7"/>
      <c r="H28" s="7"/>
      <c r="I28" s="7"/>
      <c r="J28" s="7"/>
      <c r="K28" s="7"/>
      <c r="L28" s="7"/>
      <c r="M28" s="7"/>
    </row>
    <row r="29" spans="2:13" x14ac:dyDescent="0.25">
      <c r="D29" s="7"/>
      <c r="F29" s="7"/>
      <c r="G29" s="7"/>
      <c r="H29" s="7"/>
      <c r="I29" s="7"/>
      <c r="J29" s="7"/>
      <c r="K29" s="7"/>
      <c r="L29" s="7"/>
      <c r="M29" s="7"/>
    </row>
    <row r="30" spans="2:13" x14ac:dyDescent="0.25">
      <c r="D30" s="7"/>
      <c r="F30" s="7"/>
      <c r="G30" s="7"/>
      <c r="H30" s="7"/>
      <c r="I30" s="7"/>
      <c r="J30" s="7"/>
      <c r="K30" s="7"/>
      <c r="L30" s="7"/>
      <c r="M30" s="7"/>
    </row>
    <row r="31" spans="2:13" x14ac:dyDescent="0.25">
      <c r="D31" s="7"/>
      <c r="F31" s="7"/>
      <c r="G31" s="7"/>
      <c r="H31" s="7"/>
      <c r="I31" s="7"/>
      <c r="J31" s="7"/>
      <c r="K31" s="7"/>
      <c r="L31" s="7"/>
      <c r="M31" s="7"/>
    </row>
    <row r="32" spans="2:13" x14ac:dyDescent="0.25">
      <c r="D32" s="7"/>
      <c r="F32" s="7"/>
      <c r="G32" s="7"/>
      <c r="H32" s="7"/>
      <c r="I32" s="7"/>
      <c r="J32" s="7"/>
      <c r="K32" s="7"/>
      <c r="L32" s="7"/>
      <c r="M32" s="7"/>
    </row>
    <row r="33" spans="3:13" x14ac:dyDescent="0.25">
      <c r="D33" s="7"/>
      <c r="F33" s="7"/>
      <c r="G33" s="7"/>
      <c r="H33" s="7"/>
      <c r="I33" s="7"/>
      <c r="J33" s="7"/>
      <c r="K33" s="7"/>
      <c r="L33" s="7"/>
      <c r="M33" s="7"/>
    </row>
    <row r="34" spans="3:13" x14ac:dyDescent="0.25">
      <c r="D34" s="7"/>
      <c r="F34" s="7"/>
      <c r="G34" s="7"/>
      <c r="H34" s="7"/>
      <c r="I34" s="7"/>
      <c r="J34" s="7"/>
      <c r="K34" s="7"/>
      <c r="L34" s="7"/>
      <c r="M34" s="7"/>
    </row>
    <row r="35" spans="3:13" x14ac:dyDescent="0.25">
      <c r="D35" s="7"/>
      <c r="F35" s="7"/>
      <c r="G35" s="7"/>
      <c r="H35" s="7"/>
      <c r="I35" s="7"/>
      <c r="J35" s="7"/>
      <c r="K35" s="7"/>
      <c r="L35" s="7"/>
      <c r="M35" s="7"/>
    </row>
    <row r="36" spans="3:13" x14ac:dyDescent="0.25">
      <c r="D36" s="16" t="s">
        <v>46</v>
      </c>
      <c r="F36" s="7"/>
      <c r="G36" s="1"/>
      <c r="H36" s="1"/>
      <c r="I36" s="1"/>
      <c r="J36" s="1"/>
      <c r="K36" s="1"/>
      <c r="L36" s="1"/>
      <c r="M36" s="1"/>
    </row>
    <row r="37" spans="3:13" x14ac:dyDescent="0.25">
      <c r="C37" s="17" t="s">
        <v>116</v>
      </c>
      <c r="D37" s="18">
        <v>0.75</v>
      </c>
      <c r="F37" s="7"/>
      <c r="G37" s="21"/>
      <c r="H37" s="21"/>
      <c r="I37" s="21"/>
      <c r="J37" s="21"/>
      <c r="K37" s="21"/>
      <c r="L37" s="21"/>
      <c r="M37" s="21"/>
    </row>
    <row r="38" spans="3:13" x14ac:dyDescent="0.25">
      <c r="C38" s="19" t="s">
        <v>117</v>
      </c>
      <c r="D38" s="20">
        <v>0.25</v>
      </c>
      <c r="F38" s="7"/>
      <c r="G38" s="21"/>
      <c r="H38" s="21"/>
      <c r="I38" s="21"/>
      <c r="J38" s="21"/>
      <c r="K38" s="21"/>
      <c r="L38" s="21"/>
      <c r="M38" s="21"/>
    </row>
    <row r="39" spans="3:13" x14ac:dyDescent="0.25">
      <c r="C39" s="1"/>
      <c r="D39" s="21"/>
      <c r="F39" s="7"/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77734375" customWidth="1"/>
    <col min="2" max="2" width="7.77734375" customWidth="1"/>
    <col min="3" max="3" width="6.77734375" customWidth="1"/>
    <col min="12" max="12" width="6.77734375" customWidth="1"/>
    <col min="14" max="14" width="5.44140625" customWidth="1"/>
  </cols>
  <sheetData>
    <row r="2" spans="2:16" ht="17.399999999999999" x14ac:dyDescent="0.3">
      <c r="B2" s="60" t="s">
        <v>126</v>
      </c>
      <c r="K2" s="60" t="s">
        <v>150</v>
      </c>
    </row>
    <row r="3" spans="2:16" ht="17.399999999999999" x14ac:dyDescent="0.3">
      <c r="K3" s="60" t="s">
        <v>151</v>
      </c>
    </row>
    <row r="4" spans="2:16" x14ac:dyDescent="0.25">
      <c r="B4" s="23" t="s">
        <v>148</v>
      </c>
    </row>
    <row r="14" spans="2:16" ht="17.399999999999999" x14ac:dyDescent="0.3">
      <c r="B14" s="60" t="s">
        <v>125</v>
      </c>
    </row>
    <row r="16" spans="2:16" x14ac:dyDescent="0.25">
      <c r="D16" s="61" t="s">
        <v>147</v>
      </c>
      <c r="E16" s="61"/>
      <c r="F16" s="61"/>
      <c r="G16" s="61"/>
      <c r="H16" s="61"/>
      <c r="I16" s="61"/>
      <c r="J16" s="61"/>
      <c r="K16" s="61"/>
      <c r="L16" s="23"/>
      <c r="M16" s="23"/>
      <c r="N16" s="23"/>
      <c r="O16" s="23"/>
      <c r="P16" s="23"/>
    </row>
  </sheetData>
  <phoneticPr fontId="25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Normal="100" workbookViewId="0">
      <selection activeCell="G25" sqref="G25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2.21875" customWidth="1"/>
    <col min="4" max="4" width="13.21875" customWidth="1"/>
    <col min="5" max="5" width="7.5546875" bestFit="1" customWidth="1"/>
    <col min="6" max="6" width="8.21875" bestFit="1" customWidth="1"/>
    <col min="7" max="7" width="13.21875" bestFit="1" customWidth="1"/>
    <col min="8" max="8" width="8.44140625" bestFit="1" customWidth="1"/>
    <col min="9" max="9" width="13.77734375" bestFit="1" customWidth="1"/>
    <col min="10" max="10" width="2" customWidth="1"/>
    <col min="11" max="11" width="11.77734375" bestFit="1" customWidth="1"/>
    <col min="12" max="12" width="7.21875" customWidth="1"/>
    <col min="13" max="13" width="11.44140625" bestFit="1" customWidth="1"/>
    <col min="14" max="14" width="34.21875" customWidth="1"/>
    <col min="15" max="15" width="6.21875" customWidth="1"/>
    <col min="16" max="16" width="11.5546875" customWidth="1"/>
    <col min="17" max="17" width="12.77734375" bestFit="1" customWidth="1"/>
    <col min="18" max="18" width="13.21875" bestFit="1" customWidth="1"/>
    <col min="19" max="19" width="8" bestFit="1" customWidth="1"/>
  </cols>
  <sheetData>
    <row r="1" spans="2:19" ht="34.799999999999997" x14ac:dyDescent="0.4">
      <c r="B1" s="22" t="s">
        <v>93</v>
      </c>
      <c r="C1" s="22" t="s">
        <v>94</v>
      </c>
      <c r="D1" s="22" t="s">
        <v>95</v>
      </c>
      <c r="E1" s="22" t="s">
        <v>97</v>
      </c>
      <c r="F1" s="14"/>
      <c r="G1" s="22" t="s">
        <v>98</v>
      </c>
    </row>
    <row r="2" spans="2:19" ht="19.2" x14ac:dyDescent="0.45">
      <c r="B2" s="9"/>
      <c r="C2" s="9" t="str">
        <f>EnergyBalance!D2</f>
        <v>COA</v>
      </c>
      <c r="D2" s="9" t="str">
        <f>EnergyBalance!D3</f>
        <v>Solid Fuels</v>
      </c>
      <c r="E2" s="9" t="str">
        <f>EnergyBalance!R2</f>
        <v>PJ</v>
      </c>
      <c r="G2" s="9" t="str">
        <f>EnergyBalance!Q2</f>
        <v>M€2005</v>
      </c>
      <c r="K2" s="87" t="s">
        <v>14</v>
      </c>
      <c r="L2" s="87"/>
      <c r="M2" s="88"/>
      <c r="N2" s="88"/>
      <c r="O2" s="88"/>
      <c r="P2" s="88"/>
      <c r="Q2" s="88"/>
      <c r="R2" s="88"/>
      <c r="S2" s="88"/>
    </row>
    <row r="3" spans="2:19" x14ac:dyDescent="0.25">
      <c r="K3" s="89" t="s">
        <v>7</v>
      </c>
      <c r="L3" s="90" t="s">
        <v>30</v>
      </c>
      <c r="M3" s="89" t="s">
        <v>0</v>
      </c>
      <c r="N3" s="89" t="s">
        <v>3</v>
      </c>
      <c r="O3" s="89" t="s">
        <v>4</v>
      </c>
      <c r="P3" s="89" t="s">
        <v>8</v>
      </c>
      <c r="Q3" s="89" t="s">
        <v>9</v>
      </c>
      <c r="R3" s="89" t="s">
        <v>10</v>
      </c>
      <c r="S3" s="89" t="s">
        <v>12</v>
      </c>
    </row>
    <row r="4" spans="2:19" ht="21.6" thickBot="1" x14ac:dyDescent="0.3">
      <c r="C4" s="1"/>
      <c r="K4" s="91" t="s">
        <v>39</v>
      </c>
      <c r="L4" s="91" t="s">
        <v>31</v>
      </c>
      <c r="M4" s="91" t="s">
        <v>26</v>
      </c>
      <c r="N4" s="91" t="s">
        <v>27</v>
      </c>
      <c r="O4" s="91" t="s">
        <v>4</v>
      </c>
      <c r="P4" s="91" t="s">
        <v>42</v>
      </c>
      <c r="Q4" s="91" t="s">
        <v>43</v>
      </c>
      <c r="R4" s="91" t="s">
        <v>28</v>
      </c>
      <c r="S4" s="91" t="s">
        <v>29</v>
      </c>
    </row>
    <row r="5" spans="2:19" x14ac:dyDescent="0.25">
      <c r="K5" s="88" t="s">
        <v>92</v>
      </c>
      <c r="L5" s="92"/>
      <c r="M5" s="88" t="str">
        <f>C2</f>
        <v>COA</v>
      </c>
      <c r="N5" s="88" t="str">
        <f>D2</f>
        <v>Solid Fuels</v>
      </c>
      <c r="O5" s="88" t="str">
        <f>$E$2</f>
        <v>PJ</v>
      </c>
      <c r="P5" s="88"/>
      <c r="Q5" s="88"/>
      <c r="R5" s="88"/>
      <c r="S5" s="88"/>
    </row>
    <row r="6" spans="2:19" x14ac:dyDescent="0.25">
      <c r="K6" s="1"/>
      <c r="M6" s="1"/>
      <c r="N6" s="1"/>
      <c r="O6" s="1"/>
      <c r="P6" s="1"/>
      <c r="Q6" s="1"/>
      <c r="R6" s="1"/>
      <c r="S6" s="1"/>
    </row>
    <row r="7" spans="2:19" x14ac:dyDescent="0.25">
      <c r="F7" s="5" t="s">
        <v>13</v>
      </c>
      <c r="H7" s="5"/>
      <c r="K7" s="87" t="s">
        <v>15</v>
      </c>
      <c r="L7" s="87"/>
      <c r="M7" s="92"/>
      <c r="N7" s="92"/>
      <c r="O7" s="92"/>
      <c r="P7" s="92"/>
      <c r="Q7" s="92"/>
      <c r="R7" s="92"/>
      <c r="S7" s="92"/>
    </row>
    <row r="8" spans="2:19" x14ac:dyDescent="0.25">
      <c r="B8" s="2" t="s">
        <v>1</v>
      </c>
      <c r="C8" s="13" t="s">
        <v>5</v>
      </c>
      <c r="D8" s="2" t="s">
        <v>6</v>
      </c>
      <c r="E8" s="2" t="s">
        <v>118</v>
      </c>
      <c r="F8" s="2" t="s">
        <v>8</v>
      </c>
      <c r="G8" s="86" t="s">
        <v>36</v>
      </c>
      <c r="H8" s="86" t="s">
        <v>37</v>
      </c>
      <c r="I8" s="86" t="s">
        <v>99</v>
      </c>
      <c r="K8" s="89" t="s">
        <v>11</v>
      </c>
      <c r="L8" s="90" t="s">
        <v>30</v>
      </c>
      <c r="M8" s="89" t="s">
        <v>1</v>
      </c>
      <c r="N8" s="89" t="s">
        <v>2</v>
      </c>
      <c r="O8" s="89" t="s">
        <v>16</v>
      </c>
      <c r="P8" s="89" t="s">
        <v>17</v>
      </c>
      <c r="Q8" s="89" t="s">
        <v>18</v>
      </c>
      <c r="R8" s="89" t="s">
        <v>19</v>
      </c>
      <c r="S8" s="89" t="s">
        <v>20</v>
      </c>
    </row>
    <row r="9" spans="2:19" ht="21.6" thickBot="1" x14ac:dyDescent="0.3">
      <c r="B9" s="11" t="s">
        <v>41</v>
      </c>
      <c r="C9" s="11" t="s">
        <v>32</v>
      </c>
      <c r="D9" s="11" t="s">
        <v>33</v>
      </c>
      <c r="E9" s="11"/>
      <c r="F9" s="11"/>
      <c r="G9" s="11" t="s">
        <v>38</v>
      </c>
      <c r="H9" s="11" t="s">
        <v>110</v>
      </c>
      <c r="I9" s="11" t="s">
        <v>109</v>
      </c>
      <c r="K9" s="91" t="s">
        <v>40</v>
      </c>
      <c r="L9" s="91" t="s">
        <v>31</v>
      </c>
      <c r="M9" s="91" t="s">
        <v>21</v>
      </c>
      <c r="N9" s="91" t="s">
        <v>22</v>
      </c>
      <c r="O9" s="91" t="s">
        <v>23</v>
      </c>
      <c r="P9" s="91" t="s">
        <v>24</v>
      </c>
      <c r="Q9" s="91" t="s">
        <v>45</v>
      </c>
      <c r="R9" s="91" t="s">
        <v>44</v>
      </c>
      <c r="S9" s="91" t="s">
        <v>25</v>
      </c>
    </row>
    <row r="10" spans="2:19" ht="13.8" thickBot="1" x14ac:dyDescent="0.3">
      <c r="B10" s="11" t="s">
        <v>108</v>
      </c>
      <c r="C10" s="10"/>
      <c r="D10" s="10"/>
      <c r="E10" s="10"/>
      <c r="F10" s="10"/>
      <c r="G10" s="10" t="str">
        <f>$E$2</f>
        <v>PJ</v>
      </c>
      <c r="H10" s="10" t="str">
        <f>$G$2&amp;"/"&amp;$E$2</f>
        <v>M€2005/PJ</v>
      </c>
      <c r="I10" s="10" t="str">
        <f>$E$2</f>
        <v>PJ</v>
      </c>
      <c r="K10" s="91" t="s">
        <v>101</v>
      </c>
      <c r="L10" s="93"/>
      <c r="M10" s="93"/>
      <c r="N10" s="93"/>
      <c r="O10" s="93"/>
      <c r="P10" s="93"/>
      <c r="Q10" s="93"/>
      <c r="R10" s="93"/>
      <c r="S10" s="93"/>
    </row>
    <row r="11" spans="2:19" x14ac:dyDescent="0.25">
      <c r="B11" s="1" t="str">
        <f>M11</f>
        <v>MINCOA1</v>
      </c>
      <c r="C11" s="1"/>
      <c r="D11" s="1" t="str">
        <f>$M$5</f>
        <v>COA</v>
      </c>
      <c r="E11" s="1">
        <v>2005</v>
      </c>
      <c r="F11" s="1" t="s">
        <v>127</v>
      </c>
      <c r="G11" s="58">
        <v>80000</v>
      </c>
      <c r="H11" s="59">
        <v>2</v>
      </c>
      <c r="I11" s="55">
        <f>EnergyBalance!$D$5*EnergyBalance!D37</f>
        <v>241808.25</v>
      </c>
      <c r="K11" s="88" t="str">
        <f>EnergyBalance!$B$5</f>
        <v>MIN</v>
      </c>
      <c r="L11" s="92"/>
      <c r="M11" s="92" t="str">
        <f>$K$11&amp;$C$2&amp;1</f>
        <v>MINCOA1</v>
      </c>
      <c r="N11" s="94" t="str">
        <f>"Domestic Supply of "&amp;$D$2&amp; " Step "&amp;RIGHT(M11,1)</f>
        <v>Domestic Supply of Solid Fuels Step 1</v>
      </c>
      <c r="O11" s="92" t="str">
        <f>$E$2</f>
        <v>PJ</v>
      </c>
      <c r="P11" s="92"/>
      <c r="Q11" s="92"/>
      <c r="R11" s="92"/>
      <c r="S11" s="92"/>
    </row>
    <row r="12" spans="2:19" x14ac:dyDescent="0.25">
      <c r="B12" s="1"/>
      <c r="C12" s="1"/>
      <c r="D12" s="1"/>
      <c r="E12" s="1">
        <v>2006</v>
      </c>
      <c r="F12" s="1" t="s">
        <v>127</v>
      </c>
      <c r="G12" s="83"/>
      <c r="H12" s="84"/>
      <c r="I12" s="85">
        <f>I11</f>
        <v>241808.25</v>
      </c>
      <c r="K12" s="92"/>
      <c r="L12" s="92"/>
      <c r="M12" s="92" t="str">
        <f>$K$11&amp;$C$2&amp;2</f>
        <v>MINCOA2</v>
      </c>
      <c r="N12" s="94" t="str">
        <f>"Domestic Supply of "&amp;$D$2&amp; " Step "&amp;RIGHT(M12,1)</f>
        <v>Domestic Supply of Solid Fuels Step 2</v>
      </c>
      <c r="O12" s="92" t="str">
        <f>$E$2</f>
        <v>PJ</v>
      </c>
      <c r="P12" s="92"/>
      <c r="Q12" s="92"/>
      <c r="R12" s="92"/>
      <c r="S12" s="92"/>
    </row>
    <row r="13" spans="2:19" x14ac:dyDescent="0.25">
      <c r="B13" s="1" t="str">
        <f>M12</f>
        <v>MINCOA2</v>
      </c>
      <c r="C13" s="1"/>
      <c r="D13" s="1" t="str">
        <f>$M$5</f>
        <v>COA</v>
      </c>
      <c r="E13" s="1">
        <v>2005</v>
      </c>
      <c r="F13" s="1" t="s">
        <v>127</v>
      </c>
      <c r="G13" s="58">
        <v>160000</v>
      </c>
      <c r="H13" s="59">
        <v>2.5</v>
      </c>
      <c r="I13" s="55">
        <f>EnergyBalance!$D$5*EnergyBalance!D38</f>
        <v>80602.75</v>
      </c>
      <c r="K13" s="92"/>
      <c r="L13" s="92"/>
      <c r="M13" s="92" t="str">
        <f>$K$11&amp;$C$2&amp;3</f>
        <v>MINCOA3</v>
      </c>
      <c r="N13" s="94" t="str">
        <f>"Domestic Supply of "&amp;$D$2&amp; " Step "&amp;RIGHT(M13,1)</f>
        <v>Domestic Supply of Solid Fuels Step 3</v>
      </c>
      <c r="O13" s="92" t="str">
        <f>$E$2</f>
        <v>PJ</v>
      </c>
      <c r="P13" s="92"/>
      <c r="Q13" s="92"/>
      <c r="R13" s="92"/>
      <c r="S13" s="92"/>
    </row>
    <row r="14" spans="2:19" x14ac:dyDescent="0.25">
      <c r="B14" s="1"/>
      <c r="C14" s="1"/>
      <c r="D14" s="1"/>
      <c r="E14" s="1">
        <v>2006</v>
      </c>
      <c r="F14" s="1" t="s">
        <v>127</v>
      </c>
      <c r="G14" s="83"/>
      <c r="H14" s="84"/>
      <c r="I14" s="85">
        <f>I13</f>
        <v>80602.75</v>
      </c>
      <c r="K14" s="92" t="str">
        <f>EnergyBalance!$B$6</f>
        <v>IMP</v>
      </c>
      <c r="L14" s="92"/>
      <c r="M14" s="92" t="str">
        <f>$K$14&amp;$C$2&amp;1</f>
        <v>IMPCOA1</v>
      </c>
      <c r="N14" s="94" t="str">
        <f>"Import of "&amp;$D$2&amp; " Step "&amp;RIGHT(M14,1)</f>
        <v>Import of Solid Fuels Step 1</v>
      </c>
      <c r="O14" s="92" t="str">
        <f>$E$2</f>
        <v>PJ</v>
      </c>
      <c r="P14" s="92"/>
      <c r="Q14" s="92"/>
      <c r="R14" s="92"/>
      <c r="S14" s="92"/>
    </row>
    <row r="15" spans="2:19" x14ac:dyDescent="0.25">
      <c r="B15" s="1" t="str">
        <f>M13</f>
        <v>MINCOA3</v>
      </c>
      <c r="C15" s="1"/>
      <c r="D15" s="1" t="str">
        <f>$M$5</f>
        <v>COA</v>
      </c>
      <c r="E15" s="1"/>
      <c r="F15" s="1"/>
      <c r="G15" s="58">
        <v>320000</v>
      </c>
      <c r="H15" s="59">
        <v>3</v>
      </c>
      <c r="I15" s="85"/>
      <c r="K15" s="92" t="str">
        <f>EnergyBalance!B7</f>
        <v>EXP</v>
      </c>
      <c r="L15" s="92"/>
      <c r="M15" s="92" t="str">
        <f>$K$15&amp;$C$2&amp;1</f>
        <v>EXPCOA1</v>
      </c>
      <c r="N15" s="94" t="str">
        <f>"Export of "&amp;$D$2&amp; " Step "&amp;RIGHT(M15,1)</f>
        <v>Export of Solid Fuels Step 1</v>
      </c>
      <c r="O15" s="92" t="str">
        <f>$E$2</f>
        <v>PJ</v>
      </c>
      <c r="P15" s="92"/>
      <c r="Q15" s="92"/>
      <c r="R15" s="92"/>
      <c r="S15" s="92"/>
    </row>
    <row r="16" spans="2:19" x14ac:dyDescent="0.25">
      <c r="B16" s="1" t="str">
        <f>M14</f>
        <v>IMPCOA1</v>
      </c>
      <c r="C16" s="1"/>
      <c r="D16" s="1" t="str">
        <f>$M$5</f>
        <v>COA</v>
      </c>
      <c r="E16" s="1"/>
      <c r="F16" s="1"/>
      <c r="G16" s="1"/>
      <c r="H16" s="59">
        <v>2.75</v>
      </c>
    </row>
    <row r="17" spans="1:20" x14ac:dyDescent="0.25">
      <c r="B17" s="1" t="str">
        <f>M15</f>
        <v>EXPCOA1</v>
      </c>
      <c r="C17" s="1" t="str">
        <f>$M$5</f>
        <v>COA</v>
      </c>
      <c r="D17" s="1"/>
      <c r="E17" s="1">
        <v>2005</v>
      </c>
      <c r="F17" s="1" t="s">
        <v>127</v>
      </c>
      <c r="H17" s="59">
        <v>2.75</v>
      </c>
      <c r="I17" s="56">
        <f>-EnergyBalance!D7</f>
        <v>715</v>
      </c>
    </row>
    <row r="18" spans="1:20" x14ac:dyDescent="0.25">
      <c r="B18" s="1"/>
      <c r="C18" s="1"/>
      <c r="E18" s="1">
        <v>2006</v>
      </c>
      <c r="F18" s="1" t="s">
        <v>127</v>
      </c>
      <c r="G18" s="1"/>
      <c r="I18" s="85">
        <f>I17</f>
        <v>715</v>
      </c>
    </row>
    <row r="22" spans="1:20" x14ac:dyDescent="0.25">
      <c r="B22" s="58"/>
      <c r="C22" s="1" t="s">
        <v>123</v>
      </c>
    </row>
    <row r="23" spans="1:20" x14ac:dyDescent="0.25">
      <c r="B23" s="57"/>
      <c r="C23" s="1" t="s">
        <v>124</v>
      </c>
    </row>
    <row r="25" spans="1:20" s="1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25">
      <c r="T26" s="1"/>
    </row>
    <row r="27" spans="1:20" x14ac:dyDescent="0.25">
      <c r="A27" s="1"/>
    </row>
  </sheetData>
  <phoneticPr fontId="25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J13" sqref="J13"/>
    </sheetView>
  </sheetViews>
  <sheetFormatPr defaultRowHeight="13.2" x14ac:dyDescent="0.25"/>
  <cols>
    <col min="1" max="1" width="3" customWidth="1"/>
    <col min="2" max="2" width="12.21875" bestFit="1" customWidth="1"/>
    <col min="3" max="3" width="15" customWidth="1"/>
    <col min="4" max="4" width="13.77734375" bestFit="1" customWidth="1"/>
    <col min="5" max="6" width="12.21875" bestFit="1" customWidth="1"/>
    <col min="7" max="7" width="7.44140625" bestFit="1" customWidth="1"/>
    <col min="8" max="9" width="9.21875" bestFit="1" customWidth="1"/>
    <col min="10" max="10" width="8" bestFit="1" customWidth="1"/>
    <col min="11" max="11" width="2.77734375" customWidth="1"/>
    <col min="12" max="12" width="12.77734375" bestFit="1" customWidth="1"/>
    <col min="13" max="13" width="7.21875" customWidth="1"/>
    <col min="14" max="14" width="11.44140625" bestFit="1" customWidth="1"/>
    <col min="15" max="15" width="42.5546875" bestFit="1" customWidth="1"/>
    <col min="16" max="16" width="6.77734375" customWidth="1"/>
    <col min="17" max="17" width="11.77734375" customWidth="1"/>
    <col min="18" max="18" width="13.44140625" customWidth="1"/>
    <col min="19" max="19" width="13.77734375" customWidth="1"/>
    <col min="20" max="20" width="8.44140625" customWidth="1"/>
  </cols>
  <sheetData>
    <row r="1" spans="2:20" ht="17.399999999999999" x14ac:dyDescent="0.4">
      <c r="B1" s="8" t="s">
        <v>93</v>
      </c>
      <c r="C1" s="8" t="s">
        <v>95</v>
      </c>
      <c r="D1" s="8" t="s">
        <v>128</v>
      </c>
      <c r="E1" s="8" t="s">
        <v>97</v>
      </c>
      <c r="F1" s="8" t="s">
        <v>98</v>
      </c>
      <c r="H1" s="8" t="s">
        <v>129</v>
      </c>
    </row>
    <row r="2" spans="2:20" ht="38.4" x14ac:dyDescent="0.45">
      <c r="B2" s="9" t="str">
        <f>EnergyBalance!B8</f>
        <v>TPS</v>
      </c>
      <c r="C2" s="63" t="str">
        <f>EnergyBalance!C8</f>
        <v>Total Primary Supply</v>
      </c>
      <c r="D2" s="63" t="str">
        <f>"Demand Technology"</f>
        <v>Demand Technology</v>
      </c>
      <c r="E2" s="9" t="str">
        <f>EnergyBalance!R2</f>
        <v>PJ</v>
      </c>
      <c r="F2" s="9" t="str">
        <f>EnergyBalance!Q2</f>
        <v>M€2005</v>
      </c>
      <c r="H2" s="9" t="s">
        <v>130</v>
      </c>
      <c r="L2" s="87" t="s">
        <v>14</v>
      </c>
      <c r="M2" s="87"/>
      <c r="N2" s="88"/>
      <c r="O2" s="88"/>
      <c r="P2" s="88"/>
      <c r="Q2" s="88"/>
      <c r="R2" s="88"/>
      <c r="S2" s="88"/>
      <c r="T2" s="88"/>
    </row>
    <row r="3" spans="2:20" x14ac:dyDescent="0.25">
      <c r="L3" s="89" t="s">
        <v>7</v>
      </c>
      <c r="M3" s="90" t="s">
        <v>30</v>
      </c>
      <c r="N3" s="89" t="s">
        <v>0</v>
      </c>
      <c r="O3" s="89" t="s">
        <v>3</v>
      </c>
      <c r="P3" s="89" t="s">
        <v>4</v>
      </c>
      <c r="Q3" s="89" t="s">
        <v>8</v>
      </c>
      <c r="R3" s="89" t="s">
        <v>9</v>
      </c>
      <c r="S3" s="89" t="s">
        <v>10</v>
      </c>
      <c r="T3" s="89" t="s">
        <v>12</v>
      </c>
    </row>
    <row r="4" spans="2:20" ht="24" thickBot="1" x14ac:dyDescent="0.5">
      <c r="B4" s="64"/>
      <c r="C4" s="64"/>
      <c r="D4" s="64"/>
      <c r="E4" s="64"/>
      <c r="F4" s="64"/>
      <c r="L4" s="91" t="s">
        <v>39</v>
      </c>
      <c r="M4" s="91" t="s">
        <v>31</v>
      </c>
      <c r="N4" s="91" t="s">
        <v>26</v>
      </c>
      <c r="O4" s="91" t="s">
        <v>27</v>
      </c>
      <c r="P4" s="91" t="s">
        <v>4</v>
      </c>
      <c r="Q4" s="91" t="s">
        <v>42</v>
      </c>
      <c r="R4" s="91" t="s">
        <v>43</v>
      </c>
      <c r="S4" s="91" t="s">
        <v>28</v>
      </c>
      <c r="T4" s="91" t="s">
        <v>29</v>
      </c>
    </row>
    <row r="5" spans="2:20" ht="19.2" x14ac:dyDescent="0.45">
      <c r="B5" s="64"/>
      <c r="C5" s="64"/>
      <c r="D5" s="64"/>
      <c r="E5" s="64"/>
      <c r="F5" s="64"/>
      <c r="L5" s="88" t="s">
        <v>103</v>
      </c>
      <c r="M5" s="92"/>
      <c r="N5" s="88" t="str">
        <f>B2&amp;EnergyBalance!D2</f>
        <v>TPSCOA</v>
      </c>
      <c r="O5" s="88" t="str">
        <f>LEFT($D$2,6)&amp;" "&amp;$C$2&amp;" - "&amp;EnergyBalance!D2</f>
        <v>Demand Total Primary Supply - COA</v>
      </c>
      <c r="P5" s="88" t="str">
        <f>$E$2</f>
        <v>PJ</v>
      </c>
      <c r="Q5" s="88"/>
      <c r="R5" s="88"/>
      <c r="S5" s="88"/>
      <c r="T5" s="88"/>
    </row>
    <row r="8" spans="2:20" x14ac:dyDescent="0.25">
      <c r="D8" s="5" t="s">
        <v>13</v>
      </c>
      <c r="E8" s="5"/>
      <c r="F8" s="5"/>
      <c r="H8" s="5"/>
      <c r="I8" s="65"/>
      <c r="J8" s="66"/>
      <c r="L8" s="87" t="s">
        <v>15</v>
      </c>
      <c r="M8" s="87"/>
      <c r="N8" s="92"/>
      <c r="O8" s="92"/>
      <c r="P8" s="92"/>
      <c r="Q8" s="92"/>
      <c r="R8" s="92"/>
      <c r="S8" s="92"/>
      <c r="T8" s="92"/>
    </row>
    <row r="9" spans="2:20" x14ac:dyDescent="0.25">
      <c r="B9" s="68" t="s">
        <v>1</v>
      </c>
      <c r="C9" s="68" t="s">
        <v>5</v>
      </c>
      <c r="D9" s="68" t="s">
        <v>6</v>
      </c>
      <c r="E9" s="80" t="s">
        <v>131</v>
      </c>
      <c r="F9" s="68" t="s">
        <v>132</v>
      </c>
      <c r="G9" s="68" t="s">
        <v>133</v>
      </c>
      <c r="H9" s="68" t="s">
        <v>134</v>
      </c>
      <c r="I9" s="68" t="s">
        <v>135</v>
      </c>
      <c r="J9" s="80" t="s">
        <v>136</v>
      </c>
      <c r="L9" s="89" t="s">
        <v>11</v>
      </c>
      <c r="M9" s="90" t="s">
        <v>30</v>
      </c>
      <c r="N9" s="89" t="s">
        <v>1</v>
      </c>
      <c r="O9" s="89" t="s">
        <v>2</v>
      </c>
      <c r="P9" s="89" t="s">
        <v>16</v>
      </c>
      <c r="Q9" s="89" t="s">
        <v>17</v>
      </c>
      <c r="R9" s="89" t="s">
        <v>18</v>
      </c>
      <c r="S9" s="89" t="s">
        <v>19</v>
      </c>
      <c r="T9" s="89" t="s">
        <v>20</v>
      </c>
    </row>
    <row r="10" spans="2:20" ht="21.6" thickBot="1" x14ac:dyDescent="0.3">
      <c r="B10" s="12" t="s">
        <v>41</v>
      </c>
      <c r="C10" s="12" t="s">
        <v>32</v>
      </c>
      <c r="D10" s="12" t="s">
        <v>33</v>
      </c>
      <c r="E10" s="12" t="s">
        <v>137</v>
      </c>
      <c r="F10" s="12" t="s">
        <v>138</v>
      </c>
      <c r="G10" s="79" t="s">
        <v>139</v>
      </c>
      <c r="H10" s="12" t="s">
        <v>140</v>
      </c>
      <c r="I10" s="12" t="s">
        <v>141</v>
      </c>
      <c r="J10" s="12" t="s">
        <v>149</v>
      </c>
      <c r="L10" s="91" t="s">
        <v>40</v>
      </c>
      <c r="M10" s="91" t="s">
        <v>31</v>
      </c>
      <c r="N10" s="91" t="s">
        <v>21</v>
      </c>
      <c r="O10" s="91" t="s">
        <v>22</v>
      </c>
      <c r="P10" s="91" t="s">
        <v>23</v>
      </c>
      <c r="Q10" s="91" t="s">
        <v>24</v>
      </c>
      <c r="R10" s="91" t="s">
        <v>45</v>
      </c>
      <c r="S10" s="91" t="s">
        <v>44</v>
      </c>
      <c r="T10" s="91" t="s">
        <v>25</v>
      </c>
    </row>
    <row r="11" spans="2:20" ht="13.8" thickBot="1" x14ac:dyDescent="0.3">
      <c r="B11" s="11" t="s">
        <v>108</v>
      </c>
      <c r="C11" s="11"/>
      <c r="D11" s="11"/>
      <c r="E11" s="10" t="str">
        <f>E2&amp;"a"</f>
        <v>PJa</v>
      </c>
      <c r="F11" s="10"/>
      <c r="G11" s="69"/>
      <c r="H11" s="10" t="str">
        <f>$F$2&amp;"/"&amp;$E$2</f>
        <v>M€2005/PJ</v>
      </c>
      <c r="I11" s="10" t="str">
        <f>$F$2&amp;"/"&amp;$E$2&amp;"a"</f>
        <v>M€2005/PJa</v>
      </c>
      <c r="J11" s="10" t="s">
        <v>142</v>
      </c>
      <c r="L11" s="91" t="s">
        <v>101</v>
      </c>
      <c r="M11" s="91"/>
      <c r="N11" s="91"/>
      <c r="O11" s="91"/>
      <c r="P11" s="91"/>
      <c r="Q11" s="91"/>
      <c r="R11" s="91"/>
      <c r="S11" s="91"/>
      <c r="T11" s="91"/>
    </row>
    <row r="12" spans="2:20" x14ac:dyDescent="0.25">
      <c r="B12" t="str">
        <f>N12</f>
        <v>DTPSCOA</v>
      </c>
      <c r="C12" t="str">
        <f>RIGHT(B12,3)</f>
        <v>COA</v>
      </c>
      <c r="D12" t="str">
        <f>$N$5</f>
        <v>TPSCOA</v>
      </c>
      <c r="F12" s="70">
        <v>1</v>
      </c>
      <c r="G12" s="70">
        <v>0.95</v>
      </c>
      <c r="H12" s="36">
        <v>10</v>
      </c>
      <c r="I12" s="70">
        <f>H12*0.02</f>
        <v>0.2</v>
      </c>
      <c r="J12" s="36">
        <v>20</v>
      </c>
      <c r="L12" s="88" t="s">
        <v>143</v>
      </c>
      <c r="M12" s="92"/>
      <c r="N12" s="92" t="str">
        <f>LEFT(L12,1)&amp;B2&amp;RIGHT(O12,3)</f>
        <v>DTPSCOA</v>
      </c>
      <c r="O12" s="92" t="str">
        <f>$D$2&amp;" "&amp;$C$2&amp;" - "&amp;EnergyBalance!D2</f>
        <v>Demand Technology Total Primary Supply - COA</v>
      </c>
      <c r="P12" s="92" t="str">
        <f>$E$2</f>
        <v>PJ</v>
      </c>
      <c r="Q12" s="92" t="str">
        <f>$E$2&amp;"a"</f>
        <v>PJa</v>
      </c>
      <c r="R12" s="92"/>
      <c r="S12" s="92"/>
      <c r="T12" s="92"/>
    </row>
    <row r="13" spans="2:20" x14ac:dyDescent="0.25">
      <c r="E13" s="7"/>
      <c r="F13" s="71"/>
      <c r="G13" s="71"/>
      <c r="I13" s="71"/>
      <c r="L13" s="1"/>
    </row>
    <row r="14" spans="2:20" x14ac:dyDescent="0.25">
      <c r="E14" s="7"/>
      <c r="F14" s="71"/>
      <c r="G14" s="71"/>
      <c r="I14" s="71"/>
      <c r="O14" s="14"/>
    </row>
    <row r="15" spans="2:20" x14ac:dyDescent="0.25">
      <c r="E15" s="7"/>
      <c r="F15" s="71"/>
      <c r="G15" s="71"/>
      <c r="I15" s="71"/>
      <c r="O15" s="14"/>
    </row>
    <row r="18" spans="2:11" x14ac:dyDescent="0.25">
      <c r="I18" s="67"/>
    </row>
    <row r="19" spans="2:11" x14ac:dyDescent="0.25">
      <c r="I19" s="67"/>
    </row>
    <row r="23" spans="2:11" x14ac:dyDescent="0.25">
      <c r="B23" s="36"/>
      <c r="C23" s="1" t="s">
        <v>123</v>
      </c>
    </row>
    <row r="24" spans="2:11" x14ac:dyDescent="0.25">
      <c r="B24" s="57"/>
      <c r="C24" s="1" t="s">
        <v>124</v>
      </c>
    </row>
    <row r="25" spans="2:11" x14ac:dyDescent="0.25">
      <c r="K25" s="1"/>
    </row>
    <row r="26" spans="2:11" x14ac:dyDescent="0.25">
      <c r="K26" s="1"/>
    </row>
    <row r="27" spans="2:11" x14ac:dyDescent="0.25">
      <c r="K27" s="1"/>
    </row>
    <row r="28" spans="2:11" x14ac:dyDescent="0.25">
      <c r="K28" s="1"/>
    </row>
  </sheetData>
  <phoneticPr fontId="25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2"/>
  <sheetViews>
    <sheetView workbookViewId="0">
      <selection activeCell="J21" sqref="J2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25.21875" bestFit="1" customWidth="1"/>
    <col min="4" max="4" width="10.21875" bestFit="1" customWidth="1"/>
    <col min="5" max="5" width="10.77734375" bestFit="1" customWidth="1"/>
    <col min="6" max="9" width="12.44140625" customWidth="1"/>
    <col min="10" max="10" width="7.21875" customWidth="1"/>
    <col min="11" max="11" width="11.44140625" bestFit="1" customWidth="1"/>
  </cols>
  <sheetData>
    <row r="1" spans="2:9" ht="17.399999999999999" x14ac:dyDescent="0.4">
      <c r="B1" s="8" t="s">
        <v>93</v>
      </c>
      <c r="C1" s="8" t="s">
        <v>94</v>
      </c>
      <c r="D1" s="8" t="s">
        <v>95</v>
      </c>
      <c r="E1" s="8" t="s">
        <v>97</v>
      </c>
      <c r="G1" s="8" t="s">
        <v>98</v>
      </c>
    </row>
    <row r="2" spans="2:9" ht="19.2" x14ac:dyDescent="0.45">
      <c r="B2" s="9" t="s">
        <v>103</v>
      </c>
      <c r="C2" s="9"/>
      <c r="D2" s="9"/>
      <c r="E2" s="9" t="str">
        <f>EnergyBalance!R2</f>
        <v>PJ</v>
      </c>
      <c r="G2" s="9" t="str">
        <f>EnergyBalance!Q2</f>
        <v>M€2005</v>
      </c>
    </row>
    <row r="5" spans="2:9" x14ac:dyDescent="0.25">
      <c r="C5" s="4" t="s">
        <v>13</v>
      </c>
      <c r="D5" s="4"/>
      <c r="E5" s="1"/>
    </row>
    <row r="6" spans="2:9" x14ac:dyDescent="0.25">
      <c r="B6" s="3" t="s">
        <v>100</v>
      </c>
      <c r="C6" s="3" t="s">
        <v>0</v>
      </c>
      <c r="D6" s="3" t="s">
        <v>119</v>
      </c>
      <c r="E6" s="3">
        <v>2005</v>
      </c>
      <c r="F6" s="81"/>
      <c r="G6" s="81"/>
      <c r="H6" s="81"/>
      <c r="I6" s="81"/>
    </row>
    <row r="7" spans="2:9" x14ac:dyDescent="0.25">
      <c r="B7" s="12" t="s">
        <v>101</v>
      </c>
      <c r="C7" s="12" t="s">
        <v>102</v>
      </c>
      <c r="D7" s="12" t="s">
        <v>120</v>
      </c>
      <c r="E7" s="12" t="s">
        <v>35</v>
      </c>
      <c r="F7" s="82"/>
      <c r="G7" s="82"/>
      <c r="H7" s="82"/>
      <c r="I7" s="82"/>
    </row>
    <row r="8" spans="2:9" ht="13.8" thickBot="1" x14ac:dyDescent="0.3">
      <c r="B8" s="11" t="s">
        <v>108</v>
      </c>
      <c r="C8" s="11"/>
      <c r="D8" s="11"/>
      <c r="E8" s="11" t="str">
        <f>E2</f>
        <v>PJ</v>
      </c>
      <c r="F8" s="82"/>
      <c r="G8" s="82"/>
      <c r="H8" s="82"/>
      <c r="I8" s="82"/>
    </row>
    <row r="9" spans="2:9" x14ac:dyDescent="0.25">
      <c r="B9" s="25" t="s">
        <v>34</v>
      </c>
      <c r="C9" s="25" t="str">
        <f>DemTechs_TPS!N5</f>
        <v>TPSCOA</v>
      </c>
      <c r="D9" s="25" t="s">
        <v>96</v>
      </c>
      <c r="E9" s="62">
        <f>EnergyBalance!D24-EnergyBalance!D14</f>
        <v>452641</v>
      </c>
    </row>
    <row r="11" spans="2:9" x14ac:dyDescent="0.25">
      <c r="G11" s="7"/>
      <c r="H11" s="7"/>
      <c r="I11" s="7"/>
    </row>
    <row r="12" spans="2:9" x14ac:dyDescent="0.25">
      <c r="E12" s="24"/>
    </row>
    <row r="13" spans="2:9" x14ac:dyDescent="0.25">
      <c r="E13" s="7"/>
    </row>
    <row r="15" spans="2:9" x14ac:dyDescent="0.25">
      <c r="E15" s="7"/>
    </row>
    <row r="21" spans="2:3" x14ac:dyDescent="0.25">
      <c r="B21" s="36"/>
      <c r="C21" s="1" t="s">
        <v>123</v>
      </c>
    </row>
    <row r="22" spans="2:3" x14ac:dyDescent="0.25">
      <c r="B22" s="57"/>
      <c r="C22" s="1" t="s">
        <v>124</v>
      </c>
    </row>
  </sheetData>
  <phoneticPr fontId="2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EnergyBalance(VERSION2)</vt:lpstr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박시은</cp:lastModifiedBy>
  <cp:lastPrinted>2004-11-16T14:57:57Z</cp:lastPrinted>
  <dcterms:created xsi:type="dcterms:W3CDTF">2000-12-13T15:53:11Z</dcterms:created>
  <dcterms:modified xsi:type="dcterms:W3CDTF">2024-06-01T10:22:29Z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392570137977600</vt:r8>
  </property>
</Properties>
</file>